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3"/>
  <workbookPr defaultThemeVersion="166925"/>
  <mc:AlternateContent xmlns:mc="http://schemas.openxmlformats.org/markup-compatibility/2006">
    <mc:Choice Requires="x15">
      <x15ac:absPath xmlns:x15ac="http://schemas.microsoft.com/office/spreadsheetml/2010/11/ac" url="C:\Users\lromero\Documents\OneDrive_2022-09-08\Septiembre 2022\CESION CONTRATO\DICIEMBRE 2022\OBLIGACIÓN 1\PAA\v32\FINAL\AJUSTADO 29 DIC\"/>
    </mc:Choice>
  </mc:AlternateContent>
  <xr:revisionPtr revIDLastSave="0" documentId="8_{96BB2E70-CBA1-4D21-9F1B-A65C465FCA24}" xr6:coauthVersionLast="36" xr6:coauthVersionMax="36" xr10:uidLastSave="{00000000-0000-0000-0000-000000000000}"/>
  <bookViews>
    <workbookView xWindow="0" yWindow="0" windowWidth="28800" windowHeight="12225" tabRatio="599" firstSheet="7" activeTab="7" xr2:uid="{00000000-000D-0000-FFFF-FFFF00000000}"/>
  </bookViews>
  <sheets>
    <sheet name="SEGUIMIENTO CON PAA " sheetId="28" state="hidden" r:id="rId1"/>
    <sheet name="EN PLATAFORMA" sheetId="44" state="hidden" r:id="rId2"/>
    <sheet name="Tras 1" sheetId="38" state="hidden" r:id="rId3"/>
    <sheet name="Tras 3" sheetId="40" state="hidden" r:id="rId4"/>
    <sheet name="Tras 5" sheetId="42" state="hidden" r:id="rId5"/>
    <sheet name="PPTO 2021 REPROGRAMACION (2)" sheetId="32" state="hidden" r:id="rId6"/>
    <sheet name="PPTO 2021 REPROGRAMACION" sheetId="19" state="hidden" r:id="rId7"/>
    <sheet name="PAA V30" sheetId="56" r:id="rId8"/>
    <sheet name="PAA V4" sheetId="49" state="hidden" r:id="rId9"/>
    <sheet name="PAA V5" sheetId="51" state="hidden" r:id="rId10"/>
    <sheet name="PPA V 21" sheetId="34" state="hidden" r:id="rId11"/>
    <sheet name="Viabilidades" sheetId="27" state="hidden" r:id="rId12"/>
    <sheet name="Reservas x Metas" sheetId="16" state="hidden" r:id="rId13"/>
    <sheet name="SEG. METAS PDD a 30 de Ene 2021" sheetId="10" state="hidden" r:id="rId14"/>
  </sheets>
  <externalReferences>
    <externalReference r:id="rId15"/>
    <externalReference r:id="rId16"/>
    <externalReference r:id="rId17"/>
  </externalReferences>
  <definedNames>
    <definedName name="_xlnm._FilterDatabase" localSheetId="1" hidden="1">'EN PLATAFORMA'!$A$2:$F$12</definedName>
    <definedName name="_xlnm._FilterDatabase" localSheetId="7" hidden="1">'PAA V30'!$S$3:$V$5</definedName>
    <definedName name="_xlnm._FilterDatabase" localSheetId="8" hidden="1">'PAA V4'!$A$6:$CY$6</definedName>
    <definedName name="_xlnm._FilterDatabase" localSheetId="9" hidden="1">'PAA V5'!$A$6:$R$6</definedName>
    <definedName name="_xlnm._FilterDatabase" localSheetId="10" hidden="1">'PPA V 21'!$A$2:$R$2</definedName>
    <definedName name="_xlnm._FilterDatabase" localSheetId="6" hidden="1">'PPTO 2021 REPROGRAMACION'!$A$5:$AC$106</definedName>
    <definedName name="_xlnm._FilterDatabase" localSheetId="5" hidden="1">'PPTO 2021 REPROGRAMACION (2)'!$A$5:$AC$102</definedName>
    <definedName name="_xlnm._FilterDatabase" localSheetId="12" hidden="1">'Reservas x Metas'!$A$1:$M$8</definedName>
    <definedName name="_xlnm._FilterDatabase" localSheetId="13" hidden="1">'SEG. METAS PDD a 30 de Ene 2021'!$A$7:$AE$21</definedName>
    <definedName name="_xlnm._FilterDatabase" localSheetId="0" hidden="1">'SEGUIMIENTO CON PAA '!$A$7:$AS$100</definedName>
    <definedName name="_xlnm._FilterDatabase" localSheetId="11" hidden="1">Viabilidades!$A$1:$AX$669</definedName>
    <definedName name="INSU" localSheetId="6">#REF!</definedName>
    <definedName name="INSU" localSheetId="5">#REF!</definedName>
    <definedName name="INSU" localSheetId="0">#REF!</definedName>
    <definedName name="INSU">#REF!</definedName>
    <definedName name="INSUMOS" localSheetId="6">#REF!</definedName>
    <definedName name="INSUMOS" localSheetId="5">#REF!</definedName>
    <definedName name="INSUMOS" localSheetId="0">#REF!</definedName>
    <definedName name="INSUMOS">#REF!</definedName>
    <definedName name="MZ_COMPROMISOS">'[1]TD CRPS'!$A$5:$C$573</definedName>
    <definedName name="MZ_GIROS">'[2]T.D. GIROS Reservas'!$A$1:$D$167</definedName>
  </definedNames>
  <calcPr calcId="191028"/>
</workbook>
</file>

<file path=xl/calcChain.xml><?xml version="1.0" encoding="utf-8"?>
<calcChain xmlns="http://schemas.openxmlformats.org/spreadsheetml/2006/main">
  <c r="M907" i="56" l="1"/>
  <c r="M741" i="56"/>
  <c r="M1084" i="56"/>
  <c r="M1006" i="56"/>
  <c r="V5" i="56"/>
  <c r="X6" i="56" s="1"/>
  <c r="M882" i="56"/>
  <c r="M1011" i="56"/>
  <c r="M1010" i="56"/>
  <c r="M1009" i="56"/>
  <c r="M949" i="56"/>
  <c r="M582" i="56"/>
  <c r="M38" i="56"/>
  <c r="M586" i="56"/>
  <c r="M306" i="56"/>
  <c r="M253" i="56"/>
  <c r="M170" i="56"/>
  <c r="M236" i="56"/>
  <c r="M234" i="56"/>
  <c r="T1117" i="56"/>
  <c r="T1116" i="56"/>
  <c r="T1115" i="56"/>
  <c r="T1114" i="56"/>
  <c r="T1113" i="56"/>
  <c r="T1112" i="56"/>
  <c r="T1111" i="56"/>
  <c r="M671" i="56"/>
  <c r="M309" i="56"/>
  <c r="T1110" i="56"/>
  <c r="T1109" i="56"/>
  <c r="T1108" i="56"/>
  <c r="M651" i="56"/>
  <c r="M799" i="56"/>
  <c r="M280" i="56"/>
  <c r="T1094" i="56"/>
  <c r="T1095" i="56"/>
  <c r="T1096" i="56"/>
  <c r="T1097" i="56"/>
  <c r="T1098" i="56"/>
  <c r="T1099" i="56"/>
  <c r="T1100" i="56"/>
  <c r="T1101" i="56"/>
  <c r="T1102" i="56"/>
  <c r="T1103" i="56"/>
  <c r="T1104" i="56"/>
  <c r="T1105" i="56"/>
  <c r="T1106" i="56"/>
  <c r="T1107" i="56"/>
  <c r="T1093" i="56"/>
  <c r="T1092" i="56"/>
  <c r="T1091" i="56"/>
  <c r="T1090" i="56"/>
  <c r="T1089" i="56"/>
  <c r="T1088" i="56"/>
  <c r="T1087" i="56"/>
  <c r="T1086" i="56"/>
  <c r="T1085" i="56"/>
  <c r="T1084" i="56"/>
  <c r="T1083" i="56"/>
  <c r="M918" i="56"/>
  <c r="M197" i="56"/>
  <c r="M183" i="56"/>
  <c r="M190" i="56"/>
  <c r="M927" i="56"/>
  <c r="T1082" i="56"/>
  <c r="T1081" i="56"/>
  <c r="M926" i="56"/>
  <c r="M974" i="56"/>
  <c r="M233" i="56"/>
  <c r="T1079" i="56"/>
  <c r="T1078" i="56"/>
  <c r="T1077" i="56"/>
  <c r="T1076" i="56"/>
  <c r="M917" i="56"/>
  <c r="M915" i="56"/>
  <c r="M913" i="56"/>
  <c r="M912" i="56"/>
  <c r="M916" i="56"/>
  <c r="M219" i="56"/>
  <c r="M611" i="56"/>
  <c r="T1046" i="56"/>
  <c r="T1047" i="56"/>
  <c r="T1048" i="56"/>
  <c r="T1049" i="56"/>
  <c r="T1050" i="56"/>
  <c r="T1051" i="56"/>
  <c r="T1052" i="56"/>
  <c r="T1053" i="56"/>
  <c r="T1054" i="56"/>
  <c r="T1055" i="56"/>
  <c r="T1056" i="56"/>
  <c r="T1057" i="56"/>
  <c r="T1058" i="56"/>
  <c r="T1059" i="56"/>
  <c r="T1060" i="56"/>
  <c r="T1061" i="56"/>
  <c r="T1062" i="56"/>
  <c r="T1063" i="56"/>
  <c r="T1064" i="56"/>
  <c r="T1065" i="56"/>
  <c r="T1066" i="56"/>
  <c r="T1067" i="56"/>
  <c r="T1068" i="56"/>
  <c r="T1069" i="56"/>
  <c r="T1070" i="56"/>
  <c r="T1071" i="56"/>
  <c r="T1072" i="56"/>
  <c r="T1073" i="56"/>
  <c r="T1074" i="56"/>
  <c r="T1075" i="56"/>
  <c r="M312" i="56"/>
  <c r="M311" i="56"/>
  <c r="M679" i="56"/>
  <c r="M975" i="56"/>
  <c r="M722" i="56"/>
  <c r="M677" i="56"/>
  <c r="M218" i="56"/>
  <c r="M217" i="56"/>
  <c r="M216" i="56"/>
  <c r="M213" i="56"/>
  <c r="M212" i="56"/>
  <c r="M205" i="56"/>
  <c r="M545" i="56"/>
  <c r="M899" i="56"/>
  <c r="M891" i="56"/>
  <c r="M888" i="56"/>
  <c r="M698" i="56"/>
  <c r="M697" i="56"/>
  <c r="M696" i="56"/>
  <c r="M695" i="56"/>
  <c r="M670" i="56"/>
  <c r="M669" i="56"/>
  <c r="M673" i="56"/>
  <c r="M672" i="56"/>
  <c r="M612" i="56"/>
  <c r="M283" i="56"/>
  <c r="M279" i="56"/>
  <c r="M271" i="56"/>
  <c r="M252" i="56"/>
  <c r="M287" i="56"/>
  <c r="M908" i="56"/>
  <c r="M832" i="56"/>
  <c r="T1044" i="56"/>
  <c r="T1042" i="56"/>
  <c r="M305" i="56"/>
  <c r="M925" i="56"/>
  <c r="M924" i="56"/>
  <c r="M923" i="56"/>
  <c r="M922" i="56"/>
  <c r="M921" i="56"/>
  <c r="M920" i="56"/>
  <c r="M919" i="56"/>
  <c r="M914" i="56"/>
  <c r="M911" i="56"/>
  <c r="T1045" i="56"/>
  <c r="M65" i="56"/>
  <c r="M902" i="56"/>
  <c r="M901" i="56"/>
  <c r="M900" i="56"/>
  <c r="M898" i="56"/>
  <c r="M897" i="56"/>
  <c r="M896" i="56"/>
  <c r="M894" i="56"/>
  <c r="M893" i="56"/>
  <c r="M892" i="56"/>
  <c r="M890" i="56"/>
  <c r="M889" i="56"/>
  <c r="M66" i="56"/>
  <c r="M106" i="56"/>
  <c r="M64" i="56"/>
  <c r="M895" i="56"/>
  <c r="M945" i="56"/>
  <c r="M856" i="56"/>
  <c r="M41" i="56"/>
  <c r="M625" i="56"/>
  <c r="M851" i="56"/>
  <c r="T1043" i="56"/>
  <c r="M847" i="56"/>
  <c r="T1041" i="56"/>
  <c r="M463" i="56"/>
  <c r="M171" i="56"/>
  <c r="M113" i="56"/>
  <c r="M572" i="56"/>
  <c r="M571" i="56"/>
  <c r="M660" i="56"/>
  <c r="T1040" i="56"/>
  <c r="M180" i="56"/>
  <c r="M178" i="56"/>
  <c r="M788" i="56"/>
  <c r="M798" i="56"/>
  <c r="M717" i="56"/>
  <c r="M817" i="56"/>
  <c r="M813" i="56"/>
  <c r="M811" i="56"/>
  <c r="M230" i="56"/>
  <c r="M227" i="56"/>
  <c r="M224" i="56"/>
  <c r="M169" i="56"/>
  <c r="T1039" i="56"/>
  <c r="M678" i="56"/>
  <c r="M735" i="56"/>
  <c r="M44" i="56"/>
  <c r="M176" i="56"/>
  <c r="T1038" i="56"/>
  <c r="M208" i="56"/>
  <c r="M499" i="56"/>
  <c r="M489" i="56"/>
  <c r="M558" i="56"/>
  <c r="M557" i="56"/>
  <c r="M554" i="56"/>
  <c r="M553" i="56"/>
  <c r="M552" i="56"/>
  <c r="M551" i="56"/>
  <c r="M103" i="56"/>
  <c r="M53" i="56"/>
  <c r="M857" i="56"/>
  <c r="M531" i="56"/>
  <c r="M797" i="56"/>
  <c r="M486" i="56"/>
  <c r="M469" i="56"/>
  <c r="M475" i="56"/>
  <c r="M615" i="56"/>
  <c r="M647" i="56"/>
  <c r="M680" i="56"/>
  <c r="M666" i="56"/>
  <c r="M459" i="56"/>
  <c r="M461" i="56"/>
  <c r="M458" i="56"/>
  <c r="M457" i="56"/>
  <c r="M307" i="56"/>
  <c r="M215" i="56"/>
  <c r="M210" i="56"/>
  <c r="M207" i="56"/>
  <c r="M206" i="56"/>
  <c r="M211" i="56"/>
  <c r="M209" i="56"/>
  <c r="M203" i="56"/>
  <c r="M12" i="56"/>
  <c r="M25" i="56"/>
  <c r="M562" i="56"/>
  <c r="M14" i="56"/>
  <c r="M664" i="56"/>
  <c r="M795" i="56"/>
  <c r="M550" i="56"/>
  <c r="M303" i="56"/>
  <c r="M31" i="56"/>
  <c r="S5" i="56"/>
  <c r="U5" i="56"/>
  <c r="M408" i="56"/>
  <c r="M845" i="56"/>
  <c r="M172" i="56"/>
  <c r="M580" i="56"/>
  <c r="M547" i="56"/>
  <c r="M796" i="56"/>
  <c r="M549" i="56"/>
  <c r="M786" i="56"/>
  <c r="M304" i="56"/>
  <c r="M782" i="56"/>
  <c r="M285" i="56"/>
  <c r="M533" i="56"/>
  <c r="M532" i="56"/>
  <c r="M281" i="56"/>
  <c r="T281" i="56"/>
  <c r="M633" i="56"/>
  <c r="M632" i="56"/>
  <c r="M631" i="56"/>
  <c r="M384" i="56"/>
  <c r="M439" i="56"/>
  <c r="M368" i="56"/>
  <c r="M600" i="56"/>
  <c r="M598" i="56"/>
  <c r="M597" i="56"/>
  <c r="M607" i="56"/>
  <c r="M606" i="56"/>
  <c r="M605" i="56"/>
  <c r="M604" i="56"/>
  <c r="M603" i="56"/>
  <c r="M596" i="56"/>
  <c r="M601" i="56"/>
  <c r="M602" i="56"/>
  <c r="M579" i="56"/>
  <c r="M626" i="56"/>
  <c r="M691" i="56"/>
  <c r="M689" i="56"/>
  <c r="M688" i="56"/>
  <c r="M687" i="56"/>
  <c r="M690" i="56"/>
  <c r="M755" i="56"/>
  <c r="M713" i="56"/>
  <c r="M292" i="56"/>
  <c r="M577" i="56"/>
  <c r="M705" i="56"/>
  <c r="M530" i="56"/>
  <c r="M529" i="56"/>
  <c r="M629" i="56"/>
  <c r="M767" i="56"/>
  <c r="M628" i="56"/>
  <c r="M246" i="56"/>
  <c r="M506" i="56"/>
  <c r="M534" i="56"/>
  <c r="M284" i="56"/>
  <c r="M583" i="56"/>
  <c r="M286" i="56"/>
  <c r="M559" i="56"/>
  <c r="M277" i="56"/>
  <c r="M278" i="56"/>
  <c r="M251" i="56"/>
  <c r="M249" i="56"/>
  <c r="M244" i="56"/>
  <c r="M250" i="56"/>
  <c r="M63" i="56"/>
  <c r="M692" i="56"/>
  <c r="M23" i="56"/>
  <c r="M21" i="56"/>
  <c r="M15" i="56"/>
  <c r="M214" i="56"/>
  <c r="M202" i="56"/>
  <c r="M428" i="56"/>
  <c r="M594" i="56"/>
  <c r="M437" i="56"/>
  <c r="M433" i="56"/>
  <c r="M24" i="56"/>
  <c r="M11" i="56"/>
  <c r="M9" i="56"/>
  <c r="M8" i="56"/>
  <c r="M723" i="56"/>
  <c r="M29" i="56"/>
  <c r="M18" i="56"/>
  <c r="M27" i="56"/>
  <c r="M26" i="56"/>
  <c r="M22" i="56"/>
  <c r="M17" i="56"/>
  <c r="M16" i="56"/>
  <c r="M646" i="56"/>
  <c r="M645" i="56"/>
  <c r="M10" i="56"/>
  <c r="M13" i="56"/>
  <c r="M367" i="56"/>
  <c r="M613" i="56"/>
  <c r="M365" i="56"/>
  <c r="M608" i="56"/>
  <c r="M402" i="56"/>
  <c r="T367" i="56"/>
  <c r="M164" i="56"/>
  <c r="M168" i="56"/>
  <c r="M139" i="56"/>
  <c r="M150" i="56"/>
  <c r="M144" i="56"/>
  <c r="M161" i="56"/>
  <c r="M138" i="56"/>
  <c r="M137" i="56"/>
  <c r="M293" i="56"/>
  <c r="M297" i="56"/>
  <c r="M291" i="56"/>
  <c r="M290" i="56"/>
  <c r="M301" i="56"/>
  <c r="M683" i="56"/>
  <c r="M642" i="56"/>
  <c r="M693" i="56"/>
  <c r="M310" i="56"/>
  <c r="M177" i="56"/>
  <c r="M175" i="56"/>
  <c r="M174" i="56"/>
  <c r="M173" i="56"/>
  <c r="M204" i="56"/>
  <c r="M565" i="56"/>
  <c r="T697" i="56"/>
  <c r="T696" i="56"/>
  <c r="T695" i="56"/>
  <c r="T693" i="56"/>
  <c r="T692" i="56"/>
  <c r="T690" i="56"/>
  <c r="T689" i="56"/>
  <c r="T686" i="56"/>
  <c r="T679" i="56"/>
  <c r="T677" i="56"/>
  <c r="T667" i="56"/>
  <c r="T663" i="56"/>
  <c r="T662" i="56"/>
  <c r="T652" i="56"/>
  <c r="T640" i="56"/>
  <c r="T639" i="56"/>
  <c r="T636" i="56"/>
  <c r="T626" i="56"/>
  <c r="T565" i="56"/>
  <c r="T564" i="56"/>
  <c r="T563" i="56"/>
  <c r="T243" i="56"/>
  <c r="T241" i="56"/>
  <c r="T240" i="56"/>
  <c r="T239" i="56"/>
  <c r="T238" i="56"/>
  <c r="T237" i="56"/>
  <c r="T236" i="56"/>
  <c r="T235" i="56"/>
  <c r="T233" i="56"/>
  <c r="T232" i="56"/>
  <c r="T231" i="56"/>
  <c r="T230" i="56"/>
  <c r="T225" i="56"/>
  <c r="T221" i="56"/>
  <c r="T218" i="56"/>
  <c r="T214" i="56"/>
  <c r="T210" i="56"/>
  <c r="T206" i="56"/>
  <c r="T202" i="56"/>
  <c r="T198" i="56"/>
  <c r="T194" i="56"/>
  <c r="T190" i="56"/>
  <c r="T186" i="56"/>
  <c r="T182" i="56"/>
  <c r="T178" i="56"/>
  <c r="T174" i="56"/>
  <c r="T170" i="56"/>
  <c r="T169" i="56"/>
  <c r="T167" i="56"/>
  <c r="T166" i="56"/>
  <c r="T165" i="56"/>
  <c r="T163" i="56"/>
  <c r="T162" i="56"/>
  <c r="T161" i="56"/>
  <c r="T159" i="56"/>
  <c r="T158" i="56"/>
  <c r="T157" i="56"/>
  <c r="T155" i="56"/>
  <c r="T154" i="56"/>
  <c r="T153" i="56"/>
  <c r="T151" i="56"/>
  <c r="T150" i="56"/>
  <c r="T149" i="56"/>
  <c r="T147" i="56"/>
  <c r="T146" i="56"/>
  <c r="T145" i="56"/>
  <c r="T143" i="56"/>
  <c r="T142" i="56"/>
  <c r="T141" i="56"/>
  <c r="T139" i="56"/>
  <c r="T138" i="56"/>
  <c r="T137" i="56"/>
  <c r="T135" i="56"/>
  <c r="T134" i="56"/>
  <c r="T133" i="56"/>
  <c r="T131" i="56"/>
  <c r="T130" i="56"/>
  <c r="T128" i="56"/>
  <c r="T127" i="56"/>
  <c r="T126" i="56"/>
  <c r="T124" i="56"/>
  <c r="T123" i="56"/>
  <c r="T120" i="56"/>
  <c r="T116" i="56"/>
  <c r="T115" i="56"/>
  <c r="T112" i="56"/>
  <c r="T111" i="56"/>
  <c r="T108" i="56"/>
  <c r="T106" i="56"/>
  <c r="T104" i="56"/>
  <c r="T103" i="56"/>
  <c r="T100" i="56"/>
  <c r="T99" i="56"/>
  <c r="T97" i="56"/>
  <c r="T96" i="56"/>
  <c r="T93" i="56"/>
  <c r="T92" i="56"/>
  <c r="T86" i="56"/>
  <c r="T85" i="56"/>
  <c r="T84" i="56"/>
  <c r="T82" i="56"/>
  <c r="T81" i="56"/>
  <c r="T78" i="56"/>
  <c r="T76" i="56"/>
  <c r="T74" i="56"/>
  <c r="T73" i="56"/>
  <c r="T72" i="56"/>
  <c r="T71" i="56"/>
  <c r="T70" i="56"/>
  <c r="T69" i="56"/>
  <c r="T64" i="56"/>
  <c r="T63" i="56"/>
  <c r="T61" i="56"/>
  <c r="T59" i="56"/>
  <c r="T58" i="56"/>
  <c r="T56" i="56"/>
  <c r="T55" i="56"/>
  <c r="T53" i="56"/>
  <c r="T52" i="56"/>
  <c r="T49" i="56"/>
  <c r="T48" i="56"/>
  <c r="T45" i="56"/>
  <c r="T682" i="56"/>
  <c r="T681" i="56"/>
  <c r="T678" i="56"/>
  <c r="T676" i="56"/>
  <c r="T670" i="56"/>
  <c r="T666" i="56"/>
  <c r="T647" i="56"/>
  <c r="T644" i="56"/>
  <c r="T643" i="56"/>
  <c r="T623" i="56"/>
  <c r="T611" i="56"/>
  <c r="T582" i="56"/>
  <c r="T580" i="56"/>
  <c r="T562" i="56"/>
  <c r="T441" i="56"/>
  <c r="T375" i="56"/>
  <c r="T371" i="56"/>
  <c r="T346" i="56"/>
  <c r="T312" i="56"/>
  <c r="T287" i="56"/>
  <c r="T286" i="56"/>
  <c r="T269" i="56"/>
  <c r="T43" i="56"/>
  <c r="T41" i="56"/>
  <c r="T36" i="56"/>
  <c r="T33" i="56"/>
  <c r="T680" i="56"/>
  <c r="T660" i="56"/>
  <c r="T624" i="56"/>
  <c r="T622" i="56"/>
  <c r="T616" i="56"/>
  <c r="T592" i="56"/>
  <c r="T584" i="56"/>
  <c r="T577" i="56"/>
  <c r="T568" i="56"/>
  <c r="T433" i="56"/>
  <c r="T278" i="56"/>
  <c r="T273" i="56"/>
  <c r="T30" i="56"/>
  <c r="T44" i="56"/>
  <c r="T39" i="56"/>
  <c r="T34" i="56"/>
  <c r="T32" i="56"/>
  <c r="T31" i="56"/>
  <c r="T29" i="56"/>
  <c r="T27" i="56"/>
  <c r="T25" i="56"/>
  <c r="T24" i="56"/>
  <c r="T21" i="56"/>
  <c r="T20" i="56"/>
  <c r="T19" i="56"/>
  <c r="T18" i="56"/>
  <c r="T17" i="56"/>
  <c r="T16" i="56"/>
  <c r="T15" i="56"/>
  <c r="T13" i="56"/>
  <c r="T12" i="56"/>
  <c r="T11" i="56"/>
  <c r="T10" i="56"/>
  <c r="T8" i="56"/>
  <c r="T9" i="56"/>
  <c r="T28" i="56"/>
  <c r="T40" i="56"/>
  <c r="T47" i="56"/>
  <c r="T68" i="56"/>
  <c r="T77" i="56"/>
  <c r="T88" i="56"/>
  <c r="T102" i="56"/>
  <c r="T107" i="56"/>
  <c r="T114" i="56"/>
  <c r="T118" i="56"/>
  <c r="T119" i="56"/>
  <c r="T122" i="56"/>
  <c r="T110" i="56"/>
  <c r="T95" i="56"/>
  <c r="T91" i="56"/>
  <c r="T80" i="56"/>
  <c r="T62" i="56"/>
  <c r="T51" i="56"/>
  <c r="T35" i="56"/>
  <c r="T23" i="56"/>
  <c r="T684" i="56"/>
  <c r="T683" i="56"/>
  <c r="T673" i="56"/>
  <c r="T672" i="56"/>
  <c r="T671" i="56"/>
  <c r="T669" i="56"/>
  <c r="T668" i="56"/>
  <c r="T659" i="56"/>
  <c r="T658" i="56"/>
  <c r="T657" i="56"/>
  <c r="T656" i="56"/>
  <c r="T655" i="56"/>
  <c r="T654" i="56"/>
  <c r="T653" i="56"/>
  <c r="T651" i="56"/>
  <c r="T650" i="56"/>
  <c r="T649" i="56"/>
  <c r="T648" i="56"/>
  <c r="T646" i="56"/>
  <c r="T645" i="56"/>
  <c r="T635" i="56"/>
  <c r="T633" i="56"/>
  <c r="T632" i="56"/>
  <c r="T631" i="56"/>
  <c r="T630" i="56"/>
  <c r="T629" i="56"/>
  <c r="T628" i="56"/>
  <c r="T627" i="56"/>
  <c r="T620" i="56"/>
  <c r="T615" i="56"/>
  <c r="T614" i="56"/>
  <c r="T613" i="56"/>
  <c r="T612" i="56"/>
  <c r="T608" i="56"/>
  <c r="T607" i="56"/>
  <c r="T606" i="56"/>
  <c r="T605" i="56"/>
  <c r="T604" i="56"/>
  <c r="T603" i="56"/>
  <c r="T602" i="56"/>
  <c r="T601" i="56"/>
  <c r="T600" i="56"/>
  <c r="T599" i="56"/>
  <c r="T598" i="56"/>
  <c r="T597" i="56"/>
  <c r="T596" i="56"/>
  <c r="T595" i="56"/>
  <c r="T594" i="56"/>
  <c r="T593" i="56"/>
  <c r="T591" i="56"/>
  <c r="T590" i="56"/>
  <c r="T589" i="56"/>
  <c r="T586" i="56"/>
  <c r="T583" i="56"/>
  <c r="T581" i="56"/>
  <c r="T578" i="56"/>
  <c r="T575" i="56"/>
  <c r="T574" i="56"/>
  <c r="T573" i="56"/>
  <c r="T572" i="56"/>
  <c r="T571" i="56"/>
  <c r="T569" i="56"/>
  <c r="T503" i="56"/>
  <c r="T502" i="56"/>
  <c r="T501" i="56"/>
  <c r="T500" i="56"/>
  <c r="T499" i="56"/>
  <c r="T498" i="56"/>
  <c r="T497" i="56"/>
  <c r="T496" i="56"/>
  <c r="T495" i="56"/>
  <c r="T494" i="56"/>
  <c r="T493" i="56"/>
  <c r="T492" i="56"/>
  <c r="T491" i="56"/>
  <c r="T490" i="56"/>
  <c r="T489" i="56"/>
  <c r="T488" i="56"/>
  <c r="T487" i="56"/>
  <c r="T486" i="56"/>
  <c r="T485" i="56"/>
  <c r="T484" i="56"/>
  <c r="T483" i="56"/>
  <c r="T482" i="56"/>
  <c r="T481" i="56"/>
  <c r="T480" i="56"/>
  <c r="T479" i="56"/>
  <c r="T478" i="56"/>
  <c r="T477" i="56"/>
  <c r="T476" i="56"/>
  <c r="T475" i="56"/>
  <c r="T474" i="56"/>
  <c r="T473" i="56"/>
  <c r="T472" i="56"/>
  <c r="T471" i="56"/>
  <c r="T470" i="56"/>
  <c r="T469" i="56"/>
  <c r="T468" i="56"/>
  <c r="T467" i="56"/>
  <c r="T466" i="56"/>
  <c r="T465" i="56"/>
  <c r="T464" i="56"/>
  <c r="T463" i="56"/>
  <c r="T462" i="56"/>
  <c r="T461" i="56"/>
  <c r="T460" i="56"/>
  <c r="T459" i="56"/>
  <c r="T458" i="56"/>
  <c r="T457" i="56"/>
  <c r="T456" i="56"/>
  <c r="T455" i="56"/>
  <c r="T454" i="56"/>
  <c r="T453" i="56"/>
  <c r="T452" i="56"/>
  <c r="T451" i="56"/>
  <c r="T450" i="56"/>
  <c r="T449" i="56"/>
  <c r="T448" i="56"/>
  <c r="T447" i="56"/>
  <c r="T446" i="56"/>
  <c r="T445" i="56"/>
  <c r="T444" i="56"/>
  <c r="T443" i="56"/>
  <c r="T442" i="56"/>
  <c r="T440" i="56"/>
  <c r="T439" i="56"/>
  <c r="T438" i="56"/>
  <c r="T437" i="56"/>
  <c r="T436" i="56"/>
  <c r="T435" i="56"/>
  <c r="T434" i="56"/>
  <c r="T432" i="56"/>
  <c r="T431" i="56"/>
  <c r="T430" i="56"/>
  <c r="T429" i="56"/>
  <c r="T428" i="56"/>
  <c r="T427" i="56"/>
  <c r="T426" i="56"/>
  <c r="T425" i="56"/>
  <c r="T424" i="56"/>
  <c r="T423" i="56"/>
  <c r="T422" i="56"/>
  <c r="T421" i="56"/>
  <c r="T420" i="56"/>
  <c r="T419" i="56"/>
  <c r="T418" i="56"/>
  <c r="T417" i="56"/>
  <c r="T416" i="56"/>
  <c r="T415" i="56"/>
  <c r="T414" i="56"/>
  <c r="T413" i="56"/>
  <c r="T412" i="56"/>
  <c r="T411" i="56"/>
  <c r="T410" i="56"/>
  <c r="T409" i="56"/>
  <c r="T408" i="56"/>
  <c r="T407" i="56"/>
  <c r="T406" i="56"/>
  <c r="T405" i="56"/>
  <c r="T404" i="56"/>
  <c r="T403" i="56"/>
  <c r="T402" i="56"/>
  <c r="T401" i="56"/>
  <c r="T400" i="56"/>
  <c r="T399" i="56"/>
  <c r="T398" i="56"/>
  <c r="T397" i="56"/>
  <c r="T396" i="56"/>
  <c r="T395" i="56"/>
  <c r="T394" i="56"/>
  <c r="T393" i="56"/>
  <c r="T392" i="56"/>
  <c r="T391" i="56"/>
  <c r="T390" i="56"/>
  <c r="T389" i="56"/>
  <c r="T388" i="56"/>
  <c r="T387" i="56"/>
  <c r="T386" i="56"/>
  <c r="T385" i="56"/>
  <c r="T384" i="56"/>
  <c r="T383" i="56"/>
  <c r="T382" i="56"/>
  <c r="T381" i="56"/>
  <c r="T380" i="56"/>
  <c r="T379" i="56"/>
  <c r="T378" i="56"/>
  <c r="T377" i="56"/>
  <c r="T376" i="56"/>
  <c r="T374" i="56"/>
  <c r="T373" i="56"/>
  <c r="T372" i="56"/>
  <c r="T370" i="56"/>
  <c r="T369" i="56"/>
  <c r="T366" i="56"/>
  <c r="T365" i="56"/>
  <c r="T364" i="56"/>
  <c r="T363" i="56"/>
  <c r="T362" i="56"/>
  <c r="T361" i="56"/>
  <c r="T360" i="56"/>
  <c r="T359" i="56"/>
  <c r="T358" i="56"/>
  <c r="T357" i="56"/>
  <c r="T356" i="56"/>
  <c r="T355" i="56"/>
  <c r="T354" i="56"/>
  <c r="T353" i="56"/>
  <c r="T352" i="56"/>
  <c r="T351" i="56"/>
  <c r="T350" i="56"/>
  <c r="T349" i="56"/>
  <c r="T348" i="56"/>
  <c r="T347" i="56"/>
  <c r="T345" i="56"/>
  <c r="T344" i="56"/>
  <c r="T343" i="56"/>
  <c r="T342" i="56"/>
  <c r="T341" i="56"/>
  <c r="T340" i="56"/>
  <c r="T339" i="56"/>
  <c r="T338" i="56"/>
  <c r="T337" i="56"/>
  <c r="T336" i="56"/>
  <c r="T335" i="56"/>
  <c r="T334" i="56"/>
  <c r="T333" i="56"/>
  <c r="T332" i="56"/>
  <c r="T331" i="56"/>
  <c r="T330" i="56"/>
  <c r="T329" i="56"/>
  <c r="T328" i="56"/>
  <c r="T327" i="56"/>
  <c r="T326" i="56"/>
  <c r="T325" i="56"/>
  <c r="T324" i="56"/>
  <c r="T323" i="56"/>
  <c r="T322" i="56"/>
  <c r="T321" i="56"/>
  <c r="T320" i="56"/>
  <c r="T319" i="56"/>
  <c r="T318" i="56"/>
  <c r="T317" i="56"/>
  <c r="T316" i="56"/>
  <c r="T315" i="56"/>
  <c r="T314" i="56"/>
  <c r="T313" i="56"/>
  <c r="T311" i="56"/>
  <c r="T310" i="56"/>
  <c r="T309" i="56"/>
  <c r="T308" i="56"/>
  <c r="T306" i="56"/>
  <c r="T305" i="56"/>
  <c r="T304" i="56"/>
  <c r="T303" i="56"/>
  <c r="T302" i="56"/>
  <c r="T301" i="56"/>
  <c r="T300" i="56"/>
  <c r="T299" i="56"/>
  <c r="T298" i="56"/>
  <c r="T297" i="56"/>
  <c r="T296" i="56"/>
  <c r="T295" i="56"/>
  <c r="T294" i="56"/>
  <c r="T293" i="56"/>
  <c r="T292" i="56"/>
  <c r="T291" i="56"/>
  <c r="T290" i="56"/>
  <c r="T289" i="56"/>
  <c r="T288" i="56"/>
  <c r="T285" i="56"/>
  <c r="T284" i="56"/>
  <c r="T283" i="56"/>
  <c r="T282" i="56"/>
  <c r="T307" i="56"/>
  <c r="T280" i="56"/>
  <c r="T279" i="56"/>
  <c r="T277" i="56"/>
  <c r="T276" i="56"/>
  <c r="T275" i="56"/>
  <c r="T274" i="56"/>
  <c r="T272" i="56"/>
  <c r="T271" i="56"/>
  <c r="T270" i="56"/>
  <c r="T268" i="56"/>
  <c r="T267" i="56"/>
  <c r="T266" i="56"/>
  <c r="T265" i="56"/>
  <c r="T264" i="56"/>
  <c r="T263" i="56"/>
  <c r="T262" i="56"/>
  <c r="T261" i="56"/>
  <c r="T260" i="56"/>
  <c r="T259" i="56"/>
  <c r="T258" i="56"/>
  <c r="T257" i="56"/>
  <c r="T256" i="56"/>
  <c r="T255" i="56"/>
  <c r="T254" i="56"/>
  <c r="T253" i="56"/>
  <c r="T252" i="56"/>
  <c r="T251" i="56"/>
  <c r="T250" i="56"/>
  <c r="T249" i="56"/>
  <c r="T248" i="56"/>
  <c r="T247" i="56"/>
  <c r="T246" i="56"/>
  <c r="T245" i="56"/>
  <c r="T14" i="56"/>
  <c r="T22" i="56"/>
  <c r="T26" i="56"/>
  <c r="T37" i="56"/>
  <c r="T38" i="56"/>
  <c r="T42" i="56"/>
  <c r="T46" i="56"/>
  <c r="T50" i="56"/>
  <c r="T54" i="56"/>
  <c r="T57" i="56"/>
  <c r="T60" i="56"/>
  <c r="T65" i="56"/>
  <c r="T66" i="56"/>
  <c r="T67" i="56"/>
  <c r="T75" i="56"/>
  <c r="T79" i="56"/>
  <c r="T83" i="56"/>
  <c r="T87" i="56"/>
  <c r="T89" i="56"/>
  <c r="T90" i="56"/>
  <c r="T94" i="56"/>
  <c r="T98" i="56"/>
  <c r="T101" i="56"/>
  <c r="T105" i="56"/>
  <c r="T109" i="56"/>
  <c r="T113" i="56"/>
  <c r="T117" i="56"/>
  <c r="T121" i="56"/>
  <c r="T125" i="56"/>
  <c r="T129" i="56"/>
  <c r="T132" i="56"/>
  <c r="T136" i="56"/>
  <c r="T140" i="56"/>
  <c r="T144" i="56"/>
  <c r="T148" i="56"/>
  <c r="T152" i="56"/>
  <c r="T156" i="56"/>
  <c r="T160" i="56"/>
  <c r="T164" i="56"/>
  <c r="T168" i="56"/>
  <c r="T171" i="56"/>
  <c r="T172" i="56"/>
  <c r="T173" i="56"/>
  <c r="T175" i="56"/>
  <c r="T176" i="56"/>
  <c r="T177" i="56"/>
  <c r="T179" i="56"/>
  <c r="T180" i="56"/>
  <c r="T181" i="56"/>
  <c r="T183" i="56"/>
  <c r="T184" i="56"/>
  <c r="T185" i="56"/>
  <c r="T187" i="56"/>
  <c r="T188" i="56"/>
  <c r="T189" i="56"/>
  <c r="T191" i="56"/>
  <c r="T192" i="56"/>
  <c r="T193" i="56"/>
  <c r="T195" i="56"/>
  <c r="T196" i="56"/>
  <c r="T197" i="56"/>
  <c r="T199" i="56"/>
  <c r="T200" i="56"/>
  <c r="T201" i="56"/>
  <c r="T203" i="56"/>
  <c r="T204" i="56"/>
  <c r="T205" i="56"/>
  <c r="T207" i="56"/>
  <c r="T208" i="56"/>
  <c r="T209" i="56"/>
  <c r="T211" i="56"/>
  <c r="T212" i="56"/>
  <c r="T213" i="56"/>
  <c r="T215" i="56"/>
  <c r="T216" i="56"/>
  <c r="T217" i="56"/>
  <c r="T219" i="56"/>
  <c r="T220" i="56"/>
  <c r="T222" i="56"/>
  <c r="T223" i="56"/>
  <c r="T224" i="56"/>
  <c r="T226" i="56"/>
  <c r="T227" i="56"/>
  <c r="T228" i="56"/>
  <c r="T229" i="56"/>
  <c r="T234" i="56"/>
  <c r="T242" i="56"/>
  <c r="T504" i="56"/>
  <c r="T505" i="56"/>
  <c r="T506" i="56"/>
  <c r="T507" i="56"/>
  <c r="T508" i="56"/>
  <c r="T509" i="56"/>
  <c r="T510" i="56"/>
  <c r="T511" i="56"/>
  <c r="T512" i="56"/>
  <c r="T513" i="56"/>
  <c r="T514" i="56"/>
  <c r="T515" i="56"/>
  <c r="T516" i="56"/>
  <c r="T517" i="56"/>
  <c r="T518" i="56"/>
  <c r="T519" i="56"/>
  <c r="T520" i="56"/>
  <c r="T521" i="56"/>
  <c r="T522" i="56"/>
  <c r="T523" i="56"/>
  <c r="T524" i="56"/>
  <c r="T525" i="56"/>
  <c r="T526" i="56"/>
  <c r="T527" i="56"/>
  <c r="T528" i="56"/>
  <c r="T529" i="56"/>
  <c r="T530" i="56"/>
  <c r="T531" i="56"/>
  <c r="T532" i="56"/>
  <c r="T533" i="56"/>
  <c r="T534" i="56"/>
  <c r="T535" i="56"/>
  <c r="T536" i="56"/>
  <c r="T537" i="56"/>
  <c r="T538" i="56"/>
  <c r="T539" i="56"/>
  <c r="T540" i="56"/>
  <c r="T541" i="56"/>
  <c r="T542" i="56"/>
  <c r="T543" i="56"/>
  <c r="T544" i="56"/>
  <c r="T545" i="56"/>
  <c r="T546" i="56"/>
  <c r="T547" i="56"/>
  <c r="T548" i="56"/>
  <c r="T549" i="56"/>
  <c r="T550" i="56"/>
  <c r="T551" i="56"/>
  <c r="T552" i="56"/>
  <c r="T553" i="56"/>
  <c r="T554" i="56"/>
  <c r="T555" i="56"/>
  <c r="T556" i="56"/>
  <c r="T557" i="56"/>
  <c r="T558" i="56"/>
  <c r="T559" i="56"/>
  <c r="T560" i="56"/>
  <c r="T561" i="56"/>
  <c r="T566" i="56"/>
  <c r="T567" i="56"/>
  <c r="T570" i="56"/>
  <c r="T576" i="56"/>
  <c r="T579" i="56"/>
  <c r="T585" i="56"/>
  <c r="T587" i="56"/>
  <c r="T588" i="56"/>
  <c r="T609" i="56"/>
  <c r="T610" i="56"/>
  <c r="T617" i="56"/>
  <c r="T618" i="56"/>
  <c r="T619" i="56"/>
  <c r="T621" i="56"/>
  <c r="T625" i="56"/>
  <c r="T634" i="56"/>
  <c r="T637" i="56"/>
  <c r="T638" i="56"/>
  <c r="T641" i="56"/>
  <c r="T642" i="56"/>
  <c r="T661" i="56"/>
  <c r="T664" i="56"/>
  <c r="T665" i="56"/>
  <c r="T674" i="56"/>
  <c r="T675" i="56"/>
  <c r="T685" i="56"/>
  <c r="T687" i="56"/>
  <c r="T688" i="56"/>
  <c r="T691" i="56"/>
  <c r="T694" i="56"/>
  <c r="T698" i="56"/>
  <c r="T699" i="56"/>
  <c r="T700" i="56"/>
  <c r="T701" i="56"/>
  <c r="T702" i="56"/>
  <c r="T703" i="56"/>
  <c r="T704" i="56"/>
  <c r="T705" i="56"/>
  <c r="T706" i="56"/>
  <c r="T707" i="56"/>
  <c r="T708" i="56"/>
  <c r="T709" i="56"/>
  <c r="T710" i="56"/>
  <c r="T711" i="56"/>
  <c r="T712" i="56"/>
  <c r="T713" i="56"/>
  <c r="T714" i="56"/>
  <c r="T715" i="56"/>
  <c r="T716" i="56"/>
  <c r="T717" i="56"/>
  <c r="T718" i="56"/>
  <c r="T719" i="56"/>
  <c r="T720" i="56"/>
  <c r="T721" i="56"/>
  <c r="T722" i="56"/>
  <c r="T723" i="56"/>
  <c r="T724" i="56"/>
  <c r="T725" i="56"/>
  <c r="T726" i="56"/>
  <c r="T727" i="56"/>
  <c r="T728" i="56"/>
  <c r="T729" i="56"/>
  <c r="T730" i="56"/>
  <c r="T731" i="56"/>
  <c r="T732" i="56"/>
  <c r="T733" i="56"/>
  <c r="T734" i="56"/>
  <c r="T735" i="56"/>
  <c r="T737" i="56"/>
  <c r="T738" i="56"/>
  <c r="T739" i="56"/>
  <c r="T740" i="56"/>
  <c r="T741" i="56"/>
  <c r="T742" i="56"/>
  <c r="T743" i="56"/>
  <c r="T744" i="56"/>
  <c r="T745" i="56"/>
  <c r="T746" i="56"/>
  <c r="T747" i="56"/>
  <c r="T748" i="56"/>
  <c r="T749" i="56"/>
  <c r="T750" i="56"/>
  <c r="T751" i="56"/>
  <c r="T752" i="56"/>
  <c r="T753" i="56"/>
  <c r="T754" i="56"/>
  <c r="T755" i="56"/>
  <c r="T756" i="56"/>
  <c r="T757" i="56"/>
  <c r="T758" i="56"/>
  <c r="T759" i="56"/>
  <c r="T760" i="56"/>
  <c r="T761" i="56"/>
  <c r="T762" i="56"/>
  <c r="T763" i="56"/>
  <c r="T764" i="56"/>
  <c r="T765" i="56"/>
  <c r="T766" i="56"/>
  <c r="T767" i="56"/>
  <c r="T768" i="56"/>
  <c r="T769" i="56"/>
  <c r="T770" i="56"/>
  <c r="T771" i="56"/>
  <c r="T772" i="56"/>
  <c r="T773" i="56"/>
  <c r="T774" i="56"/>
  <c r="T775" i="56"/>
  <c r="T776" i="56"/>
  <c r="T777" i="56"/>
  <c r="T778" i="56"/>
  <c r="T779" i="56"/>
  <c r="T780" i="56"/>
  <c r="T781" i="56"/>
  <c r="T782" i="56"/>
  <c r="T783" i="56"/>
  <c r="T784" i="56"/>
  <c r="T785" i="56"/>
  <c r="T786" i="56"/>
  <c r="T787" i="56"/>
  <c r="T788" i="56"/>
  <c r="T789" i="56"/>
  <c r="T790" i="56"/>
  <c r="T791" i="56"/>
  <c r="T792" i="56"/>
  <c r="T793" i="56"/>
  <c r="T794" i="56"/>
  <c r="T795" i="56"/>
  <c r="T796" i="56"/>
  <c r="T797" i="56"/>
  <c r="T798" i="56"/>
  <c r="T799" i="56"/>
  <c r="T800" i="56"/>
  <c r="T801" i="56"/>
  <c r="T802" i="56"/>
  <c r="T803" i="56"/>
  <c r="T804" i="56"/>
  <c r="T805" i="56"/>
  <c r="T806" i="56"/>
  <c r="T807" i="56"/>
  <c r="T808" i="56"/>
  <c r="T809" i="56"/>
  <c r="T810" i="56"/>
  <c r="T811" i="56"/>
  <c r="T812" i="56"/>
  <c r="T813" i="56"/>
  <c r="T814" i="56"/>
  <c r="T815" i="56"/>
  <c r="T816" i="56"/>
  <c r="T817" i="56"/>
  <c r="T818" i="56"/>
  <c r="T819" i="56"/>
  <c r="T820" i="56"/>
  <c r="T821" i="56"/>
  <c r="T822" i="56"/>
  <c r="T823" i="56"/>
  <c r="T824" i="56"/>
  <c r="T825" i="56"/>
  <c r="T826" i="56"/>
  <c r="T827" i="56"/>
  <c r="T828" i="56"/>
  <c r="T829" i="56"/>
  <c r="T830" i="56"/>
  <c r="T831" i="56"/>
  <c r="T832" i="56"/>
  <c r="T833" i="56"/>
  <c r="T834" i="56"/>
  <c r="T835" i="56"/>
  <c r="T836" i="56"/>
  <c r="T837" i="56"/>
  <c r="T838" i="56"/>
  <c r="T839" i="56"/>
  <c r="T840" i="56"/>
  <c r="T841" i="56"/>
  <c r="T842" i="56"/>
  <c r="T843" i="56"/>
  <c r="T844" i="56"/>
  <c r="T845" i="56"/>
  <c r="T846" i="56"/>
  <c r="T847" i="56"/>
  <c r="T848" i="56"/>
  <c r="T849" i="56"/>
  <c r="T850" i="56"/>
  <c r="T851" i="56"/>
  <c r="T852" i="56"/>
  <c r="T853" i="56"/>
  <c r="T854" i="56"/>
  <c r="T855" i="56"/>
  <c r="T856" i="56"/>
  <c r="T857" i="56"/>
  <c r="T858" i="56"/>
  <c r="T859" i="56"/>
  <c r="T860" i="56"/>
  <c r="T861" i="56"/>
  <c r="T862" i="56"/>
  <c r="T863" i="56"/>
  <c r="T864" i="56"/>
  <c r="T865" i="56"/>
  <c r="T866" i="56"/>
  <c r="T867" i="56"/>
  <c r="T868" i="56"/>
  <c r="T869" i="56"/>
  <c r="T870" i="56"/>
  <c r="T871" i="56"/>
  <c r="T872" i="56"/>
  <c r="T873" i="56"/>
  <c r="T874" i="56"/>
  <c r="T875" i="56"/>
  <c r="T876" i="56"/>
  <c r="T877" i="56"/>
  <c r="T878" i="56"/>
  <c r="T879" i="56"/>
  <c r="T880" i="56"/>
  <c r="T881" i="56"/>
  <c r="T882" i="56"/>
  <c r="T883" i="56"/>
  <c r="T884" i="56"/>
  <c r="T885" i="56"/>
  <c r="T886" i="56"/>
  <c r="T887" i="56"/>
  <c r="T888" i="56"/>
  <c r="T889" i="56"/>
  <c r="T890" i="56"/>
  <c r="T891" i="56"/>
  <c r="T892" i="56"/>
  <c r="T893" i="56"/>
  <c r="T894" i="56"/>
  <c r="T895" i="56"/>
  <c r="T896" i="56"/>
  <c r="T897" i="56"/>
  <c r="T898" i="56"/>
  <c r="T899" i="56"/>
  <c r="T900" i="56"/>
  <c r="T901" i="56"/>
  <c r="T902" i="56"/>
  <c r="T903" i="56"/>
  <c r="T904" i="56"/>
  <c r="T905" i="56"/>
  <c r="T906" i="56"/>
  <c r="T907" i="56"/>
  <c r="T908" i="56"/>
  <c r="T909" i="56"/>
  <c r="T910" i="56"/>
  <c r="T911" i="56"/>
  <c r="T912" i="56"/>
  <c r="T913" i="56"/>
  <c r="T914" i="56"/>
  <c r="T915" i="56"/>
  <c r="T916" i="56"/>
  <c r="T917" i="56"/>
  <c r="T918" i="56"/>
  <c r="T919" i="56"/>
  <c r="T920" i="56"/>
  <c r="T921" i="56"/>
  <c r="T922" i="56"/>
  <c r="T923" i="56"/>
  <c r="T924" i="56"/>
  <c r="T925" i="56"/>
  <c r="T926" i="56"/>
  <c r="T927" i="56"/>
  <c r="T928" i="56"/>
  <c r="T929" i="56"/>
  <c r="T930" i="56"/>
  <c r="T931" i="56"/>
  <c r="T932" i="56"/>
  <c r="T933" i="56"/>
  <c r="T934" i="56"/>
  <c r="T935" i="56"/>
  <c r="T936" i="56"/>
  <c r="T937" i="56"/>
  <c r="T938" i="56"/>
  <c r="T939" i="56"/>
  <c r="T940" i="56"/>
  <c r="T941" i="56"/>
  <c r="T942" i="56"/>
  <c r="T943" i="56"/>
  <c r="T944" i="56"/>
  <c r="T945" i="56"/>
  <c r="T946" i="56"/>
  <c r="T947" i="56"/>
  <c r="T948" i="56"/>
  <c r="T949" i="56"/>
  <c r="T950" i="56"/>
  <c r="T951" i="56"/>
  <c r="T952" i="56"/>
  <c r="T953" i="56"/>
  <c r="T954" i="56"/>
  <c r="T955" i="56"/>
  <c r="T956" i="56"/>
  <c r="T957" i="56"/>
  <c r="T958" i="56"/>
  <c r="T959" i="56"/>
  <c r="T960" i="56"/>
  <c r="T961" i="56"/>
  <c r="T962" i="56"/>
  <c r="T963" i="56"/>
  <c r="T964" i="56"/>
  <c r="T965" i="56"/>
  <c r="T966" i="56"/>
  <c r="T967" i="56"/>
  <c r="T968" i="56"/>
  <c r="T969" i="56"/>
  <c r="T970" i="56"/>
  <c r="T971" i="56"/>
  <c r="T972" i="56"/>
  <c r="T973" i="56"/>
  <c r="T974" i="56"/>
  <c r="T975" i="56"/>
  <c r="T976" i="56"/>
  <c r="T977" i="56"/>
  <c r="T978" i="56"/>
  <c r="T979" i="56"/>
  <c r="T980" i="56"/>
  <c r="T981" i="56"/>
  <c r="T982" i="56"/>
  <c r="T983" i="56"/>
  <c r="T984" i="56"/>
  <c r="T985" i="56"/>
  <c r="T986" i="56"/>
  <c r="T987" i="56"/>
  <c r="T988" i="56"/>
  <c r="T989" i="56"/>
  <c r="T990" i="56"/>
  <c r="T991" i="56"/>
  <c r="T992" i="56"/>
  <c r="T993" i="56"/>
  <c r="T994" i="56"/>
  <c r="T995" i="56"/>
  <c r="T996" i="56"/>
  <c r="T997" i="56"/>
  <c r="T998" i="56"/>
  <c r="T999" i="56"/>
  <c r="T1000" i="56"/>
  <c r="T1001" i="56"/>
  <c r="T1002" i="56"/>
  <c r="T1003" i="56"/>
  <c r="T1004" i="56"/>
  <c r="T1005" i="56"/>
  <c r="T1006" i="56"/>
  <c r="T1007" i="56"/>
  <c r="T1008" i="56"/>
  <c r="T1009" i="56"/>
  <c r="T1010" i="56"/>
  <c r="T1011" i="56"/>
  <c r="T1012" i="56"/>
  <c r="T1013" i="56"/>
  <c r="T1014" i="56"/>
  <c r="T1015" i="56"/>
  <c r="T1016" i="56"/>
  <c r="T1017" i="56"/>
  <c r="T1018" i="56"/>
  <c r="T1019" i="56"/>
  <c r="T1020" i="56"/>
  <c r="T1021" i="56"/>
  <c r="T1022" i="56"/>
  <c r="T1023" i="56"/>
  <c r="T1024" i="56"/>
  <c r="T1025" i="56"/>
  <c r="T1026" i="56"/>
  <c r="T1027" i="56"/>
  <c r="T1028" i="56"/>
  <c r="T1029" i="56"/>
  <c r="T1030" i="56"/>
  <c r="T1031" i="56"/>
  <c r="T1032" i="56"/>
  <c r="T1033" i="56"/>
  <c r="T1034" i="56"/>
  <c r="T1035" i="56"/>
  <c r="T1036" i="56"/>
  <c r="T1037" i="56"/>
  <c r="T244" i="56"/>
  <c r="M423" i="56"/>
  <c r="M441" i="56"/>
  <c r="M289" i="56"/>
  <c r="M157" i="56"/>
  <c r="M143" i="56"/>
  <c r="M159" i="56"/>
  <c r="M142" i="56"/>
  <c r="M295" i="56"/>
  <c r="M298" i="56"/>
  <c r="M28" i="56"/>
  <c r="M32" i="56"/>
  <c r="M34" i="56"/>
  <c r="M35" i="56"/>
  <c r="M36" i="56"/>
  <c r="M39" i="56"/>
  <c r="M42" i="56"/>
  <c r="M43" i="56"/>
  <c r="M154" i="56"/>
  <c r="M198" i="56"/>
  <c r="M220" i="56"/>
  <c r="M222" i="56"/>
  <c r="M229" i="56"/>
  <c r="M231" i="56"/>
  <c r="M272" i="56"/>
  <c r="M273" i="56"/>
  <c r="M275" i="56"/>
  <c r="M276" i="56"/>
  <c r="M288" i="56"/>
  <c r="M299" i="56"/>
  <c r="M302" i="56"/>
  <c r="M308" i="56"/>
  <c r="M328" i="56"/>
  <c r="M329" i="56"/>
  <c r="M330" i="56"/>
  <c r="M331" i="56"/>
  <c r="M332" i="56"/>
  <c r="M333" i="56"/>
  <c r="M334" i="56"/>
  <c r="M336" i="56"/>
  <c r="M337" i="56"/>
  <c r="M338" i="56"/>
  <c r="M339" i="56"/>
  <c r="M340" i="56"/>
  <c r="M346" i="56"/>
  <c r="M347" i="56"/>
  <c r="M348" i="56"/>
  <c r="M349" i="56"/>
  <c r="M363" i="56"/>
  <c r="M366" i="56"/>
  <c r="M369" i="56"/>
  <c r="M382" i="56"/>
  <c r="M387" i="56"/>
  <c r="M388" i="56"/>
  <c r="M391" i="56"/>
  <c r="M393" i="56"/>
  <c r="M416" i="56"/>
  <c r="M417" i="56"/>
  <c r="M427" i="56"/>
  <c r="M429" i="56"/>
  <c r="M432" i="56"/>
  <c r="M448" i="56"/>
  <c r="M449" i="56"/>
  <c r="M450" i="56"/>
  <c r="M462" i="56"/>
  <c r="M464" i="56"/>
  <c r="M465" i="56"/>
  <c r="M466" i="56"/>
  <c r="M467" i="56"/>
  <c r="M468" i="56"/>
  <c r="M470" i="56"/>
  <c r="M471" i="56"/>
  <c r="M472" i="56"/>
  <c r="M473" i="56"/>
  <c r="M474" i="56"/>
  <c r="M476" i="56"/>
  <c r="M477" i="56"/>
  <c r="M478" i="56"/>
  <c r="M479" i="56"/>
  <c r="M480" i="56"/>
  <c r="M481" i="56"/>
  <c r="M482" i="56"/>
  <c r="M483" i="56"/>
  <c r="M484" i="56"/>
  <c r="M485" i="56"/>
  <c r="M487" i="56"/>
  <c r="M488" i="56"/>
  <c r="M490" i="56"/>
  <c r="M491" i="56"/>
  <c r="M492" i="56"/>
  <c r="M493" i="56"/>
  <c r="M494" i="56"/>
  <c r="M495" i="56"/>
  <c r="M496" i="56"/>
  <c r="M497" i="56"/>
  <c r="M498" i="56"/>
  <c r="M500" i="56"/>
  <c r="M501" i="56"/>
  <c r="M502" i="56"/>
  <c r="M503" i="56"/>
  <c r="M510" i="56"/>
  <c r="M511" i="56"/>
  <c r="M523" i="56"/>
  <c r="M524" i="56"/>
  <c r="M525" i="56"/>
  <c r="M526" i="56"/>
  <c r="M527" i="56"/>
  <c r="M528" i="56"/>
  <c r="M535" i="56"/>
  <c r="M536" i="56"/>
  <c r="M537" i="56"/>
  <c r="M538" i="56"/>
  <c r="M569" i="56"/>
  <c r="M578" i="56"/>
  <c r="M581" i="56"/>
  <c r="M595" i="56"/>
  <c r="M599" i="56"/>
  <c r="M609" i="56"/>
  <c r="M618" i="56"/>
  <c r="M620" i="56"/>
  <c r="M627" i="56"/>
  <c r="M634" i="56"/>
  <c r="M635" i="56"/>
  <c r="M640" i="56"/>
  <c r="M676" i="56"/>
  <c r="M620" i="51"/>
  <c r="M615" i="51"/>
  <c r="M611" i="51"/>
  <c r="M603" i="51"/>
  <c r="M595" i="51"/>
  <c r="M555" i="51"/>
  <c r="M554" i="51"/>
  <c r="M547" i="51"/>
  <c r="M546" i="51"/>
  <c r="M545" i="51"/>
  <c r="M544" i="51"/>
  <c r="M543" i="51"/>
  <c r="M542" i="51"/>
  <c r="M541" i="51"/>
  <c r="M540" i="51"/>
  <c r="M539" i="51"/>
  <c r="M538" i="51"/>
  <c r="M537" i="51"/>
  <c r="M536" i="51"/>
  <c r="M535" i="51"/>
  <c r="M534" i="51"/>
  <c r="M533" i="51"/>
  <c r="M532" i="51"/>
  <c r="M531" i="51"/>
  <c r="M530" i="51"/>
  <c r="M529" i="51"/>
  <c r="M528" i="51"/>
  <c r="M527" i="51"/>
  <c r="M526" i="51"/>
  <c r="M525" i="51"/>
  <c r="M524" i="51"/>
  <c r="M523" i="51"/>
  <c r="M522" i="51"/>
  <c r="M521" i="51"/>
  <c r="M520" i="51"/>
  <c r="M519" i="51"/>
  <c r="M518" i="51"/>
  <c r="M517" i="51"/>
  <c r="M516" i="51"/>
  <c r="M515" i="51"/>
  <c r="M513" i="51"/>
  <c r="M512" i="51"/>
  <c r="M511" i="51"/>
  <c r="M510" i="51"/>
  <c r="M509" i="51"/>
  <c r="M508" i="51"/>
  <c r="M506" i="51"/>
  <c r="M505" i="51"/>
  <c r="M499" i="51"/>
  <c r="M493" i="51"/>
  <c r="M408" i="51"/>
  <c r="M400" i="51"/>
  <c r="M359" i="51"/>
  <c r="M353" i="51"/>
  <c r="M333" i="51"/>
  <c r="M244" i="51"/>
  <c r="M242" i="51"/>
  <c r="M237" i="51"/>
  <c r="M226" i="51"/>
  <c r="Q226" i="51"/>
  <c r="M220" i="51"/>
  <c r="Q220" i="51"/>
  <c r="M182" i="51"/>
  <c r="M42" i="51"/>
  <c r="M24" i="51"/>
  <c r="M7" i="51"/>
  <c r="T619" i="49"/>
  <c r="M615" i="49"/>
  <c r="M611" i="49"/>
  <c r="M603" i="49"/>
  <c r="M543" i="49"/>
  <c r="M535" i="49"/>
  <c r="M512" i="49"/>
  <c r="M506" i="49"/>
  <c r="M399" i="49"/>
  <c r="M358" i="49"/>
  <c r="M352" i="49"/>
  <c r="M332" i="49"/>
  <c r="M243" i="49"/>
  <c r="M237" i="49"/>
  <c r="M226" i="49"/>
  <c r="M220" i="49"/>
  <c r="M182" i="49"/>
  <c r="M24" i="49"/>
  <c r="M7" i="49"/>
  <c r="E13" i="44"/>
  <c r="I6" i="42"/>
  <c r="I5" i="40"/>
  <c r="F13" i="42"/>
  <c r="I13" i="42"/>
  <c r="I12" i="42"/>
  <c r="I11" i="42"/>
  <c r="I10" i="42"/>
  <c r="I9" i="42"/>
  <c r="I8" i="42"/>
  <c r="I7" i="42"/>
  <c r="I5" i="42"/>
  <c r="F6" i="40"/>
  <c r="I6" i="40"/>
  <c r="I5" i="38"/>
  <c r="I6" i="38"/>
  <c r="G7" i="38"/>
  <c r="F7" i="38"/>
  <c r="Z84" i="32"/>
  <c r="X43" i="32"/>
  <c r="X45" i="32"/>
  <c r="Y45" i="32"/>
  <c r="W37" i="32"/>
  <c r="AA37" i="32"/>
  <c r="W36" i="32"/>
  <c r="Y36" i="32"/>
  <c r="W35" i="32"/>
  <c r="AA35" i="32"/>
  <c r="W34" i="32"/>
  <c r="AB33" i="32"/>
  <c r="V95" i="32"/>
  <c r="W95" i="32"/>
  <c r="Y95" i="32"/>
  <c r="V25" i="32"/>
  <c r="W25" i="32"/>
  <c r="W30" i="32"/>
  <c r="C740" i="34"/>
  <c r="AB8" i="32"/>
  <c r="AB6" i="32"/>
  <c r="AB13" i="32"/>
  <c r="AB39" i="32"/>
  <c r="AB41" i="32"/>
  <c r="Z41" i="32"/>
  <c r="AA41" i="32"/>
  <c r="AB26" i="32"/>
  <c r="AB57" i="32"/>
  <c r="AB55" i="32"/>
  <c r="AB56" i="32"/>
  <c r="AB84" i="32"/>
  <c r="AB75" i="32"/>
  <c r="AB79" i="32"/>
  <c r="AB73" i="32"/>
  <c r="AB37" i="32"/>
  <c r="AB32" i="32"/>
  <c r="Z80" i="32"/>
  <c r="AA80" i="32"/>
  <c r="AB54" i="32"/>
  <c r="Z54" i="32"/>
  <c r="AA54" i="32"/>
  <c r="AB67" i="32"/>
  <c r="AB85" i="32"/>
  <c r="AB59" i="32"/>
  <c r="AA101" i="32"/>
  <c r="Y101" i="32"/>
  <c r="AA100" i="32"/>
  <c r="Y100" i="32"/>
  <c r="AA99" i="32"/>
  <c r="Y99" i="32"/>
  <c r="Z98" i="32"/>
  <c r="AA98" i="32"/>
  <c r="X98" i="32"/>
  <c r="Y98" i="32"/>
  <c r="AA97" i="32"/>
  <c r="Y97" i="32"/>
  <c r="AA96" i="32"/>
  <c r="Y96" i="32"/>
  <c r="T95" i="32"/>
  <c r="W94" i="32"/>
  <c r="AA94" i="32"/>
  <c r="AA93" i="32"/>
  <c r="Y93" i="32"/>
  <c r="AA92" i="32"/>
  <c r="Y92" i="32"/>
  <c r="AA91" i="32"/>
  <c r="Y91" i="32"/>
  <c r="AA90" i="32"/>
  <c r="Y90" i="32"/>
  <c r="AA89" i="32"/>
  <c r="Y89" i="32"/>
  <c r="AA88" i="32"/>
  <c r="Y88" i="32"/>
  <c r="W87" i="32"/>
  <c r="Z86" i="32"/>
  <c r="AA86" i="32"/>
  <c r="Y86" i="32"/>
  <c r="Z85" i="32"/>
  <c r="AA85" i="32"/>
  <c r="Y85" i="32"/>
  <c r="V84" i="32"/>
  <c r="W84" i="32"/>
  <c r="Y84" i="32"/>
  <c r="AA83" i="32"/>
  <c r="Y83" i="32"/>
  <c r="W82" i="32"/>
  <c r="Y82" i="32"/>
  <c r="AA81" i="32"/>
  <c r="Y81" i="32"/>
  <c r="Y80" i="32"/>
  <c r="W79" i="32"/>
  <c r="Y79" i="32"/>
  <c r="W78" i="32"/>
  <c r="W77" i="32"/>
  <c r="Y77" i="32"/>
  <c r="AB76" i="32"/>
  <c r="Z76" i="32"/>
  <c r="AA76" i="32"/>
  <c r="Y76" i="32"/>
  <c r="Z75" i="32"/>
  <c r="W75" i="32"/>
  <c r="Y75" i="32"/>
  <c r="AA74" i="32"/>
  <c r="Y74" i="32"/>
  <c r="AA73" i="32"/>
  <c r="X73" i="32"/>
  <c r="Y73" i="32"/>
  <c r="W72" i="32"/>
  <c r="W71" i="32"/>
  <c r="Y71" i="32"/>
  <c r="AA70" i="32"/>
  <c r="Y70" i="32"/>
  <c r="AA69" i="32"/>
  <c r="Y69" i="32"/>
  <c r="X68" i="32"/>
  <c r="V68" i="32"/>
  <c r="W68" i="32"/>
  <c r="AA67" i="32"/>
  <c r="Y67" i="32"/>
  <c r="AA66" i="32"/>
  <c r="X66" i="32"/>
  <c r="Y66" i="32"/>
  <c r="X65" i="32"/>
  <c r="V65" i="32"/>
  <c r="W65" i="32"/>
  <c r="AA65" i="32"/>
  <c r="AA64" i="32"/>
  <c r="X64" i="32"/>
  <c r="W63" i="32"/>
  <c r="AA62" i="32"/>
  <c r="Y62" i="32"/>
  <c r="AA61" i="32"/>
  <c r="Y61" i="32"/>
  <c r="AA60" i="32"/>
  <c r="Y60" i="32"/>
  <c r="Z59" i="32"/>
  <c r="AA59" i="32"/>
  <c r="Y59" i="32"/>
  <c r="Z58" i="32"/>
  <c r="AA58" i="32"/>
  <c r="Y58" i="32"/>
  <c r="AA57" i="32"/>
  <c r="Y57" i="32"/>
  <c r="Z56" i="32"/>
  <c r="X56" i="32"/>
  <c r="W56" i="32"/>
  <c r="AA55" i="32"/>
  <c r="Y55" i="32"/>
  <c r="Y54" i="32"/>
  <c r="AB53" i="32"/>
  <c r="AA53" i="32"/>
  <c r="W52" i="32"/>
  <c r="Y52" i="32"/>
  <c r="T52" i="32"/>
  <c r="V51" i="32"/>
  <c r="W51" i="32"/>
  <c r="W50" i="32"/>
  <c r="AA50" i="32"/>
  <c r="W49" i="32"/>
  <c r="Y49" i="32"/>
  <c r="V48" i="32"/>
  <c r="W48" i="32"/>
  <c r="AA47" i="32"/>
  <c r="Y47" i="32"/>
  <c r="AA46" i="32"/>
  <c r="Y46" i="32"/>
  <c r="AA45" i="32"/>
  <c r="W44" i="32"/>
  <c r="Y44" i="32"/>
  <c r="V43" i="32"/>
  <c r="W43" i="32"/>
  <c r="AA42" i="32"/>
  <c r="Y42" i="32"/>
  <c r="Y41" i="32"/>
  <c r="T40" i="32"/>
  <c r="U40" i="32"/>
  <c r="W40" i="32"/>
  <c r="AA40" i="32"/>
  <c r="Z39" i="32"/>
  <c r="Y39" i="32"/>
  <c r="V38" i="32"/>
  <c r="W38" i="32"/>
  <c r="AA33" i="32"/>
  <c r="Y33" i="32"/>
  <c r="AA32" i="32"/>
  <c r="Y32" i="32"/>
  <c r="AA31" i="32"/>
  <c r="Y31" i="32"/>
  <c r="X30" i="32"/>
  <c r="V29" i="32"/>
  <c r="W29" i="32"/>
  <c r="Y29" i="32"/>
  <c r="AA28" i="32"/>
  <c r="Y28" i="32"/>
  <c r="AA27" i="32"/>
  <c r="Y27" i="32"/>
  <c r="AA26" i="32"/>
  <c r="Y26" i="32"/>
  <c r="W24" i="32"/>
  <c r="U23" i="32"/>
  <c r="W23" i="32"/>
  <c r="AA23" i="32"/>
  <c r="W22" i="32"/>
  <c r="Y22" i="32"/>
  <c r="AA21" i="32"/>
  <c r="Y21" i="32"/>
  <c r="AA20" i="32"/>
  <c r="Y20" i="32"/>
  <c r="AA19" i="32"/>
  <c r="Y19" i="32"/>
  <c r="AA18" i="32"/>
  <c r="Y18" i="32"/>
  <c r="AA17" i="32"/>
  <c r="Y17" i="32"/>
  <c r="W16" i="32"/>
  <c r="W15" i="32"/>
  <c r="AA15" i="32"/>
  <c r="W14" i="32"/>
  <c r="U13" i="32"/>
  <c r="W13" i="32"/>
  <c r="Y13" i="32"/>
  <c r="AA12" i="32"/>
  <c r="Y12" i="32"/>
  <c r="AA11" i="32"/>
  <c r="Y11" i="32"/>
  <c r="U11" i="32"/>
  <c r="Z10" i="32"/>
  <c r="AA10" i="32"/>
  <c r="X10" i="32"/>
  <c r="Y10" i="32"/>
  <c r="W9" i="32"/>
  <c r="Y9" i="32"/>
  <c r="U8" i="32"/>
  <c r="W8" i="32"/>
  <c r="Y8" i="32"/>
  <c r="AA7" i="32"/>
  <c r="X7" i="32"/>
  <c r="Y7" i="32"/>
  <c r="W6" i="32"/>
  <c r="Y6" i="32"/>
  <c r="Y1" i="32"/>
  <c r="Z26" i="19"/>
  <c r="AA26" i="19"/>
  <c r="V38" i="19"/>
  <c r="W38" i="19"/>
  <c r="V29" i="19"/>
  <c r="W29" i="19"/>
  <c r="Y29" i="19"/>
  <c r="W30" i="19"/>
  <c r="Z86" i="19"/>
  <c r="AA86" i="19"/>
  <c r="W25" i="19"/>
  <c r="Y25" i="19"/>
  <c r="W22" i="19"/>
  <c r="AA22" i="19"/>
  <c r="Z8" i="19"/>
  <c r="X15" i="19"/>
  <c r="X8" i="19"/>
  <c r="X7" i="19"/>
  <c r="Y7" i="19"/>
  <c r="W16" i="19"/>
  <c r="W15" i="19"/>
  <c r="AA15" i="19"/>
  <c r="Y17" i="19"/>
  <c r="W14" i="19"/>
  <c r="W6" i="19"/>
  <c r="AA6" i="19"/>
  <c r="Z98" i="19"/>
  <c r="AA98" i="19"/>
  <c r="Z56" i="19"/>
  <c r="Z67" i="19"/>
  <c r="AA67" i="19"/>
  <c r="X67" i="19"/>
  <c r="Y67" i="19"/>
  <c r="X68" i="19"/>
  <c r="X66" i="19"/>
  <c r="Y66" i="19"/>
  <c r="X64" i="19"/>
  <c r="Y64" i="19"/>
  <c r="X71" i="19"/>
  <c r="W78" i="19"/>
  <c r="W77" i="19"/>
  <c r="AA77" i="19"/>
  <c r="W82" i="19"/>
  <c r="Y82" i="19"/>
  <c r="W72" i="19"/>
  <c r="W105" i="19"/>
  <c r="V68" i="19"/>
  <c r="W68" i="19"/>
  <c r="V65" i="19"/>
  <c r="W65" i="19"/>
  <c r="V43" i="19"/>
  <c r="W43" i="19"/>
  <c r="V48" i="19"/>
  <c r="W48" i="19"/>
  <c r="AA48" i="19"/>
  <c r="Z54" i="19"/>
  <c r="AA54" i="19"/>
  <c r="AB56" i="19"/>
  <c r="AB59" i="19"/>
  <c r="AB58" i="19"/>
  <c r="AB55" i="19"/>
  <c r="AB53" i="19"/>
  <c r="AB49" i="19"/>
  <c r="AB54" i="19"/>
  <c r="AB67" i="19"/>
  <c r="AB57" i="19"/>
  <c r="AB84" i="19"/>
  <c r="AB85" i="19"/>
  <c r="AB75" i="19"/>
  <c r="AB79" i="19"/>
  <c r="AB71" i="19"/>
  <c r="X73" i="19"/>
  <c r="Y73" i="19"/>
  <c r="W24" i="19"/>
  <c r="W9" i="19"/>
  <c r="Y9" i="19"/>
  <c r="AB8" i="19"/>
  <c r="AM192" i="27"/>
  <c r="AM466" i="27"/>
  <c r="AM101" i="27"/>
  <c r="AM734" i="27"/>
  <c r="AM403" i="27"/>
  <c r="AM390" i="27"/>
  <c r="AM310" i="27"/>
  <c r="AM302" i="27"/>
  <c r="U636" i="27"/>
  <c r="AG617" i="27"/>
  <c r="AG616" i="27"/>
  <c r="AG615" i="27"/>
  <c r="AG614" i="27"/>
  <c r="AG613" i="27"/>
  <c r="U612" i="27"/>
  <c r="AG612" i="27"/>
  <c r="AG611" i="27"/>
  <c r="AG610" i="27"/>
  <c r="AG609" i="27"/>
  <c r="AG608" i="27"/>
  <c r="AG607" i="27"/>
  <c r="AG606" i="27"/>
  <c r="AG605" i="27"/>
  <c r="AG604" i="27"/>
  <c r="AG602" i="27"/>
  <c r="AG601" i="27"/>
  <c r="AG600" i="27"/>
  <c r="AG599" i="27"/>
  <c r="AG598" i="27"/>
  <c r="AG597" i="27"/>
  <c r="U596" i="27"/>
  <c r="AG596" i="27"/>
  <c r="AG595" i="27"/>
  <c r="AG594" i="27"/>
  <c r="AG593" i="27"/>
  <c r="AG592" i="27"/>
  <c r="AG591" i="27"/>
  <c r="AG590" i="27"/>
  <c r="AG589" i="27"/>
  <c r="AG588" i="27"/>
  <c r="U587" i="27"/>
  <c r="AG587" i="27"/>
  <c r="AG586" i="27"/>
  <c r="AG585" i="27"/>
  <c r="AG584" i="27"/>
  <c r="U583" i="27"/>
  <c r="AG583" i="27"/>
  <c r="AG582" i="27"/>
  <c r="AG581" i="27"/>
  <c r="AG580" i="27"/>
  <c r="AG579" i="27"/>
  <c r="AG578" i="27"/>
  <c r="AG577" i="27"/>
  <c r="AG576" i="27"/>
  <c r="AG575" i="27"/>
  <c r="AG574" i="27"/>
  <c r="AG573" i="27"/>
  <c r="AG572" i="27"/>
  <c r="AG571" i="27"/>
  <c r="AG570" i="27"/>
  <c r="U569" i="27"/>
  <c r="AG569" i="27"/>
  <c r="U568" i="27"/>
  <c r="AG568" i="27"/>
  <c r="AG567" i="27"/>
  <c r="AG566" i="27"/>
  <c r="AG565" i="27"/>
  <c r="AG564" i="27"/>
  <c r="AG563" i="27"/>
  <c r="AG562" i="27"/>
  <c r="AG561" i="27"/>
  <c r="AG560" i="27"/>
  <c r="AG559" i="27"/>
  <c r="AG558" i="27"/>
  <c r="AG557" i="27"/>
  <c r="AG556" i="27"/>
  <c r="U555" i="27"/>
  <c r="AG555" i="27"/>
  <c r="AG554" i="27"/>
  <c r="AG553" i="27"/>
  <c r="AG552" i="27"/>
  <c r="AG551" i="27"/>
  <c r="AG550" i="27"/>
  <c r="AG549" i="27"/>
  <c r="AG548" i="27"/>
  <c r="U547" i="27"/>
  <c r="AG547" i="27"/>
  <c r="V546" i="27"/>
  <c r="U546" i="27"/>
  <c r="AG546" i="27"/>
  <c r="U545" i="27"/>
  <c r="AG545" i="27"/>
  <c r="U544" i="27"/>
  <c r="AG544" i="27"/>
  <c r="U543" i="27"/>
  <c r="AG543" i="27"/>
  <c r="U542" i="27"/>
  <c r="AG542" i="27"/>
  <c r="AG541" i="27"/>
  <c r="U540" i="27"/>
  <c r="AG540" i="27"/>
  <c r="U539" i="27"/>
  <c r="AG539" i="27"/>
  <c r="AG538" i="27"/>
  <c r="AG537" i="27"/>
  <c r="AG536" i="27"/>
  <c r="U535" i="27"/>
  <c r="AG535" i="27"/>
  <c r="AG534" i="27"/>
  <c r="AG533" i="27"/>
  <c r="AG532" i="27"/>
  <c r="AG531" i="27"/>
  <c r="AG530" i="27"/>
  <c r="U529" i="27"/>
  <c r="AG529" i="27"/>
  <c r="AG528" i="27"/>
  <c r="V527" i="27"/>
  <c r="U527" i="27"/>
  <c r="AG527" i="27"/>
  <c r="AG526" i="27"/>
  <c r="AG525" i="27"/>
  <c r="AG524" i="27"/>
  <c r="AG523" i="27"/>
  <c r="AG522" i="27"/>
  <c r="AG521" i="27"/>
  <c r="AG520" i="27"/>
  <c r="AG519" i="27"/>
  <c r="AG518" i="27"/>
  <c r="U517" i="27"/>
  <c r="AG517" i="27"/>
  <c r="AG516" i="27"/>
  <c r="AG515" i="27"/>
  <c r="U514" i="27"/>
  <c r="AG514" i="27"/>
  <c r="AG513" i="27"/>
  <c r="U512" i="27"/>
  <c r="AG512" i="27"/>
  <c r="AG511" i="27"/>
  <c r="AG510" i="27"/>
  <c r="AG509" i="27"/>
  <c r="U508" i="27"/>
  <c r="AG508" i="27"/>
  <c r="AG507" i="27"/>
  <c r="AG506" i="27"/>
  <c r="AG505" i="27"/>
  <c r="AG504" i="27"/>
  <c r="AG503" i="27"/>
  <c r="AG502" i="27"/>
  <c r="AG501" i="27"/>
  <c r="U500" i="27"/>
  <c r="AG500" i="27"/>
  <c r="AG499" i="27"/>
  <c r="U498" i="27"/>
  <c r="AG498" i="27"/>
  <c r="U497" i="27"/>
  <c r="AG497" i="27"/>
  <c r="U496" i="27"/>
  <c r="AG496" i="27"/>
  <c r="AG495" i="27"/>
  <c r="AG494" i="27"/>
  <c r="U493" i="27"/>
  <c r="AG493" i="27"/>
  <c r="U492" i="27"/>
  <c r="AG492" i="27"/>
  <c r="V491" i="27"/>
  <c r="U491" i="27"/>
  <c r="AG491" i="27"/>
  <c r="U490" i="27"/>
  <c r="AG490" i="27"/>
  <c r="U489" i="27"/>
  <c r="AG489" i="27"/>
  <c r="U488" i="27"/>
  <c r="AG488" i="27"/>
  <c r="AG487" i="27"/>
  <c r="AG486" i="27"/>
  <c r="AG485" i="27"/>
  <c r="AG484" i="27"/>
  <c r="AG483" i="27"/>
  <c r="AG482" i="27"/>
  <c r="AG481" i="27"/>
  <c r="AG480" i="27"/>
  <c r="AG479" i="27"/>
  <c r="AG478" i="27"/>
  <c r="AG477" i="27"/>
  <c r="AG476" i="27"/>
  <c r="AG475" i="27"/>
  <c r="AG474" i="27"/>
  <c r="U473" i="27"/>
  <c r="AG473" i="27"/>
  <c r="AG472" i="27"/>
  <c r="AG471" i="27"/>
  <c r="U470" i="27"/>
  <c r="AG470" i="27"/>
  <c r="U469" i="27"/>
  <c r="AG469" i="27"/>
  <c r="AG468" i="27"/>
  <c r="AG467" i="27"/>
  <c r="AG466" i="27"/>
  <c r="AG465" i="27"/>
  <c r="AG464" i="27"/>
  <c r="AG463" i="27"/>
  <c r="AG462" i="27"/>
  <c r="AG461" i="27"/>
  <c r="U460" i="27"/>
  <c r="AG460" i="27"/>
  <c r="AG459" i="27"/>
  <c r="AG458" i="27"/>
  <c r="AG457" i="27"/>
  <c r="AG456" i="27"/>
  <c r="AG455" i="27"/>
  <c r="U454" i="27"/>
  <c r="AG454" i="27"/>
  <c r="AG453" i="27"/>
  <c r="U452" i="27"/>
  <c r="AG452" i="27"/>
  <c r="AG451" i="27"/>
  <c r="AG450" i="27"/>
  <c r="AG449" i="27"/>
  <c r="AG448" i="27"/>
  <c r="AG447" i="27"/>
  <c r="AG446" i="27"/>
  <c r="AG445" i="27"/>
  <c r="V444" i="27"/>
  <c r="U444" i="27"/>
  <c r="AG444" i="27"/>
  <c r="AG443" i="27"/>
  <c r="AG442" i="27"/>
  <c r="AG440" i="27"/>
  <c r="AG439" i="27"/>
  <c r="AG438" i="27"/>
  <c r="AG437" i="27"/>
  <c r="AG436" i="27"/>
  <c r="AG435" i="27"/>
  <c r="AG434" i="27"/>
  <c r="AG433" i="27"/>
  <c r="AG432" i="27"/>
  <c r="AG431" i="27"/>
  <c r="AG430" i="27"/>
  <c r="AG429" i="27"/>
  <c r="AG428" i="27"/>
  <c r="AG427" i="27"/>
  <c r="AG426" i="27"/>
  <c r="AG425" i="27"/>
  <c r="AG424" i="27"/>
  <c r="AG423" i="27"/>
  <c r="AG422" i="27"/>
  <c r="U421" i="27"/>
  <c r="AG421" i="27"/>
  <c r="AG420" i="27"/>
  <c r="AG419" i="27"/>
  <c r="AG418" i="27"/>
  <c r="AG417" i="27"/>
  <c r="AG416" i="27"/>
  <c r="AG415" i="27"/>
  <c r="AG414" i="27"/>
  <c r="AG413" i="27"/>
  <c r="AG412" i="27"/>
  <c r="AG411" i="27"/>
  <c r="AG410" i="27"/>
  <c r="U409" i="27"/>
  <c r="AG409" i="27"/>
  <c r="AG408" i="27"/>
  <c r="AG407" i="27"/>
  <c r="AG406" i="27"/>
  <c r="AG405" i="27"/>
  <c r="AG404" i="27"/>
  <c r="AG403" i="27"/>
  <c r="AG402" i="27"/>
  <c r="AG401" i="27"/>
  <c r="U400" i="27"/>
  <c r="AG400" i="27"/>
  <c r="AG399" i="27"/>
  <c r="AG398" i="27"/>
  <c r="AG397" i="27"/>
  <c r="AG396" i="27"/>
  <c r="AG395" i="27"/>
  <c r="AG394" i="27"/>
  <c r="AG393" i="27"/>
  <c r="AG392" i="27"/>
  <c r="AG391" i="27"/>
  <c r="AG390" i="27"/>
  <c r="AG389" i="27"/>
  <c r="AG388" i="27"/>
  <c r="AG387" i="27"/>
  <c r="AG386" i="27"/>
  <c r="U385" i="27"/>
  <c r="AG385" i="27"/>
  <c r="AG384" i="27"/>
  <c r="U383" i="27"/>
  <c r="AG383" i="27"/>
  <c r="AG382" i="27"/>
  <c r="AG381" i="27"/>
  <c r="AG380" i="27"/>
  <c r="AG379" i="27"/>
  <c r="AG378" i="27"/>
  <c r="AG377" i="27"/>
  <c r="AG376" i="27"/>
  <c r="AG375" i="27"/>
  <c r="AG374" i="27"/>
  <c r="AG373" i="27"/>
  <c r="AG372" i="27"/>
  <c r="AG371" i="27"/>
  <c r="AG370" i="27"/>
  <c r="AG369" i="27"/>
  <c r="AG368" i="27"/>
  <c r="AG367" i="27"/>
  <c r="AG366" i="27"/>
  <c r="AG365" i="27"/>
  <c r="AG364" i="27"/>
  <c r="AG363" i="27"/>
  <c r="AG362" i="27"/>
  <c r="U361" i="27"/>
  <c r="AG361" i="27"/>
  <c r="AG360" i="27"/>
  <c r="AG359" i="27"/>
  <c r="AG358" i="27"/>
  <c r="AG357" i="27"/>
  <c r="U356" i="27"/>
  <c r="AG356" i="27"/>
  <c r="AG355" i="27"/>
  <c r="U354" i="27"/>
  <c r="AG354" i="27"/>
  <c r="AG353" i="27"/>
  <c r="U351" i="27"/>
  <c r="U350" i="27"/>
  <c r="U349" i="27"/>
  <c r="U348" i="27"/>
  <c r="U347" i="27"/>
  <c r="U345" i="27"/>
  <c r="U340" i="27"/>
  <c r="U339" i="27"/>
  <c r="U338" i="27"/>
  <c r="U337" i="27"/>
  <c r="U324" i="27"/>
  <c r="U320" i="27"/>
  <c r="AG318" i="27"/>
  <c r="AG315" i="27"/>
  <c r="AG313" i="27"/>
  <c r="AF312" i="27"/>
  <c r="AG312" i="27"/>
  <c r="AF311" i="27"/>
  <c r="AG311" i="27"/>
  <c r="AF310" i="27"/>
  <c r="AG310" i="27"/>
  <c r="U305" i="27"/>
  <c r="AG305" i="27"/>
  <c r="U303" i="27"/>
  <c r="AG302" i="27"/>
  <c r="AG301" i="27"/>
  <c r="AG300" i="27"/>
  <c r="AG299" i="27"/>
  <c r="U298" i="27"/>
  <c r="AG298" i="27"/>
  <c r="AG297" i="27"/>
  <c r="AG296" i="27"/>
  <c r="AG295" i="27"/>
  <c r="AG294" i="27"/>
  <c r="U293" i="27"/>
  <c r="AG293" i="27"/>
  <c r="AG292" i="27"/>
  <c r="U291" i="27"/>
  <c r="AG291" i="27"/>
  <c r="U290" i="27"/>
  <c r="AG290" i="27"/>
  <c r="U289" i="27"/>
  <c r="AG289" i="27"/>
  <c r="U288" i="27"/>
  <c r="AG288" i="27"/>
  <c r="AG287" i="27"/>
  <c r="AG286" i="27"/>
  <c r="AG285" i="27"/>
  <c r="AG284" i="27"/>
  <c r="AG283" i="27"/>
  <c r="U282" i="27"/>
  <c r="AG282" i="27"/>
  <c r="AG281" i="27"/>
  <c r="AG279" i="27"/>
  <c r="AG278" i="27"/>
  <c r="AG277" i="27"/>
  <c r="AG276" i="27"/>
  <c r="AG274" i="27"/>
  <c r="U273" i="27"/>
  <c r="AG273" i="27"/>
  <c r="AG272" i="27"/>
  <c r="AG271" i="27"/>
  <c r="AG269" i="27"/>
  <c r="U267" i="27"/>
  <c r="AG267" i="27"/>
  <c r="AG266" i="27"/>
  <c r="U265" i="27"/>
  <c r="AG265" i="27"/>
  <c r="U264" i="27"/>
  <c r="AG264" i="27"/>
  <c r="U263" i="27"/>
  <c r="AG263" i="27"/>
  <c r="U261" i="27"/>
  <c r="AG261" i="27"/>
  <c r="AG260" i="27"/>
  <c r="AG259" i="27"/>
  <c r="U258" i="27"/>
  <c r="AG258" i="27"/>
  <c r="U257" i="27"/>
  <c r="AG257" i="27"/>
  <c r="U256" i="27"/>
  <c r="AG256" i="27"/>
  <c r="AG255" i="27"/>
  <c r="AG253" i="27"/>
  <c r="AG252" i="27"/>
  <c r="AG251" i="27"/>
  <c r="U250" i="27"/>
  <c r="AG250" i="27"/>
  <c r="AG249" i="27"/>
  <c r="AG248" i="27"/>
  <c r="AG247" i="27"/>
  <c r="U246" i="27"/>
  <c r="AG246" i="27"/>
  <c r="U245" i="27"/>
  <c r="AG245" i="27"/>
  <c r="U244" i="27"/>
  <c r="AG244" i="27"/>
  <c r="AG243" i="27"/>
  <c r="U242" i="27"/>
  <c r="AG242" i="27"/>
  <c r="U241" i="27"/>
  <c r="AG241" i="27"/>
  <c r="AG240" i="27"/>
  <c r="U239" i="27"/>
  <c r="AG239" i="27"/>
  <c r="U238" i="27"/>
  <c r="AG238" i="27"/>
  <c r="AG237" i="27"/>
  <c r="AG236" i="27"/>
  <c r="AG235" i="27"/>
  <c r="AG234" i="27"/>
  <c r="AG233" i="27"/>
  <c r="AG232" i="27"/>
  <c r="AG231" i="27"/>
  <c r="AG230" i="27"/>
  <c r="U229" i="27"/>
  <c r="AG229" i="27"/>
  <c r="U228" i="27"/>
  <c r="AG228" i="27"/>
  <c r="U227" i="27"/>
  <c r="AG227" i="27"/>
  <c r="AK226" i="27"/>
  <c r="AG226" i="27"/>
  <c r="AG225" i="27"/>
  <c r="AG224" i="27"/>
  <c r="U223" i="27"/>
  <c r="AG223" i="27"/>
  <c r="U222" i="27"/>
  <c r="AG222" i="27"/>
  <c r="AG221" i="27"/>
  <c r="U220" i="27"/>
  <c r="AG220" i="27"/>
  <c r="AG219" i="27"/>
  <c r="U218" i="27"/>
  <c r="AG218" i="27"/>
  <c r="U217" i="27"/>
  <c r="AG217" i="27"/>
  <c r="U216" i="27"/>
  <c r="AG216" i="27"/>
  <c r="U215" i="27"/>
  <c r="AG215" i="27"/>
  <c r="U214" i="27"/>
  <c r="AG214" i="27"/>
  <c r="U213" i="27"/>
  <c r="AG213" i="27"/>
  <c r="U212" i="27"/>
  <c r="AG212" i="27"/>
  <c r="U211" i="27"/>
  <c r="AG211" i="27"/>
  <c r="U210" i="27"/>
  <c r="AG210" i="27"/>
  <c r="U209" i="27"/>
  <c r="AG209" i="27"/>
  <c r="U208" i="27"/>
  <c r="AG208" i="27"/>
  <c r="U207" i="27"/>
  <c r="AG207" i="27"/>
  <c r="U206" i="27"/>
  <c r="AG206" i="27"/>
  <c r="U205" i="27"/>
  <c r="AG205" i="27"/>
  <c r="U204" i="27"/>
  <c r="AG204" i="27"/>
  <c r="AG203" i="27"/>
  <c r="AG202" i="27"/>
  <c r="AG201" i="27"/>
  <c r="AG200" i="27"/>
  <c r="AG199" i="27"/>
  <c r="U198" i="27"/>
  <c r="AG198" i="27"/>
  <c r="AG197" i="27"/>
  <c r="U196" i="27"/>
  <c r="AG196" i="27"/>
  <c r="AG195" i="27"/>
  <c r="U194" i="27"/>
  <c r="AG194" i="27"/>
  <c r="AG193" i="27"/>
  <c r="AG192" i="27"/>
  <c r="U191" i="27"/>
  <c r="AG191" i="27"/>
  <c r="AG190" i="27"/>
  <c r="AG189" i="27"/>
  <c r="AG188" i="27"/>
  <c r="AG187" i="27"/>
  <c r="U186" i="27"/>
  <c r="AG186" i="27"/>
  <c r="AG185" i="27"/>
  <c r="AG184" i="27"/>
  <c r="X184" i="27"/>
  <c r="AG183" i="27"/>
  <c r="AG182" i="27"/>
  <c r="AG181" i="27"/>
  <c r="AG180" i="27"/>
  <c r="AG179" i="27"/>
  <c r="AG178" i="27"/>
  <c r="AG177" i="27"/>
  <c r="U176" i="27"/>
  <c r="AG176" i="27"/>
  <c r="U175" i="27"/>
  <c r="AG175" i="27"/>
  <c r="U174" i="27"/>
  <c r="AG174" i="27"/>
  <c r="AG173" i="27"/>
  <c r="AG172" i="27"/>
  <c r="AG171" i="27"/>
  <c r="AG170" i="27"/>
  <c r="AG169" i="27"/>
  <c r="AG168" i="27"/>
  <c r="AG167" i="27"/>
  <c r="AF166" i="27"/>
  <c r="U166" i="27"/>
  <c r="AG165" i="27"/>
  <c r="AG164" i="27"/>
  <c r="AG163" i="27"/>
  <c r="AG162" i="27"/>
  <c r="AG161" i="27"/>
  <c r="AG160" i="27"/>
  <c r="AG159" i="27"/>
  <c r="AG158" i="27"/>
  <c r="AG157" i="27"/>
  <c r="AG156" i="27"/>
  <c r="AK155" i="27"/>
  <c r="AG155" i="27"/>
  <c r="AK154" i="27"/>
  <c r="AG154" i="27"/>
  <c r="AG153" i="27"/>
  <c r="AG152" i="27"/>
  <c r="AG151" i="27"/>
  <c r="AG150" i="27"/>
  <c r="AG149" i="27"/>
  <c r="AG148" i="27"/>
  <c r="AG147" i="27"/>
  <c r="AG146" i="27"/>
  <c r="U145" i="27"/>
  <c r="AG145" i="27"/>
  <c r="U144" i="27"/>
  <c r="AG144" i="27"/>
  <c r="U143" i="27"/>
  <c r="AG143" i="27"/>
  <c r="U142" i="27"/>
  <c r="AG142" i="27"/>
  <c r="U141" i="27"/>
  <c r="AG141" i="27"/>
  <c r="U140" i="27"/>
  <c r="AG140" i="27"/>
  <c r="U139" i="27"/>
  <c r="AG139" i="27"/>
  <c r="AG138" i="27"/>
  <c r="AG137" i="27"/>
  <c r="AG136" i="27"/>
  <c r="AG135" i="27"/>
  <c r="U134" i="27"/>
  <c r="AG134" i="27"/>
  <c r="U133" i="27"/>
  <c r="AG133" i="27"/>
  <c r="U132" i="27"/>
  <c r="AG132" i="27"/>
  <c r="U131" i="27"/>
  <c r="AG131" i="27"/>
  <c r="U130" i="27"/>
  <c r="AG130" i="27"/>
  <c r="U129" i="27"/>
  <c r="AG129" i="27"/>
  <c r="U128" i="27"/>
  <c r="AG128" i="27"/>
  <c r="AG127" i="27"/>
  <c r="AG126" i="27"/>
  <c r="AG125" i="27"/>
  <c r="AK124" i="27"/>
  <c r="U124" i="27"/>
  <c r="AG124" i="27"/>
  <c r="U123" i="27"/>
  <c r="AG123" i="27"/>
  <c r="U122" i="27"/>
  <c r="AG122" i="27"/>
  <c r="U121" i="27"/>
  <c r="AG121" i="27"/>
  <c r="AG120" i="27"/>
  <c r="U119" i="27"/>
  <c r="AG119" i="27"/>
  <c r="U118" i="27"/>
  <c r="AG118" i="27"/>
  <c r="U117" i="27"/>
  <c r="AG117" i="27"/>
  <c r="U116" i="27"/>
  <c r="AG116" i="27"/>
  <c r="AG115" i="27"/>
  <c r="AG114" i="27"/>
  <c r="AG113" i="27"/>
  <c r="AG112" i="27"/>
  <c r="AG111" i="27"/>
  <c r="AG110" i="27"/>
  <c r="AG109" i="27"/>
  <c r="AG108" i="27"/>
  <c r="AG107" i="27"/>
  <c r="AG106" i="27"/>
  <c r="AG105" i="27"/>
  <c r="AG104" i="27"/>
  <c r="AG103" i="27"/>
  <c r="U102" i="27"/>
  <c r="AG102" i="27"/>
  <c r="U101" i="27"/>
  <c r="AG101" i="27"/>
  <c r="U100" i="27"/>
  <c r="AG100" i="27"/>
  <c r="U99" i="27"/>
  <c r="AG99" i="27"/>
  <c r="U98" i="27"/>
  <c r="AG98" i="27"/>
  <c r="AG97" i="27"/>
  <c r="U96" i="27"/>
  <c r="AG96" i="27"/>
  <c r="U95" i="27"/>
  <c r="AG95" i="27"/>
  <c r="U94" i="27"/>
  <c r="AG94" i="27"/>
  <c r="U93" i="27"/>
  <c r="AG93" i="27"/>
  <c r="U92" i="27"/>
  <c r="AG92" i="27"/>
  <c r="AG91" i="27"/>
  <c r="AG90" i="27"/>
  <c r="AG89" i="27"/>
  <c r="AG88" i="27"/>
  <c r="AG87" i="27"/>
  <c r="AG86" i="27"/>
  <c r="AG85" i="27"/>
  <c r="AG84" i="27"/>
  <c r="AG83" i="27"/>
  <c r="AG82" i="27"/>
  <c r="AG81" i="27"/>
  <c r="AG80" i="27"/>
  <c r="AG79" i="27"/>
  <c r="AG78" i="27"/>
  <c r="AG77" i="27"/>
  <c r="AK76" i="27"/>
  <c r="AG76" i="27"/>
  <c r="AG75" i="27"/>
  <c r="AG74" i="27"/>
  <c r="AG73" i="27"/>
  <c r="AG72" i="27"/>
  <c r="AG71" i="27"/>
  <c r="AG70" i="27"/>
  <c r="AG69" i="27"/>
  <c r="AG68" i="27"/>
  <c r="AG67" i="27"/>
  <c r="AG66" i="27"/>
  <c r="U65" i="27"/>
  <c r="AG65" i="27"/>
  <c r="AG64" i="27"/>
  <c r="AG63" i="27"/>
  <c r="AG62" i="27"/>
  <c r="AG61" i="27"/>
  <c r="AG60" i="27"/>
  <c r="AG59" i="27"/>
  <c r="AG58" i="27"/>
  <c r="U57" i="27"/>
  <c r="AG57" i="27"/>
  <c r="AG56" i="27"/>
  <c r="U55" i="27"/>
  <c r="AG55" i="27"/>
  <c r="U54" i="27"/>
  <c r="AG54" i="27"/>
  <c r="U53" i="27"/>
  <c r="AG53" i="27"/>
  <c r="AF52" i="27"/>
  <c r="U52" i="27"/>
  <c r="U51" i="27"/>
  <c r="AG51" i="27"/>
  <c r="U50" i="27"/>
  <c r="AG50" i="27"/>
  <c r="AK49" i="27"/>
  <c r="U49" i="27"/>
  <c r="AG49" i="27"/>
  <c r="U48" i="27"/>
  <c r="AG48" i="27"/>
  <c r="U47" i="27"/>
  <c r="AG47" i="27"/>
  <c r="U46" i="27"/>
  <c r="AG46" i="27"/>
  <c r="AG45" i="27"/>
  <c r="U44" i="27"/>
  <c r="AG44" i="27"/>
  <c r="U43" i="27"/>
  <c r="AG43" i="27"/>
  <c r="U42" i="27"/>
  <c r="AG42" i="27"/>
  <c r="AF41" i="27"/>
  <c r="U41" i="27"/>
  <c r="U40" i="27"/>
  <c r="AG40" i="27"/>
  <c r="U39" i="27"/>
  <c r="AG39" i="27"/>
  <c r="U38" i="27"/>
  <c r="AG38" i="27"/>
  <c r="U37" i="27"/>
  <c r="AG37" i="27"/>
  <c r="AG36" i="27"/>
  <c r="U35" i="27"/>
  <c r="AG35" i="27"/>
  <c r="AG34" i="27"/>
  <c r="AG33" i="27"/>
  <c r="U32" i="27"/>
  <c r="AG32" i="27"/>
  <c r="AG31" i="27"/>
  <c r="AG30" i="27"/>
  <c r="U29" i="27"/>
  <c r="AG29" i="27"/>
  <c r="U28" i="27"/>
  <c r="AG28" i="27"/>
  <c r="U27" i="27"/>
  <c r="AG27" i="27"/>
  <c r="AK26" i="27"/>
  <c r="AG26" i="27"/>
  <c r="AG25" i="27"/>
  <c r="AG24" i="27"/>
  <c r="AG23" i="27"/>
  <c r="AG22" i="27"/>
  <c r="AG21" i="27"/>
  <c r="AG20" i="27"/>
  <c r="U19" i="27"/>
  <c r="AG19" i="27"/>
  <c r="AL18" i="27"/>
  <c r="AG18" i="27"/>
  <c r="AG17" i="27"/>
  <c r="AG16" i="27"/>
  <c r="AG15" i="27"/>
  <c r="AG14" i="27"/>
  <c r="AG13" i="27"/>
  <c r="AG12" i="27"/>
  <c r="AG11" i="27"/>
  <c r="U10" i="27"/>
  <c r="AG10" i="27"/>
  <c r="U9" i="27"/>
  <c r="AG9" i="27"/>
  <c r="U8" i="27"/>
  <c r="AG8" i="27"/>
  <c r="U7" i="27"/>
  <c r="AG7" i="27"/>
  <c r="U6" i="27"/>
  <c r="AG6" i="27"/>
  <c r="U5" i="27"/>
  <c r="AG5" i="27"/>
  <c r="U4" i="27"/>
  <c r="AG4" i="27"/>
  <c r="AG3" i="27"/>
  <c r="AL2" i="27"/>
  <c r="AF2" i="27"/>
  <c r="AG2" i="27"/>
  <c r="W79" i="19"/>
  <c r="AA79" i="19"/>
  <c r="W71" i="19"/>
  <c r="W95" i="19"/>
  <c r="Y95" i="19"/>
  <c r="W94" i="19"/>
  <c r="Y94" i="19"/>
  <c r="W87" i="19"/>
  <c r="V84" i="19"/>
  <c r="W84" i="19"/>
  <c r="W75" i="19"/>
  <c r="Y75" i="19"/>
  <c r="W63" i="19"/>
  <c r="W56" i="19"/>
  <c r="AA56" i="19"/>
  <c r="W52" i="19"/>
  <c r="AA52" i="19"/>
  <c r="V51" i="19"/>
  <c r="W51" i="19"/>
  <c r="AA51" i="19"/>
  <c r="W50" i="19"/>
  <c r="AA50" i="19"/>
  <c r="W49" i="19"/>
  <c r="AA49" i="19"/>
  <c r="W44" i="19"/>
  <c r="Y44" i="19"/>
  <c r="U23" i="19"/>
  <c r="W23" i="19"/>
  <c r="Y23" i="19"/>
  <c r="U13" i="19"/>
  <c r="W13" i="19"/>
  <c r="AA13" i="19"/>
  <c r="U11" i="19"/>
  <c r="U8" i="19"/>
  <c r="W8" i="19"/>
  <c r="Y8" i="19"/>
  <c r="U22" i="28"/>
  <c r="W68" i="28"/>
  <c r="AA68" i="28"/>
  <c r="V40" i="28"/>
  <c r="W40" i="28"/>
  <c r="Y40" i="28"/>
  <c r="W41" i="28"/>
  <c r="Y41" i="28"/>
  <c r="W53" i="28"/>
  <c r="Y53" i="28"/>
  <c r="W82" i="28"/>
  <c r="X93" i="28"/>
  <c r="W60" i="28"/>
  <c r="X132" i="28"/>
  <c r="W90" i="28"/>
  <c r="Y90" i="28"/>
  <c r="AA96" i="28"/>
  <c r="Y96" i="28"/>
  <c r="AA95" i="28"/>
  <c r="Y95" i="28"/>
  <c r="AA94" i="28"/>
  <c r="Y94" i="28"/>
  <c r="AA93" i="28"/>
  <c r="AA92" i="28"/>
  <c r="Y92" i="28"/>
  <c r="AA91" i="28"/>
  <c r="Y91" i="28"/>
  <c r="Z90" i="28"/>
  <c r="AA90" i="28"/>
  <c r="T90" i="28"/>
  <c r="W89" i="28"/>
  <c r="AA89" i="28"/>
  <c r="AA88" i="28"/>
  <c r="Y88" i="28"/>
  <c r="AA87" i="28"/>
  <c r="Y87" i="28"/>
  <c r="AA86" i="28"/>
  <c r="Y86" i="28"/>
  <c r="AA85" i="28"/>
  <c r="Y85" i="28"/>
  <c r="AA84" i="28"/>
  <c r="Y84" i="28"/>
  <c r="AA83" i="28"/>
  <c r="Y83" i="28"/>
  <c r="AA81" i="28"/>
  <c r="Y81" i="28"/>
  <c r="Z80" i="28"/>
  <c r="AA80" i="28"/>
  <c r="Y80" i="28"/>
  <c r="AB79" i="28"/>
  <c r="V79" i="28"/>
  <c r="W79" i="28"/>
  <c r="AA78" i="28"/>
  <c r="Y78" i="28"/>
  <c r="AA77" i="28"/>
  <c r="Y77" i="28"/>
  <c r="AA76" i="28"/>
  <c r="Y76" i="28"/>
  <c r="AA75" i="28"/>
  <c r="Y75" i="28"/>
  <c r="AB74" i="28"/>
  <c r="W74" i="28"/>
  <c r="AA74" i="28"/>
  <c r="AA73" i="28"/>
  <c r="Y73" i="28"/>
  <c r="AB72" i="28"/>
  <c r="Z72" i="28"/>
  <c r="AA72" i="28"/>
  <c r="Y72" i="28"/>
  <c r="AB71" i="28"/>
  <c r="Z71" i="28"/>
  <c r="W71" i="28"/>
  <c r="Y71" i="28"/>
  <c r="AA70" i="28"/>
  <c r="Y70" i="28"/>
  <c r="AA69" i="28"/>
  <c r="Y69" i="28"/>
  <c r="AA67" i="28"/>
  <c r="Y67" i="28"/>
  <c r="AA66" i="28"/>
  <c r="Y66" i="28"/>
  <c r="V65" i="28"/>
  <c r="W65" i="28"/>
  <c r="Y65" i="28"/>
  <c r="AB64" i="28"/>
  <c r="AA64" i="28"/>
  <c r="Y64" i="28"/>
  <c r="AA63" i="28"/>
  <c r="Y63" i="28"/>
  <c r="X62" i="28"/>
  <c r="W62" i="28"/>
  <c r="AA61" i="28"/>
  <c r="Y61" i="28"/>
  <c r="AA59" i="28"/>
  <c r="Y59" i="28"/>
  <c r="AA58" i="28"/>
  <c r="Y58" i="28"/>
  <c r="AA57" i="28"/>
  <c r="Y57" i="28"/>
  <c r="AB56" i="28"/>
  <c r="Z56" i="28"/>
  <c r="AA56" i="28"/>
  <c r="Y56" i="28"/>
  <c r="AB55" i="28"/>
  <c r="Z55" i="28"/>
  <c r="AA55" i="28"/>
  <c r="Y55" i="28"/>
  <c r="AB54" i="28"/>
  <c r="AA54" i="28"/>
  <c r="Y54" i="28"/>
  <c r="AB53" i="28"/>
  <c r="Z53" i="28"/>
  <c r="AB52" i="28"/>
  <c r="AA52" i="28"/>
  <c r="Y52" i="28"/>
  <c r="AB51" i="28"/>
  <c r="AA51" i="28"/>
  <c r="Y51" i="28"/>
  <c r="AA50" i="28"/>
  <c r="X49" i="28"/>
  <c r="W49" i="28"/>
  <c r="AA49" i="28"/>
  <c r="T49" i="28"/>
  <c r="V48" i="28"/>
  <c r="W48" i="28"/>
  <c r="W47" i="28"/>
  <c r="AA47" i="28"/>
  <c r="AB46" i="28"/>
  <c r="W46" i="28"/>
  <c r="Y46" i="28"/>
  <c r="W45" i="28"/>
  <c r="AA45" i="28"/>
  <c r="AA44" i="28"/>
  <c r="Y44" i="28"/>
  <c r="AA43" i="28"/>
  <c r="Y43" i="28"/>
  <c r="AA42" i="28"/>
  <c r="Y42" i="28"/>
  <c r="Z40" i="28"/>
  <c r="AA40" i="28"/>
  <c r="AA39" i="28"/>
  <c r="Y39" i="28"/>
  <c r="AB38" i="28"/>
  <c r="AA38" i="28"/>
  <c r="Y38" i="28"/>
  <c r="AB37" i="28"/>
  <c r="AA37" i="28"/>
  <c r="Y37" i="28"/>
  <c r="T37" i="28"/>
  <c r="Z36" i="28"/>
  <c r="AA36" i="28"/>
  <c r="Y36" i="28"/>
  <c r="AA35" i="28"/>
  <c r="Y35" i="28"/>
  <c r="AB34" i="28"/>
  <c r="AA34" i="28"/>
  <c r="Y34" i="28"/>
  <c r="AA33" i="28"/>
  <c r="Y33" i="28"/>
  <c r="AA32" i="28"/>
  <c r="Y32" i="28"/>
  <c r="AB31" i="28"/>
  <c r="AA31" i="28"/>
  <c r="Y31" i="28"/>
  <c r="AB30" i="28"/>
  <c r="AA30" i="28"/>
  <c r="Y30" i="28"/>
  <c r="AA29" i="28"/>
  <c r="Y29" i="28"/>
  <c r="AA28" i="28"/>
  <c r="Y28" i="28"/>
  <c r="AA27" i="28"/>
  <c r="Y27" i="28"/>
  <c r="AA26" i="28"/>
  <c r="Y26" i="28"/>
  <c r="AA25" i="28"/>
  <c r="Y25" i="28"/>
  <c r="AB24" i="28"/>
  <c r="AA24" i="28"/>
  <c r="Y24" i="28"/>
  <c r="AA23" i="28"/>
  <c r="Y23" i="28"/>
  <c r="AB22" i="28"/>
  <c r="Z22" i="28"/>
  <c r="AA22" i="28"/>
  <c r="Y22" i="28"/>
  <c r="AA21" i="28"/>
  <c r="Y21" i="28"/>
  <c r="AA20" i="28"/>
  <c r="Y20" i="28"/>
  <c r="AA19" i="28"/>
  <c r="Y19" i="28"/>
  <c r="AA18" i="28"/>
  <c r="Y18" i="28"/>
  <c r="AA17" i="28"/>
  <c r="Y17" i="28"/>
  <c r="AA16" i="28"/>
  <c r="Y16" i="28"/>
  <c r="AA15" i="28"/>
  <c r="Y15" i="28"/>
  <c r="U14" i="28"/>
  <c r="W14" i="28"/>
  <c r="AA13" i="28"/>
  <c r="Y13" i="28"/>
  <c r="AA12" i="28"/>
  <c r="Y12" i="28"/>
  <c r="U12" i="28"/>
  <c r="Z11" i="28"/>
  <c r="AA11" i="28"/>
  <c r="X11" i="28"/>
  <c r="X97" i="28"/>
  <c r="AB10" i="28"/>
  <c r="Z10" i="28"/>
  <c r="AA10" i="28"/>
  <c r="Y10" i="28"/>
  <c r="U10" i="28"/>
  <c r="AA9" i="28"/>
  <c r="Y9" i="28"/>
  <c r="AB8" i="28"/>
  <c r="AA8" i="28"/>
  <c r="Y8" i="28"/>
  <c r="Y3" i="28"/>
  <c r="X56" i="19"/>
  <c r="Y88" i="19"/>
  <c r="Y89" i="19"/>
  <c r="X98" i="19"/>
  <c r="Y98" i="19"/>
  <c r="AA101" i="19"/>
  <c r="Y101" i="19"/>
  <c r="AA100" i="19"/>
  <c r="Y100" i="19"/>
  <c r="AA99" i="19"/>
  <c r="Y99" i="19"/>
  <c r="AA97" i="19"/>
  <c r="Y97" i="19"/>
  <c r="AA96" i="19"/>
  <c r="Y96" i="19"/>
  <c r="Z95" i="19"/>
  <c r="T95" i="19"/>
  <c r="AA93" i="19"/>
  <c r="Y93" i="19"/>
  <c r="AA92" i="19"/>
  <c r="Y92" i="19"/>
  <c r="AA91" i="19"/>
  <c r="Y91" i="19"/>
  <c r="AA90" i="19"/>
  <c r="Y90" i="19"/>
  <c r="AA89" i="19"/>
  <c r="AA88" i="19"/>
  <c r="Y86" i="19"/>
  <c r="Z85" i="19"/>
  <c r="AA85" i="19"/>
  <c r="Y85" i="19"/>
  <c r="AA83" i="19"/>
  <c r="Y83" i="19"/>
  <c r="AA81" i="19"/>
  <c r="Y81" i="19"/>
  <c r="AA80" i="19"/>
  <c r="Y80" i="19"/>
  <c r="AB76" i="19"/>
  <c r="Z76" i="19"/>
  <c r="AA76" i="19"/>
  <c r="Y76" i="19"/>
  <c r="Z75" i="19"/>
  <c r="AA74" i="19"/>
  <c r="Y74" i="19"/>
  <c r="AA73" i="19"/>
  <c r="AA70" i="19"/>
  <c r="Y70" i="19"/>
  <c r="AA69" i="19"/>
  <c r="Y69" i="19"/>
  <c r="AA66" i="19"/>
  <c r="X65" i="19"/>
  <c r="AA64" i="19"/>
  <c r="AA62" i="19"/>
  <c r="Y62" i="19"/>
  <c r="AA61" i="19"/>
  <c r="Y61" i="19"/>
  <c r="AA60" i="19"/>
  <c r="Y60" i="19"/>
  <c r="Z59" i="19"/>
  <c r="AA59" i="19"/>
  <c r="Y59" i="19"/>
  <c r="Z58" i="19"/>
  <c r="AA58" i="19"/>
  <c r="Y58" i="19"/>
  <c r="AA57" i="19"/>
  <c r="Y57" i="19"/>
  <c r="AA55" i="19"/>
  <c r="Y55" i="19"/>
  <c r="Y54" i="19"/>
  <c r="AA53" i="19"/>
  <c r="X52" i="19"/>
  <c r="T52" i="19"/>
  <c r="AA47" i="19"/>
  <c r="Y47" i="19"/>
  <c r="AA46" i="19"/>
  <c r="Y46" i="19"/>
  <c r="AA45" i="19"/>
  <c r="Y45" i="19"/>
  <c r="Z43" i="19"/>
  <c r="AA42" i="19"/>
  <c r="Y42" i="19"/>
  <c r="AB41" i="19"/>
  <c r="AA41" i="19"/>
  <c r="Y41" i="19"/>
  <c r="AB40" i="19"/>
  <c r="T40" i="19"/>
  <c r="U40" i="19"/>
  <c r="W40" i="19"/>
  <c r="Z39" i="19"/>
  <c r="AA39" i="19"/>
  <c r="Y39" i="19"/>
  <c r="AB37" i="19"/>
  <c r="AA37" i="19"/>
  <c r="Y37" i="19"/>
  <c r="AA36" i="19"/>
  <c r="Y36" i="19"/>
  <c r="AA35" i="19"/>
  <c r="Y35" i="19"/>
  <c r="AB34" i="19"/>
  <c r="AA34" i="19"/>
  <c r="Y34" i="19"/>
  <c r="AB33" i="19"/>
  <c r="AA33" i="19"/>
  <c r="Y33" i="19"/>
  <c r="AA32" i="19"/>
  <c r="Y32" i="19"/>
  <c r="AA31" i="19"/>
  <c r="Y31" i="19"/>
  <c r="AA28" i="19"/>
  <c r="Y28" i="19"/>
  <c r="AA27" i="19"/>
  <c r="Y27" i="19"/>
  <c r="AB26" i="19"/>
  <c r="Y26" i="19"/>
  <c r="AA21" i="19"/>
  <c r="Y21" i="19"/>
  <c r="AA20" i="19"/>
  <c r="Y20" i="19"/>
  <c r="AA19" i="19"/>
  <c r="Y19" i="19"/>
  <c r="AA18" i="19"/>
  <c r="Y18" i="19"/>
  <c r="AA17" i="19"/>
  <c r="AA12" i="19"/>
  <c r="Y12" i="19"/>
  <c r="AA11" i="19"/>
  <c r="Y11" i="19"/>
  <c r="Z10" i="19"/>
  <c r="AA10" i="19"/>
  <c r="X10" i="19"/>
  <c r="Y10" i="19"/>
  <c r="AA7" i="19"/>
  <c r="AB6" i="19"/>
  <c r="Y1" i="19"/>
  <c r="E23" i="16"/>
  <c r="G46" i="16"/>
  <c r="H46" i="16"/>
  <c r="L47" i="16"/>
  <c r="L48" i="16"/>
  <c r="L49" i="16"/>
  <c r="L50" i="16"/>
  <c r="L51" i="16"/>
  <c r="L52" i="16"/>
  <c r="L46" i="16"/>
  <c r="K53" i="16"/>
  <c r="J53" i="16"/>
  <c r="F53" i="16"/>
  <c r="H53" i="16"/>
  <c r="H49" i="16"/>
  <c r="H48" i="16"/>
  <c r="H47" i="16"/>
  <c r="M47" i="16"/>
  <c r="H50" i="16"/>
  <c r="H51" i="16"/>
  <c r="H52" i="16"/>
  <c r="F64" i="16"/>
  <c r="F60" i="16"/>
  <c r="D20" i="10"/>
  <c r="C20" i="10"/>
  <c r="H19" i="10"/>
  <c r="E19" i="10"/>
  <c r="H18" i="10"/>
  <c r="E18" i="10"/>
  <c r="E17" i="10"/>
  <c r="H16" i="10"/>
  <c r="E16" i="10"/>
  <c r="H15" i="10"/>
  <c r="E15" i="10"/>
  <c r="H14" i="10"/>
  <c r="E14" i="10"/>
  <c r="H13" i="10"/>
  <c r="E13" i="10"/>
  <c r="H12" i="10"/>
  <c r="E12" i="10"/>
  <c r="H11" i="10"/>
  <c r="E11" i="10"/>
  <c r="E10" i="10"/>
  <c r="H9" i="10"/>
  <c r="E9" i="10"/>
  <c r="H8" i="10"/>
  <c r="E8" i="10"/>
  <c r="Y37" i="32"/>
  <c r="AA56" i="32"/>
  <c r="Y35" i="32"/>
  <c r="T102" i="32"/>
  <c r="Y40" i="32"/>
  <c r="Y45" i="28"/>
  <c r="Y15" i="32"/>
  <c r="AA34" i="32"/>
  <c r="Y34" i="32"/>
  <c r="Y51" i="32"/>
  <c r="AA51" i="32"/>
  <c r="AA71" i="32"/>
  <c r="Y71" i="19"/>
  <c r="AA79" i="32"/>
  <c r="AA82" i="32"/>
  <c r="AA49" i="32"/>
  <c r="M5" i="56"/>
  <c r="AA6" i="32"/>
  <c r="AA29" i="32"/>
  <c r="E20" i="10"/>
  <c r="AA36" i="32"/>
  <c r="AG52" i="27"/>
  <c r="AG166" i="27"/>
  <c r="AA75" i="32"/>
  <c r="I7" i="38"/>
  <c r="Y48" i="19"/>
  <c r="AA22" i="32"/>
  <c r="U102" i="32"/>
  <c r="Z102" i="19"/>
  <c r="AA71" i="28"/>
  <c r="Y89" i="28"/>
  <c r="M50" i="16"/>
  <c r="Y94" i="32"/>
  <c r="AB98" i="28"/>
  <c r="Y62" i="28"/>
  <c r="AA38" i="32"/>
  <c r="Y38" i="32"/>
  <c r="AA38" i="19"/>
  <c r="Y38" i="19"/>
  <c r="AA48" i="32"/>
  <c r="Y48" i="32"/>
  <c r="Y43" i="32"/>
  <c r="AA43" i="32"/>
  <c r="L53" i="16"/>
  <c r="M51" i="16"/>
  <c r="AA75" i="19"/>
  <c r="Y79" i="19"/>
  <c r="Y56" i="19"/>
  <c r="Y49" i="28"/>
  <c r="AA53" i="28"/>
  <c r="Y56" i="32"/>
  <c r="Y68" i="32"/>
  <c r="Y22" i="19"/>
  <c r="AA82" i="19"/>
  <c r="Y50" i="19"/>
  <c r="Y49" i="19"/>
  <c r="AA65" i="19"/>
  <c r="Y65" i="19"/>
  <c r="Y79" i="28"/>
  <c r="AA79" i="28"/>
  <c r="Y14" i="28"/>
  <c r="AA14" i="28"/>
  <c r="V102" i="19"/>
  <c r="Z98" i="28"/>
  <c r="Z100" i="28"/>
  <c r="Y13" i="19"/>
  <c r="AA43" i="19"/>
  <c r="T97" i="28"/>
  <c r="AA62" i="28"/>
  <c r="AG41" i="27"/>
  <c r="T102" i="19"/>
  <c r="Z97" i="28"/>
  <c r="Y15" i="19"/>
  <c r="AA94" i="19"/>
  <c r="U102" i="19"/>
  <c r="M619" i="49"/>
  <c r="Y84" i="19"/>
  <c r="AA84" i="19"/>
  <c r="W97" i="28"/>
  <c r="AA48" i="28"/>
  <c r="Y48" i="28"/>
  <c r="Y43" i="19"/>
  <c r="W103" i="19"/>
  <c r="Y25" i="32"/>
  <c r="AA25" i="32"/>
  <c r="AA95" i="32"/>
  <c r="AA13" i="32"/>
  <c r="V102" i="32"/>
  <c r="AA8" i="32"/>
  <c r="Y50" i="32"/>
  <c r="Y6" i="19"/>
  <c r="Y68" i="28"/>
  <c r="Y74" i="28"/>
  <c r="AA25" i="19"/>
  <c r="Y23" i="32"/>
  <c r="AB102" i="32"/>
  <c r="Y51" i="19"/>
  <c r="AA77" i="32"/>
  <c r="Y47" i="28"/>
  <c r="AA52" i="32"/>
  <c r="AA95" i="19"/>
  <c r="AB97" i="28"/>
  <c r="Y11" i="28"/>
  <c r="Y77" i="19"/>
  <c r="M52" i="16"/>
  <c r="M49" i="16"/>
  <c r="M46" i="16"/>
  <c r="X102" i="19"/>
  <c r="U97" i="28"/>
  <c r="AA84" i="32"/>
  <c r="M5" i="49"/>
  <c r="Y40" i="19"/>
  <c r="AA40" i="19"/>
  <c r="W102" i="19"/>
  <c r="Y93" i="28"/>
  <c r="X101" i="28"/>
  <c r="X103" i="28"/>
  <c r="Y52" i="19"/>
  <c r="AA23" i="19"/>
  <c r="AA8" i="19"/>
  <c r="AB102" i="19"/>
  <c r="Y64" i="32"/>
  <c r="X102" i="32"/>
  <c r="M5" i="51"/>
  <c r="M48" i="16"/>
  <c r="AA46" i="28"/>
  <c r="Y68" i="19"/>
  <c r="W102" i="32"/>
  <c r="V97" i="28"/>
  <c r="AA29" i="19"/>
  <c r="AA71" i="19"/>
  <c r="AA39" i="32"/>
  <c r="Z102" i="32"/>
  <c r="Y65" i="32"/>
  <c r="AA97" i="28"/>
  <c r="AA102" i="19"/>
  <c r="Y97" i="28"/>
  <c r="AA98" i="28"/>
  <c r="AA102" i="32"/>
  <c r="M53" i="16"/>
  <c r="Y102" i="32"/>
  <c r="Y102"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 alberto Abril Benal</author>
  </authors>
  <commentList>
    <comment ref="T41" authorId="0" shapeId="0" xr:uid="{00000000-0006-0000-0700-000001000000}">
      <text>
        <r>
          <rPr>
            <b/>
            <sz val="9"/>
            <color indexed="81"/>
            <rFont val="Tahoma"/>
            <family val="2"/>
          </rPr>
          <t>Jose alberto Abril Benal:</t>
        </r>
        <r>
          <rPr>
            <sz val="9"/>
            <color indexed="81"/>
            <rFont val="Tahoma"/>
            <family val="2"/>
          </rPr>
          <t xml:space="preserve">
un primer CDP expedido y anulado por 34.500.000 y posterior un CDP expedido por 38.500.000</t>
        </r>
      </text>
    </comment>
    <comment ref="T223" authorId="0" shapeId="0" xr:uid="{00000000-0006-0000-0700-000002000000}">
      <text>
        <r>
          <rPr>
            <b/>
            <sz val="9"/>
            <color indexed="81"/>
            <rFont val="Tahoma"/>
            <family val="2"/>
          </rPr>
          <t>Jose alberto Abril Benal:</t>
        </r>
        <r>
          <rPr>
            <sz val="9"/>
            <color indexed="81"/>
            <rFont val="Tahoma"/>
            <family val="2"/>
          </rPr>
          <t xml:space="preserve">
confirmar anulación de CDP por el mismo valor </t>
        </r>
      </text>
    </comment>
    <comment ref="T613" authorId="0" shapeId="0" xr:uid="{00000000-0006-0000-0700-000005000000}">
      <text>
        <r>
          <rPr>
            <b/>
            <sz val="9"/>
            <color indexed="81"/>
            <rFont val="Tahoma"/>
            <family val="2"/>
          </rPr>
          <t>Jose alberto Abril Benal:</t>
        </r>
        <r>
          <rPr>
            <sz val="9"/>
            <color indexed="81"/>
            <rFont val="Tahoma"/>
            <family val="2"/>
          </rPr>
          <t xml:space="preserve">
anulacion CDP inicial por 45.000.000 y expedicion nuevo CDp por 42.719.215</t>
        </r>
      </text>
    </comment>
  </commentList>
</comments>
</file>

<file path=xl/sharedStrings.xml><?xml version="1.0" encoding="utf-8"?>
<sst xmlns="http://schemas.openxmlformats.org/spreadsheetml/2006/main" count="49251" uniqueCount="5043">
  <si>
    <t>SEGUIMIENTO PRESUPUESTAL JUNIO 16  DE 2021 PROYECTOS DE INVERSION</t>
  </si>
  <si>
    <t xml:space="preserve">COLOR ROJO NO GESTIONADO EN EL TIEMPO PROGRAMADO </t>
  </si>
  <si>
    <t>COLOR AZUL CON CDP SIN REGISTRO</t>
  </si>
  <si>
    <t xml:space="preserve">Concepto del gasto anterior predis </t>
  </si>
  <si>
    <t xml:space="preserve">Concepto del gasto homologado por bogdata </t>
  </si>
  <si>
    <t>COSTO DE LA ACTIVIDAD</t>
  </si>
  <si>
    <t>COLOR VERDE CONTRATADO</t>
  </si>
  <si>
    <t>CUOTA ASIGNADA</t>
  </si>
  <si>
    <t xml:space="preserve">COLOR NEGRO PROXIMAS CONTRATACIONES </t>
  </si>
  <si>
    <t>PROPOSITO</t>
  </si>
  <si>
    <t>PROGRAMA</t>
  </si>
  <si>
    <t>COD BPIN</t>
  </si>
  <si>
    <t>META PDD</t>
  </si>
  <si>
    <t>Actividad y/o Meta proyecto de inversión</t>
  </si>
  <si>
    <t>Nombre Proyecto de inversión</t>
  </si>
  <si>
    <t xml:space="preserve">Tipo del Gasto </t>
  </si>
  <si>
    <t xml:space="preserve">Componente del Gasto </t>
  </si>
  <si>
    <t xml:space="preserve">Concepto del Gasto </t>
  </si>
  <si>
    <t>Fuente</t>
  </si>
  <si>
    <t xml:space="preserve">Fuente Bogdata </t>
  </si>
  <si>
    <t xml:space="preserve">Subdireccion </t>
  </si>
  <si>
    <t xml:space="preserve">Descripción de la Actividad
</t>
  </si>
  <si>
    <t xml:space="preserve">CODIGO PAA </t>
  </si>
  <si>
    <t xml:space="preserve">VALOR PROYECTADO PAA </t>
  </si>
  <si>
    <t xml:space="preserve">OBSERVACIONES </t>
  </si>
  <si>
    <t>Total</t>
  </si>
  <si>
    <t>APROPIACION
VIGENTE</t>
  </si>
  <si>
    <t xml:space="preserve">MODIFICACIONES </t>
  </si>
  <si>
    <t>APROPIACION DISPONIBLE (1)</t>
  </si>
  <si>
    <t>CDPS EXPEDIDOS
(2)</t>
  </si>
  <si>
    <t>SALDO DISPONIBLE
(3)= (1)-(2)</t>
  </si>
  <si>
    <t>COMPROMISOS (CRP - REGISTROS)
(4)</t>
  </si>
  <si>
    <t>% DE EJECUCION
(5) = (4)/(1)</t>
  </si>
  <si>
    <t>GIROS  ACUMULADOS</t>
  </si>
  <si>
    <t>ACTIVIDADES CONTRATADAS 2021</t>
  </si>
  <si>
    <t>2-Cambiar nuestros hábitos de vida para reverdecer a Bogotá y adaptarnos y mitigar la crisis climática.</t>
  </si>
  <si>
    <t>37-Provisión y mejoramiento de servicios públicos</t>
  </si>
  <si>
    <t>278-Aumentar en un 50 % la capacidad instalada de infraestructura en bóvedas, osarios y cenízaros (BOC) u otros equipamientos en los Cementerios Distritales, promoviendo su revitalización.</t>
  </si>
  <si>
    <t>3-Mejorar 100% la interventoria y supervisión prestación del servicio funerario en los equipamientos del distrito</t>
  </si>
  <si>
    <t>133011602370000007644 -Ampliación Gestión para la planeación ampliación  y revitalización de los servicios funerarios prestados en los cementerios de propiedad del distrito capital  Bogotá</t>
  </si>
  <si>
    <t>05-Administracion Institucional</t>
  </si>
  <si>
    <t>03 - Atención Control y Organización Institucional para Apoyo a la gestión del Distrito</t>
  </si>
  <si>
    <t>0001 - Interventoría de la concesión de cementerios</t>
  </si>
  <si>
    <t>1-100-F001  VA-Recursos distrito</t>
  </si>
  <si>
    <t>08 -Adquisición de bienes y servicios</t>
  </si>
  <si>
    <t>20-Adquisiciones diferentes de activos</t>
  </si>
  <si>
    <t>1082001042 Servicios prestados a las empresas y servicios de producción</t>
  </si>
  <si>
    <t>Subdirección de servicios funerarios</t>
  </si>
  <si>
    <t>Realizar la interventoría técnica operativa social administrativa financiera ambiental jurídica de seguridad industrial y de salud ocupacional relacionadas con la prestación de los servicios funerarios en los cementerios del Distrito</t>
  </si>
  <si>
    <t>SSF-001 Interventoria a los servicios funerarios (ENERO)
1 linea programada la interventoria del nuevo esquema de prestacion de los servicios funerarios (FEBRERO)</t>
  </si>
  <si>
    <t xml:space="preserve">(1.000.000.000)
(6.474.000.000)
</t>
  </si>
  <si>
    <t>ADICION CONTRATO INTERVENTORIA</t>
  </si>
  <si>
    <t>2- Fortalecer 100% la gestión para realizar proyectos de revitalización, modernización, regularización, desarrollo, ampliación,  adecuación y/o restauración  de los servicios funerarios en los cementerios</t>
  </si>
  <si>
    <t>02 - Dotacion</t>
  </si>
  <si>
    <t>06 - Gastos Operativos</t>
  </si>
  <si>
    <t>0133 - Vigilancia</t>
  </si>
  <si>
    <t>La prestación del servicio de vigilancia y seguridad privada de los bienes muebles e inmuebles de propiedad de la UAESP- Unidad Administrativa Especial de Servicios Públicos y de los que sea legalmente responsable con una empresa legalmente constituida y autorizada por la Superintendencia de Vigilancia y Seguridad Privada cuyas características técnicas se encuentran detalladas en las fichas técnicas del servicio anexas al presente documento y de conformidad con el procedimiento establecido en el reglamento de Funcionamiento y Operación de la Bolsa para el mercado de Compras Públicas</t>
  </si>
  <si>
    <t>SSF-002 Vigilancia (MAYO)</t>
  </si>
  <si>
    <t>(360.500.000)</t>
  </si>
  <si>
    <t>Se realizo adicion al contrato existente por valor de 53.510.381</t>
  </si>
  <si>
    <t>03 - Recurso Humano</t>
  </si>
  <si>
    <t>04 - Gastos de Personal Operativo</t>
  </si>
  <si>
    <t>0065 - Personal de apoyo para la gestión de servicios funerarios</t>
  </si>
  <si>
    <t>1082001052 Servicios para la comunidad sociales y personales</t>
  </si>
  <si>
    <t>Contratacion de personal de apoyo a la gestion</t>
  </si>
  <si>
    <r>
      <t xml:space="preserve">SSFAP-023-010-021-SSF-022-005-018-015-017-009-007-012-008-029-013-003-016-004-019-006-011-014-034
1 linea sin codigo PS 
</t>
    </r>
    <r>
      <rPr>
        <sz val="12"/>
        <color indexed="40"/>
        <rFont val="Calibri"/>
        <family val="2"/>
      </rPr>
      <t>SSF-025</t>
    </r>
    <r>
      <rPr>
        <sz val="12"/>
        <rFont val="Calibri"/>
        <family val="2"/>
      </rPr>
      <t xml:space="preserve">
SSF-024-026-027-028 (JUNIO)</t>
    </r>
    <r>
      <rPr>
        <sz val="12"/>
        <color indexed="17"/>
        <rFont val="Calibri"/>
        <family val="2"/>
      </rPr>
      <t xml:space="preserve">
</t>
    </r>
  </si>
  <si>
    <r>
      <t xml:space="preserve">(879.306.974)
(32.232.315)
</t>
    </r>
    <r>
      <rPr>
        <sz val="12"/>
        <color indexed="40"/>
        <rFont val="Calibri"/>
        <family val="2"/>
      </rPr>
      <t xml:space="preserve">(42.000.000)
</t>
    </r>
    <r>
      <rPr>
        <sz val="12"/>
        <rFont val="Calibri"/>
        <family val="2"/>
      </rPr>
      <t xml:space="preserve">(104.640.000)
</t>
    </r>
    <r>
      <rPr>
        <sz val="12"/>
        <color indexed="17"/>
        <rFont val="Calibri"/>
        <family val="2"/>
      </rPr>
      <t xml:space="preserve">
</t>
    </r>
  </si>
  <si>
    <t xml:space="preserve">CONTRATACION DE PERSONAL DE APOYO </t>
  </si>
  <si>
    <t>01 - Infraestructura</t>
  </si>
  <si>
    <t>01 - Construcción adecuación y ampliación de infraestructura propia del sector</t>
  </si>
  <si>
    <t>0096 - Construccion Demolición Y Adecuación De Equipamentos De Servicios Funerarios</t>
  </si>
  <si>
    <t>1082001010  Servicios de la construcción</t>
  </si>
  <si>
    <t xml:space="preserve">ADECUACION CUARTOS DE RESIDUOS CEMENTERIOS </t>
  </si>
  <si>
    <t>SSF-032 Equipo monitoreo de gases (ABRIL)</t>
  </si>
  <si>
    <t>(304.350.003)</t>
  </si>
  <si>
    <t>Esta linea se ejecuta por 2 fuentes de financiacion</t>
  </si>
  <si>
    <t>03-490  Rendimientos Financieros de Libre Destinación</t>
  </si>
  <si>
    <t>3-400-F002  RF-Administrados de libre destinación</t>
  </si>
  <si>
    <t>Intervención del espacio público espacios comunes y proyectos de mitigación de impactos en movilidad en el Cementerio Distrital del Sur y Norte</t>
  </si>
  <si>
    <t>(61.499.451)</t>
  </si>
  <si>
    <t xml:space="preserve">Esta linea se ejecuta por 2 fuentes de financiacion </t>
  </si>
  <si>
    <t>1-Ampliación del 50% de la capacidad instalada de bóvedas, osarios y cenizarios en los cementerios distritales.</t>
  </si>
  <si>
    <t>ADECUACION GALERIA EMPLEADOS DISTRITALES</t>
  </si>
  <si>
    <t>03-20 Administrados de Destinación Especifica</t>
  </si>
  <si>
    <t>3-100-I001  VA-Administrados de destinación especifi</t>
  </si>
  <si>
    <t>Prórroga y adición No. 3 al contrato UAESP 332-2020, cuyo objeto esPrestar los servicios para realizar las actividades logísticas y desuministro dirigidas al montaje y operación del centro transitorio parala identificación de personas y certificación de la muerte en elCementerio Distrital Parque Serafín, de Bogotá D.C.</t>
  </si>
  <si>
    <t>03-147 Otros Recursos del Balance de Destinación Específica</t>
  </si>
  <si>
    <t>3-200-I001  RB-Administrados de destinación Específica</t>
  </si>
  <si>
    <t xml:space="preserve">Estudios y diseños para mausoleos y cuarto de hornos </t>
  </si>
  <si>
    <t xml:space="preserve">SSF-029 Estudios y Diseños </t>
  </si>
  <si>
    <t>(281.078.765)</t>
  </si>
  <si>
    <t>Realizar la actualización y complementación de estudios ydiseños para la construcción de mausoleos y cuarto de hornos en elcementerio parque Serafín de Bogotá D.C.</t>
  </si>
  <si>
    <t>Construcción de un nuevo Mausoleo en el Cementerio Serafíin el cual amplia la capacidad de Bovedas Osarios y Cenizarios (BOC)</t>
  </si>
  <si>
    <t>SSF-033 Construccion mausoleos, osarios y cenizarios parque SERAFIN. (AGOSTO)</t>
  </si>
  <si>
    <t>(2.425.072.235)</t>
  </si>
  <si>
    <t>3-602-I001  PAS-RB-Administrados de destinación específica</t>
  </si>
  <si>
    <t xml:space="preserve">Pago pasivos exigibles </t>
  </si>
  <si>
    <t>N/A</t>
  </si>
  <si>
    <t>3-601-I001  PAS-Administrados de destinación Específica</t>
  </si>
  <si>
    <t>3-601-F002  PAS-Administrados de libre destinación</t>
  </si>
  <si>
    <t>1-Hacer un nuevo contrato social con igualdad de oportuni-dades para la inclusión social, productiva y política</t>
  </si>
  <si>
    <t>1-Subsidios y Transferencias para la equidad</t>
  </si>
  <si>
    <t>5-Otorgar 12.500 subvenciones y ayudas a la población vul-nerable que cumplan los requisitos, para acceder a los servi-cios funerarios del Distrito</t>
  </si>
  <si>
    <t xml:space="preserve"> 1-Otorgar 12.500 subvenciones o ayudas a la  población vulnerable que cumplan los requisitos, para acceder a los servicios funerarios del Distrito</t>
  </si>
  <si>
    <t xml:space="preserve">133011601010000007660 - Mejoramiento Subvenciones y ayudas para dar acceso a los servicios funerarios del distrito destinadas a la población en condición de vulnerabilidad  Bogotá </t>
  </si>
  <si>
    <t>0250 - Subsidios Para Servicios Funerarios</t>
  </si>
  <si>
    <t>09 - Transferencias corrientes</t>
  </si>
  <si>
    <t>01 - Subvenciones</t>
  </si>
  <si>
    <t xml:space="preserve">1090100030 A empresas privadas financieras </t>
  </si>
  <si>
    <t xml:space="preserve">Otorgar 3396 subvenciones y/o ayudar para prestación de los servicios funerarios en los cementerios de propiedad del distrito </t>
  </si>
  <si>
    <t>3-Inspirar confianza y legitimidad para vivir sin miedo y ser epicentro de cultura ciudadana, paz y reconciliación.</t>
  </si>
  <si>
    <t>45-Espacio público más seguro y construido colectivamente</t>
  </si>
  <si>
    <t>335-Aumentar en un 25% la Modernización a Tecnología Led el 25% del parque lumínico distrital compuesto por un total de 356.000 luminarias.</t>
  </si>
  <si>
    <t>1-Fortalecer 100 % el seguimiento y control de la prestación del servicio de Alumbrado Público en el Distrito Capital.</t>
  </si>
  <si>
    <t>133011603450000007652-Fortalecimiento gestión para la eficiencia energética del servicio de alumbrado público  Bogotá</t>
  </si>
  <si>
    <t>0002 - Interventoría A La Prestación Del Servicio De Alumbrado Público</t>
  </si>
  <si>
    <t>Otros Distritos</t>
  </si>
  <si>
    <t>Subdirección de alumbrado público</t>
  </si>
  <si>
    <t>Realizar la interventoría técnica-operativa social administrativa ambiental regulatoria jurídica de seguridad industrial y salud en el trabajo; de la prestación del servicio de alumbrado público en Bogotá que se presta conforme al Convenio No766 de 1997 cuyo objeto es la prestación del servicio de alumbrado público en Bogotá DC y el Acuerdo complementario del mismo suscrito entre el Distrito Capital/UESP y CODENSA el 25 de enero de 2002 y aquellos que los sustituyan modifiquen o adicionen</t>
  </si>
  <si>
    <t>SAP-001 Realizar la interventoría del servicio de alumbrado público (FEBRERO)</t>
  </si>
  <si>
    <t>5.838.000.000</t>
  </si>
  <si>
    <t>1. Se tenia programada para febrero por modalidad de contratación directa, la interventoria como un proceso nuevo por valor $ 5.838.000.000, sin embargo se hizo una adicion por $1.410.000.000 lo que redujo el valor a comprometer.</t>
  </si>
  <si>
    <t>INTERVENTORIA</t>
  </si>
  <si>
    <t xml:space="preserve"> 2-Fortalecer 100% la planeación, la gestión y la evaluación de la prestación del servicio de Alumbrado Público en el Distrito Capital, para su modernización</t>
  </si>
  <si>
    <t>0076 - Personal De Apoyo Para La Gestión Del Alumbrado Público</t>
  </si>
  <si>
    <t>Contratcion de personal de apoyo a la gestion</t>
  </si>
  <si>
    <r>
      <t xml:space="preserve">SAP-033-SAP-006  (JUNIO)
</t>
    </r>
    <r>
      <rPr>
        <sz val="12"/>
        <color indexed="17"/>
        <rFont val="Calibri"/>
        <family val="2"/>
      </rPr>
      <t xml:space="preserve">SAP-014-013-019-018-025-022-024-007-015-012-029-003-017-002-016-027-028-004-030 - SSFAP-021-023-010
5 LINEAS SIN CODIGO PS (PRESTACION DE SERVICIOS)
</t>
    </r>
    <r>
      <rPr>
        <sz val="12"/>
        <rFont val="Calibri"/>
        <family val="2"/>
      </rPr>
      <t>SAP-031-005-032-035 (JUNIO-JULIO)</t>
    </r>
    <r>
      <rPr>
        <sz val="12"/>
        <color indexed="40"/>
        <rFont val="Calibri"/>
        <family val="2"/>
      </rPr>
      <t xml:space="preserve">
</t>
    </r>
  </si>
  <si>
    <r>
      <t xml:space="preserve">(21.000.000 - 39.900.000)
</t>
    </r>
    <r>
      <rPr>
        <sz val="12"/>
        <color indexed="17"/>
        <rFont val="Calibri"/>
        <family val="2"/>
      </rPr>
      <t xml:space="preserve">(1.370.886.998)
</t>
    </r>
    <r>
      <rPr>
        <sz val="12"/>
        <rFont val="Calibri"/>
        <family val="2"/>
      </rPr>
      <t xml:space="preserve">
(135.500.000)
</t>
    </r>
  </si>
  <si>
    <t xml:space="preserve">CONTRATCION DE PERSONAL DE APOYO </t>
  </si>
  <si>
    <t>'03-Mejoramiento Y Mantenimiento De Infraestructura Propia Del Sector</t>
  </si>
  <si>
    <t xml:space="preserve">0120-Mejoramiento y mantenimiento de infraestructura Nivel cero(0) de alumbrado publico </t>
  </si>
  <si>
    <t>01 Activos fijos</t>
  </si>
  <si>
    <t>1080100012 Edificaciones y estructuras - Mejoras de tierras y terrenos</t>
  </si>
  <si>
    <t>Realizar la modernización y actualización  del servicio de alumbrado público en la infraestructura provenientes de zonas de cesión del Distrito Capital activos denominados Nivel 0 a monto agotable”</t>
  </si>
  <si>
    <t xml:space="preserve">SAP-034 (JUNIO)
</t>
  </si>
  <si>
    <t>(583.329.000)</t>
  </si>
  <si>
    <t>5-Construir Bogotá - Región con gobierno abierto transparente y ciudadanía consciente.</t>
  </si>
  <si>
    <t>56-Gestión Pública Efectiva</t>
  </si>
  <si>
    <t xml:space="preserve">509-Fortalecer la gestión institucional y el modelo de gestión de la SDHT CVP y UAESP </t>
  </si>
  <si>
    <t>3- Establecer e implementar 1(Un) patrón de procesos y actividades que aumenten el  fortalecimiento organizacional de la unidad.</t>
  </si>
  <si>
    <t>133011605560000007628 - Fortalecimiento efectivo en la gestión institucional  Bogotá</t>
  </si>
  <si>
    <t>0098 - Contratación De Personal Para El Apoyo A La Gestión</t>
  </si>
  <si>
    <t>1082001042  - Servicios prestados a las empresas y servicios de producción</t>
  </si>
  <si>
    <t>Oficina Asesora de Comunicaciones</t>
  </si>
  <si>
    <t xml:space="preserve">Contratación de personal externo que ejecute actividades de soporte a la gestión en actividades y perfiles que no existan en la planta de personal de la Unidad </t>
  </si>
  <si>
    <r>
      <t xml:space="preserve">2 lineas sin codigo PS
OACRI-02-03-03-04-05-06-08-08-10-12-01-14-16-07-11
</t>
    </r>
    <r>
      <rPr>
        <sz val="12"/>
        <color indexed="8"/>
        <rFont val="Calibri"/>
        <family val="2"/>
      </rPr>
      <t xml:space="preserve">OACRI-17 (AGOSTO) -18 (JULIO) PS </t>
    </r>
  </si>
  <si>
    <r>
      <t xml:space="preserve">(39.000.000)
(763.000.000)
</t>
    </r>
    <r>
      <rPr>
        <sz val="12"/>
        <color indexed="8"/>
        <rFont val="Calibri"/>
        <family val="2"/>
      </rPr>
      <t>(37.500.000)</t>
    </r>
  </si>
  <si>
    <t>01 - Divulgación Asistencia Técnica y Capacitación de la Población</t>
  </si>
  <si>
    <t>0169 - Gastos de divulgación institucional</t>
  </si>
  <si>
    <t>11 - Gastos de comercialización 
y producción</t>
  </si>
  <si>
    <t>02 - Adquisición de servicios</t>
  </si>
  <si>
    <t>1110200052 - Servicios para la comunidad sociales y personales</t>
  </si>
  <si>
    <t xml:space="preserve">Contratación del servicio de un proveedor externo para que diseñe y ejecute el plan de medios de acuerdo con los objetivos planteados por la Oficina de Comunicaciones </t>
  </si>
  <si>
    <t>OACRI-09 (JUNIO) OACRI-15 (JULIO)</t>
  </si>
  <si>
    <t>(684.000.000)</t>
  </si>
  <si>
    <t>03 - Adquisición de equipos materiales suministros y servicios administrativos</t>
  </si>
  <si>
    <t>0011 - Equipos Materiales Suministros Y Servicios Para El Proceso De Gestión</t>
  </si>
  <si>
    <t>01 - Materiales y suministros</t>
  </si>
  <si>
    <t>1110100052   - Productos metálicos maquinaria y equipo</t>
  </si>
  <si>
    <t>Adquisicón de equipos audiovisuales</t>
  </si>
  <si>
    <t>1- Ejecutar 1(Un) estudio de cargas estructurales y reforzamiento estructural si así fuere, subsanando las necesidades que contribuyan a fortalecer y mantener la infraestructura física.</t>
  </si>
  <si>
    <t>06 - Mejoramiento y mantenimiento de infraestructura administrativa</t>
  </si>
  <si>
    <t>0015 - Mejoramiento y mantenimiento de Sedes Administrativas</t>
  </si>
  <si>
    <t>1082001010  - Servicios de la construcción</t>
  </si>
  <si>
    <t>Subdirección Administrativa y Financiera</t>
  </si>
  <si>
    <t>Compra e instalación de acrilicos para división de puestos de trabajo de todos los funcionarios</t>
  </si>
  <si>
    <t>SAF-0107-0094-0095 (JUNIO (SUMINISTRO DE ELEMENTOS PARA EL MANTENIMIENTO MENOR DE LAS INSTALACIONES-ASCENSOR-MANTENIMIENTO SEDES) SAF 0097 (SEPTIEMBRE) (FUMIGACION)</t>
  </si>
  <si>
    <t>(288.710.000)</t>
  </si>
  <si>
    <t xml:space="preserve">pago de expensas y gastos notariales demolicion y obras predio la alqueria </t>
  </si>
  <si>
    <t>Servicios de protección (guardas de seguridad)</t>
  </si>
  <si>
    <t xml:space="preserve">SAF-0091 (CONTRATO DE VIGILANCIA PARA MAYO) </t>
  </si>
  <si>
    <t>(525.000.000)</t>
  </si>
  <si>
    <t xml:space="preserve">1 ADICION CONTRATO DE VIGILANCIA POR VALOR DE (212.260.942) SE ALARA QUE ESTE CONTRATO SALE POR FUNCIONAMIENTO Y POR INVERSION </t>
  </si>
  <si>
    <t>0088 - Adquisción De Servicios De Aseo Y Cafetería Para Los Proyectos De La Entidad</t>
  </si>
  <si>
    <t>Servicios de limpieza general</t>
  </si>
  <si>
    <t>SAF-033 (CONTRATO CAFETERIA FEBRERO)</t>
  </si>
  <si>
    <t>(309.400.000)</t>
  </si>
  <si>
    <t xml:space="preserve">ADICION AL CONTRATO DE ASEO Y CAFETERIA </t>
  </si>
  <si>
    <t>Contratar el personal de apoyo directo para la subdireccion administrativa y financiera</t>
  </si>
  <si>
    <r>
      <t xml:space="preserve">SAF-0047-0014-0081-0029-0028-0050-0017-0026-0005-0046-0034-0049-0039-0083-0060-0015-0052-0082-0013-0022-0027-0070-0004-0073-0079-0011-0053-0048-00023-0019-0037-0084-0003-0009-0018-0012-0080-0021-0007-0008-0066-0069-0042-0056-0006-0074-0010-0071-0072-0067-0002-0077-0058-0054-0044-0030-0034-0040-0064-0045-0043-0025-0041-0099-0089-0101-0038-0062-0104-0061-0057
</t>
    </r>
    <r>
      <rPr>
        <sz val="12"/>
        <color indexed="40"/>
        <rFont val="Calibri"/>
        <family val="2"/>
      </rPr>
      <t xml:space="preserve">SAF-0016-0055 
</t>
    </r>
    <r>
      <rPr>
        <sz val="12"/>
        <color indexed="10"/>
        <rFont val="Calibri"/>
        <family val="2"/>
      </rPr>
      <t xml:space="preserve">SAF-0020 (FEBRERO) SAF-0059-0063-0065-0068-0092-0075-0076-0078-0085 (ABRIL) SAF-0105-0102-0103-0100 (MAYO)
</t>
    </r>
    <r>
      <rPr>
        <sz val="12"/>
        <rFont val="Calibri"/>
        <family val="2"/>
      </rPr>
      <t>SAF-0108-0109 SAF-0093 (LOGISTICA DE EVENTOS) (JUNIO) SAF-112-113-114-0110-0111-0115-0116 (JULIO)</t>
    </r>
    <r>
      <rPr>
        <sz val="12"/>
        <color indexed="40"/>
        <rFont val="Calibri"/>
        <family val="2"/>
      </rPr>
      <t xml:space="preserve">
</t>
    </r>
  </si>
  <si>
    <r>
      <t xml:space="preserve">(3.324.349.672)
</t>
    </r>
    <r>
      <rPr>
        <sz val="12"/>
        <color indexed="40"/>
        <rFont val="Calibri"/>
        <family val="2"/>
      </rPr>
      <t xml:space="preserve">(105.369.576)
</t>
    </r>
    <r>
      <rPr>
        <sz val="12"/>
        <color indexed="10"/>
        <rFont val="Calibri"/>
        <family val="2"/>
      </rPr>
      <t xml:space="preserve">(422.446.094)
</t>
    </r>
    <r>
      <rPr>
        <sz val="12"/>
        <rFont val="Calibri"/>
        <family val="2"/>
      </rPr>
      <t>(406.200.000)</t>
    </r>
  </si>
  <si>
    <t>2-Aumentar en al menos un 25% la capacidad en la arquitectura tecnológica, subsanando las necesidades que coadyuven a fortalecer y mantener la misma.</t>
  </si>
  <si>
    <t>04 - Mantenimiento de equipos materiales suministros y servicios administrativos</t>
  </si>
  <si>
    <t>0007 - Gastos de mantenimiento preventivo y correctivo de la infraestructura tecnológica y arrendamiento de equipos</t>
  </si>
  <si>
    <t>TIC</t>
  </si>
  <si>
    <t>Mantenimiento infraestuctura tecnologica/Mantenimiento planta electrica/Mantenimiento video wall/Arrendamiento de impresoras/Arrendamiento de scanners/Arrendamiento de impresora termica con lectora/Conectividad y camaras de vigilancia bodegas/Data Center alterno/Digiturno/Servidores/NAC/Control de acceso y registro de funcionarios/Licencias Office</t>
  </si>
  <si>
    <r>
      <t xml:space="preserve">TIC-0002-0003  (MANTENIMIENTO PLANTA ELECTRICA-SERVICIO DE IMPRESIÓN)
</t>
    </r>
    <r>
      <rPr>
        <sz val="12"/>
        <color indexed="40"/>
        <rFont val="Calibri"/>
        <family val="2"/>
      </rPr>
      <t xml:space="preserve">
TIC-0001-0032 (MANTENIMIENTO EQUIPOS TECNOLOGICOS-SERVICIOS TECNICOS MANTENIMIENTO INFRAESTRUCTURA)</t>
    </r>
    <r>
      <rPr>
        <sz val="12"/>
        <color indexed="17"/>
        <rFont val="Calibri"/>
        <family val="2"/>
      </rPr>
      <t xml:space="preserve">
</t>
    </r>
    <r>
      <rPr>
        <sz val="12"/>
        <color indexed="8"/>
        <rFont val="Calibri"/>
        <family val="2"/>
      </rPr>
      <t>TIC-0004 (ARRENDAMIENTO DE SCANNER)(OCTUBRE)</t>
    </r>
  </si>
  <si>
    <r>
      <t xml:space="preserve">
(123.522.000)
</t>
    </r>
    <r>
      <rPr>
        <sz val="12"/>
        <color indexed="40"/>
        <rFont val="Calibri"/>
        <family val="2"/>
      </rPr>
      <t>(351.754.108)</t>
    </r>
    <r>
      <rPr>
        <sz val="12"/>
        <color indexed="17"/>
        <rFont val="Calibri"/>
        <family val="2"/>
      </rPr>
      <t xml:space="preserve">
</t>
    </r>
    <r>
      <rPr>
        <sz val="12"/>
        <color indexed="8"/>
        <rFont val="Calibri"/>
        <family val="2"/>
      </rPr>
      <t xml:space="preserve">
(12.000.000)</t>
    </r>
  </si>
  <si>
    <t>Amparar el servicio de comunicación y conectividad portable para elservicio de la Unidad Administrativa Especial de Servicios Públicos.</t>
  </si>
  <si>
    <t>1082000041   - Otros bienes transportables (excepto productos metálicos maquinaria y equipo)</t>
  </si>
  <si>
    <t>Sala de videoconferencia</t>
  </si>
  <si>
    <t>TIC-0016 (SOLUCION DE VIDEOCONFERENCIA) (JULIO)</t>
  </si>
  <si>
    <t>(31.000.000)</t>
  </si>
  <si>
    <t>0050 - Compras equipo licencias y software</t>
  </si>
  <si>
    <t>1082000052 - Productos metálicos y paquetes de software</t>
  </si>
  <si>
    <t>Licencias adobe/Licencias autocad/Licencias Argis/Licencias runmyprocess/Licencias firewall/Licencias antivirus/Licencias backup Institucional en nube/Licencias backup correo electronico/Mesa de ayuda/BogData/Software de modelado y simulación de aguas</t>
  </si>
  <si>
    <r>
      <t xml:space="preserve">TIC-0005 (CONECTIVIDAD)
</t>
    </r>
    <r>
      <rPr>
        <sz val="12"/>
        <color indexed="8"/>
        <rFont val="Calibri"/>
        <family val="2"/>
      </rPr>
      <t>TIC-0009-0011-0015 (LICENCIAS)(JUNIO)</t>
    </r>
    <r>
      <rPr>
        <sz val="12"/>
        <color indexed="17"/>
        <rFont val="Calibri"/>
        <family val="2"/>
      </rPr>
      <t xml:space="preserve">
</t>
    </r>
    <r>
      <rPr>
        <sz val="12"/>
        <color indexed="8"/>
        <rFont val="Calibri"/>
        <family val="2"/>
      </rPr>
      <t>TIC-0006-0007-0010-0012-0014 (LICENCIAS)(ENTRE AGOSTO Y NOVIEMBRE)</t>
    </r>
  </si>
  <si>
    <r>
      <t xml:space="preserve">(250.000.000)
</t>
    </r>
    <r>
      <rPr>
        <sz val="12"/>
        <color indexed="8"/>
        <rFont val="Calibri"/>
        <family val="2"/>
      </rPr>
      <t>(580.000.000)</t>
    </r>
    <r>
      <rPr>
        <sz val="12"/>
        <color indexed="17"/>
        <rFont val="Calibri"/>
        <family val="2"/>
      </rPr>
      <t xml:space="preserve">
</t>
    </r>
    <r>
      <rPr>
        <sz val="12"/>
        <color indexed="8"/>
        <rFont val="Calibri"/>
        <family val="2"/>
      </rPr>
      <t>(606.000.000)</t>
    </r>
  </si>
  <si>
    <t xml:space="preserve">SERVICIO DE CONECTIVIDAD Y TELECOMUNICACIONES </t>
  </si>
  <si>
    <t xml:space="preserve">Grupo mesa de ayuda/Grupo desarrollo Si Capital BogData y Orfeo/Estructuración seguimiento de proyectos y liquidación de contratos/Grupo desarrollo Si Capital BogData y Orfeo/Estructuración seguimiento de proyectos y liquidación de contratos/Gobierno Digital e IPV6/Pagina web e intranet/Punto Vive Digital/Administrativo y Seguridad </t>
  </si>
  <si>
    <r>
      <t xml:space="preserve">7 lineas sin codigo PS 
TIC-0022-0020-0023-0021-0024-0019-0026-0030-0031-0025-0027
</t>
    </r>
    <r>
      <rPr>
        <sz val="12"/>
        <rFont val="Calibri"/>
        <family val="2"/>
      </rPr>
      <t>TIC-0029 (JUNIO)</t>
    </r>
    <r>
      <rPr>
        <sz val="12"/>
        <color indexed="17"/>
        <rFont val="Calibri"/>
        <family val="2"/>
      </rPr>
      <t xml:space="preserve">
</t>
    </r>
    <r>
      <rPr>
        <sz val="12"/>
        <color indexed="10"/>
        <rFont val="Calibri"/>
        <family val="2"/>
      </rPr>
      <t>TIC-0017-0018- 1 linea sin codigo PS (FEBRERO)</t>
    </r>
  </si>
  <si>
    <r>
      <t xml:space="preserve">(325.987.552)
(769.360.335)
</t>
    </r>
    <r>
      <rPr>
        <sz val="12"/>
        <rFont val="Calibri"/>
        <family val="2"/>
      </rPr>
      <t xml:space="preserve">
(27.000.000)</t>
    </r>
    <r>
      <rPr>
        <sz val="12"/>
        <color indexed="17"/>
        <rFont val="Calibri"/>
        <family val="2"/>
      </rPr>
      <t xml:space="preserve">
</t>
    </r>
    <r>
      <rPr>
        <sz val="12"/>
        <color indexed="10"/>
        <rFont val="Calibri"/>
        <family val="2"/>
      </rPr>
      <t>(98.845.500)</t>
    </r>
  </si>
  <si>
    <t xml:space="preserve"> 3- Establecer e implementar 1(Un) patrón de procesos y actividades que aumenten el  fortalecimiento organizacional de la unidad.</t>
  </si>
  <si>
    <t>Contratar los servicios de seguridad y salud en el trabajo SubRed Dotación de Botiquines Señalización sedes y Elementos de proteción personal /Adquisicion mobiliario</t>
  </si>
  <si>
    <t>SAF-0051 -0087-0088 (ELEMENTOS DE SSGT-MOBILIARIO ABRIL) SAF-0098 (MAYO)</t>
  </si>
  <si>
    <t>(237.000.000)</t>
  </si>
  <si>
    <t>Oficina control interno</t>
  </si>
  <si>
    <t>Contratar el personal para la oficina de control interno</t>
  </si>
  <si>
    <r>
      <t xml:space="preserve">OCI-0002-0003-0004
</t>
    </r>
    <r>
      <rPr>
        <sz val="12"/>
        <color indexed="10"/>
        <rFont val="Calibri"/>
        <family val="2"/>
      </rPr>
      <t xml:space="preserve">OCI-0001 (MAYO) </t>
    </r>
  </si>
  <si>
    <r>
      <t xml:space="preserve">(92.500.000)
</t>
    </r>
    <r>
      <rPr>
        <sz val="12"/>
        <color indexed="10"/>
        <rFont val="Calibri"/>
        <family val="2"/>
      </rPr>
      <t>(32.500.000)</t>
    </r>
  </si>
  <si>
    <t xml:space="preserve">Oficina Asesora de Planeación </t>
  </si>
  <si>
    <t>Costratacion de personal para el equipo de proyectos y presupuesto/ para el equipo de Direccionamiento Estrategico /para el equipo de Sistema integrado</t>
  </si>
  <si>
    <r>
      <t xml:space="preserve">2 lineas sin codigo PS 
OAP-07-014-012-001-003-006-011-010-009-016-015-008-004-005-002
</t>
    </r>
    <r>
      <rPr>
        <sz val="12"/>
        <color indexed="10"/>
        <rFont val="Calibri"/>
        <family val="2"/>
      </rPr>
      <t xml:space="preserve">OAP-013 (ENERO) </t>
    </r>
    <r>
      <rPr>
        <sz val="12"/>
        <color indexed="17"/>
        <rFont val="Calibri"/>
        <family val="2"/>
      </rPr>
      <t xml:space="preserve">
</t>
    </r>
    <r>
      <rPr>
        <sz val="12"/>
        <rFont val="Calibri"/>
        <family val="2"/>
      </rPr>
      <t>OAP-017 (JUNIO)</t>
    </r>
    <r>
      <rPr>
        <sz val="12"/>
        <color indexed="17"/>
        <rFont val="Calibri"/>
        <family val="2"/>
      </rPr>
      <t xml:space="preserve">
</t>
    </r>
    <r>
      <rPr>
        <sz val="12"/>
        <color indexed="40"/>
        <rFont val="Calibri"/>
        <family val="2"/>
      </rPr>
      <t>OAP-002-004-005-008</t>
    </r>
  </si>
  <si>
    <r>
      <t xml:space="preserve">(42.978.255)
(542.726.369)
</t>
    </r>
    <r>
      <rPr>
        <sz val="12"/>
        <color indexed="10"/>
        <rFont val="Calibri"/>
        <family val="2"/>
      </rPr>
      <t>(29.072.838)</t>
    </r>
    <r>
      <rPr>
        <sz val="12"/>
        <color indexed="17"/>
        <rFont val="Calibri"/>
        <family val="2"/>
      </rPr>
      <t xml:space="preserve">
</t>
    </r>
    <r>
      <rPr>
        <sz val="12"/>
        <rFont val="Calibri"/>
        <family val="2"/>
      </rPr>
      <t xml:space="preserve">
(23.621.677)</t>
    </r>
    <r>
      <rPr>
        <sz val="12"/>
        <color indexed="17"/>
        <rFont val="Calibri"/>
        <family val="2"/>
      </rPr>
      <t xml:space="preserve">
</t>
    </r>
    <r>
      <rPr>
        <sz val="12"/>
        <color indexed="40"/>
        <rFont val="Calibri"/>
        <family val="2"/>
      </rPr>
      <t>(153.086.634)</t>
    </r>
  </si>
  <si>
    <t>Subdirección de Asuntos Legales</t>
  </si>
  <si>
    <t>Contrataciòn de personal para el equipo de CONTRATOS/JUDICIALES/LIQUIDACIONES/ACTUACIONES ADMINISTRATIVAS/CALIDAD/ENLACE/APOYO ARCHIVO/ DISCIPLINARIO/COBRO COACTIVO Y PERSUASIVO/PREDIOS/ABOGADOS EXTERNO</t>
  </si>
  <si>
    <r>
      <t xml:space="preserve">5 lineas sin codigo PS
SAL-024-006-018-010-007-017-036-008-009-011-19-021-022-033-035-037-041-047-048-050-056-034-020-043-051-023-053
</t>
    </r>
    <r>
      <rPr>
        <sz val="10"/>
        <color indexed="40"/>
        <rFont val="Calibri"/>
        <family val="2"/>
      </rPr>
      <t>SAL-046-040-012</t>
    </r>
    <r>
      <rPr>
        <sz val="10"/>
        <color indexed="17"/>
        <rFont val="Calibri"/>
        <family val="2"/>
      </rPr>
      <t xml:space="preserve">
</t>
    </r>
    <r>
      <rPr>
        <sz val="10"/>
        <color indexed="10"/>
        <rFont val="Calibri"/>
        <family val="2"/>
      </rPr>
      <t xml:space="preserve">
SAL-028 (ENERO) SAL-049 (ABRIL)
</t>
    </r>
    <r>
      <rPr>
        <sz val="10"/>
        <rFont val="Calibri"/>
        <family val="2"/>
      </rPr>
      <t>SAL-013-025-054 (JUNIO)</t>
    </r>
  </si>
  <si>
    <r>
      <t xml:space="preserve">(317.900.000)
(1.695.807.556)
</t>
    </r>
    <r>
      <rPr>
        <sz val="10"/>
        <color indexed="40"/>
        <rFont val="Calibri"/>
        <family val="2"/>
      </rPr>
      <t xml:space="preserve">(209.800.000)
</t>
    </r>
    <r>
      <rPr>
        <sz val="10"/>
        <color indexed="10"/>
        <rFont val="Calibri"/>
        <family val="2"/>
      </rPr>
      <t xml:space="preserve">
(181.250.000)</t>
    </r>
    <r>
      <rPr>
        <sz val="10"/>
        <color indexed="17"/>
        <rFont val="Calibri"/>
        <family val="2"/>
      </rPr>
      <t xml:space="preserve">
</t>
    </r>
    <r>
      <rPr>
        <sz val="10"/>
        <rFont val="Calibri"/>
        <family val="2"/>
      </rPr>
      <t>(134.000.000)</t>
    </r>
  </si>
  <si>
    <t>0089 - Adquisición De Servicios De Transporte Para Apoyar El Desarrollo De Las Labores De Los Proyectos De La Entidad</t>
  </si>
  <si>
    <t>1082001022 - Servicios de alojamiento; servicios de suministro de comidas y bebidas; servicios de transporte; y servicios de distribución de electricidad gas y agua</t>
  </si>
  <si>
    <t xml:space="preserve">Tiquetes y Viaticos
</t>
  </si>
  <si>
    <t>2Cambiar nuestros hábitos de vida para reverdecer a Bogotá y adaptarnos y mitigar la crisis climática</t>
  </si>
  <si>
    <t>38-Ecoeficiencia reciclaje manejo de residuos e inclusión de la población recicladora</t>
  </si>
  <si>
    <t>292-Formular e implementar un modelo de aprovechamiento de residuos para la ciudad, en el que se incluya aprovechamiento de orgánicos – plástico, fortalecimiento a la población recicladora; y supervisión y seguimiento a las ECAS</t>
  </si>
  <si>
    <t>10-Realizar el 100%  de Acompañamiento técnico, administrativo y social para fortalecer la operación y gestión de las ECA en cumplimiento de la normatividad  y los procedimientos de gestión implementados.</t>
  </si>
  <si>
    <t>133011602380000007569 -Transformación Gestión integral de residuos sólidos hacia una cultura de aprovechamiento y valorización de residuos en el distrito capital  Bogotá</t>
  </si>
  <si>
    <t>02- Administración control y organización institucional para appoyo a la gestión del distrito</t>
  </si>
  <si>
    <t>0051-Administración y mantenimiento centro la Alqueria</t>
  </si>
  <si>
    <t>Subdirección de Aprovechamiento</t>
  </si>
  <si>
    <t>Arrendamiento de Bodegas actuales</t>
  </si>
  <si>
    <r>
      <rPr>
        <b/>
        <sz val="10"/>
        <color indexed="17"/>
        <rFont val="Calibri"/>
        <family val="2"/>
      </rPr>
      <t>SA-OPS-001- 002-178</t>
    </r>
    <r>
      <rPr>
        <b/>
        <sz val="10"/>
        <color indexed="30"/>
        <rFont val="Calibri"/>
        <family val="2"/>
      </rPr>
      <t xml:space="preserve">
SA-033
</t>
    </r>
    <r>
      <rPr>
        <sz val="10"/>
        <rFont val="Calibri"/>
        <family val="2"/>
      </rPr>
      <t>SA-OPS-005-006-007-008 (JULIO-AGOSTO)</t>
    </r>
  </si>
  <si>
    <r>
      <t xml:space="preserve">$ 622.655.484
</t>
    </r>
    <r>
      <rPr>
        <b/>
        <sz val="10"/>
        <color indexed="30"/>
        <rFont val="Calibri"/>
        <family val="2"/>
      </rPr>
      <t>$ 60.000.000</t>
    </r>
    <r>
      <rPr>
        <b/>
        <sz val="10"/>
        <color indexed="17"/>
        <rFont val="Calibri"/>
        <family val="2"/>
      </rPr>
      <t xml:space="preserve">
</t>
    </r>
    <r>
      <rPr>
        <b/>
        <sz val="10"/>
        <rFont val="Calibri"/>
        <family val="2"/>
      </rPr>
      <t>(1.710.000.000)</t>
    </r>
  </si>
  <si>
    <t xml:space="preserve"> /Arrendamientos bodega engativa y usaquen </t>
  </si>
  <si>
    <t>22-Desarrollar el 100% de programas de Formación para la población recicladora de oficio.</t>
  </si>
  <si>
    <t>1-601-F001 PAS-OTROS DISTRITO</t>
  </si>
  <si>
    <t>PAGO PASIVOS EXIGIBLES</t>
  </si>
  <si>
    <t>8-Propender por el 100% de  procesos de fortalecimiento personal, técnico, empresarial y social para la población recicladora en general en el marco de la prestación del servicio púbico de aprovechamiento.</t>
  </si>
  <si>
    <t xml:space="preserve">Arrendamiento de Bodegas nuevas y adiciones </t>
  </si>
  <si>
    <r>
      <t xml:space="preserve">SA-OPS-009 
</t>
    </r>
    <r>
      <rPr>
        <b/>
        <sz val="10"/>
        <color indexed="10"/>
        <rFont val="Calibri"/>
        <family val="2"/>
      </rPr>
      <t>SA-OPS-003-004-195-196-197 (ABRIL -MAYO)</t>
    </r>
  </si>
  <si>
    <r>
      <t xml:space="preserve">120000000
</t>
    </r>
    <r>
      <rPr>
        <b/>
        <sz val="10"/>
        <color indexed="10"/>
        <rFont val="Calibri"/>
        <family val="2"/>
      </rPr>
      <t>(1301.328.000)</t>
    </r>
  </si>
  <si>
    <t>Adicion y prorroga bodega usaquen/adicion 2 bodegas en martires</t>
  </si>
  <si>
    <t xml:space="preserve">01-7 Credito </t>
  </si>
  <si>
    <t>1-100-F039  VA-Crédito</t>
  </si>
  <si>
    <t>Adecuación terreno (Centro de Reciclaje la Alquería o otros predios) asi como la compra tecnologìa y capital de trabajo para la transformaciòn de materiales aprovechables</t>
  </si>
  <si>
    <r>
      <t xml:space="preserve">SA-036 (CONVENIO RESIDUOS PLASTICOS-AJOVER) MAYO
</t>
    </r>
    <r>
      <rPr>
        <sz val="12"/>
        <rFont val="Calibri"/>
        <family val="2"/>
      </rPr>
      <t>SA-061 (CONTRATO INTERADMINISTRATIVO UNI DISTRITAL FORTALECIMIENTO PROCESOS APROVECHAMIENTO) (JULIO)</t>
    </r>
    <r>
      <rPr>
        <sz val="12"/>
        <color indexed="10"/>
        <rFont val="Calibri"/>
        <family val="2"/>
      </rPr>
      <t xml:space="preserve">
</t>
    </r>
    <r>
      <rPr>
        <sz val="12"/>
        <rFont val="Calibri"/>
        <family val="2"/>
      </rPr>
      <t>SA-OPS-199-200-201 8AGOSTO-SEPTIEMBRE) (OBRAS DE CONSTRUCCION PLATA DE ORGANICOS-MAQUINARIA DOTACION PLANTAS ORGANICOS-CENTRO EXPERIMENTAL DE APROVECHAMIENTO DE PLASTICOS)</t>
    </r>
  </si>
  <si>
    <r>
      <t xml:space="preserve">(1.200.000.000)
</t>
    </r>
    <r>
      <rPr>
        <sz val="12"/>
        <rFont val="Calibri"/>
        <family val="2"/>
      </rPr>
      <t>(14.500.000.000)</t>
    </r>
  </si>
  <si>
    <t>02-Adquisición De Infraestructura Propia Del Sector</t>
  </si>
  <si>
    <t xml:space="preserve">0027 adquisicion de predios </t>
  </si>
  <si>
    <t>Compra de seis bodegas en maria paz (1 2 3 410 y 11) para la ampliacion y fortalcimiento del programa de aprovechamiento</t>
  </si>
  <si>
    <t>Adquisicion y adecuacion  de predios para la transformacion de materiales aprovechables.</t>
  </si>
  <si>
    <t>02- Administración control y organización institucional para apoyo a la gestión del distrito</t>
  </si>
  <si>
    <t>1110200052  Servicios para la comunidad sociales y personales</t>
  </si>
  <si>
    <t>Servicios Públicos - Ecas</t>
  </si>
  <si>
    <t xml:space="preserve">PAGO DE SERVICIOS PUBLICOS BODEGAS </t>
  </si>
  <si>
    <t xml:space="preserve">11-Desarrollar  el 100 % de proyectos de innovación y desarrollo en pos del fortalecimiento de las cadenas de valor
</t>
  </si>
  <si>
    <t>1080100021 Maquinaria y equipo</t>
  </si>
  <si>
    <t>Mantenimiento de bodegas (reparaciones locativas)</t>
  </si>
  <si>
    <t>21-Desarrollar 2 modelos de aprovechamiento para la ciudad por flujo de residuos enmarcados  a la política pública del servicio de aseo, priorizando orgánicos y plásticos.</t>
  </si>
  <si>
    <t>01-Adquisición y/o producción de equipos materiales suministros y servicios propios del sector</t>
  </si>
  <si>
    <t>0489-Insumosmateriales suministros equipos servicios y dotación para a poyo integral a la misión</t>
  </si>
  <si>
    <t xml:space="preserve">Vinculacion de la organización de recicladores en la separacion y clasificacion RCD y sensibilizacion </t>
  </si>
  <si>
    <r>
      <t xml:space="preserve">SA-OPS-050-052-053-054-055-056-057-058-059 (MARZO -MAYO)
</t>
    </r>
    <r>
      <rPr>
        <sz val="12"/>
        <rFont val="Calibri"/>
        <family val="2"/>
      </rPr>
      <t>SA-OPS-049 (JUNIO)</t>
    </r>
    <r>
      <rPr>
        <sz val="12"/>
        <color indexed="10"/>
        <rFont val="Calibri"/>
        <family val="2"/>
      </rPr>
      <t xml:space="preserve">
</t>
    </r>
  </si>
  <si>
    <r>
      <t xml:space="preserve">(495.000.000)
</t>
    </r>
    <r>
      <rPr>
        <sz val="12"/>
        <rFont val="Calibri"/>
        <family val="2"/>
      </rPr>
      <t>(566.352.000)</t>
    </r>
  </si>
  <si>
    <t>CONTRATACION DE ORGANIZACIÓNES DE RECICLADORES PARA PUNTOS CRITICOS</t>
  </si>
  <si>
    <t>06-Gastos Operativos</t>
  </si>
  <si>
    <t>1082001022  Servicios de alojamiento; servicios de suministro de comidas y bebidas; servicios de transporte; y servicios de distribución de electricidad gas y agua</t>
  </si>
  <si>
    <t>Flotilla para las áreas misionales recorridos y visitas a bodegas proyectos y actividades sociales y tecnicas Y Flotilla para organicos</t>
  </si>
  <si>
    <t xml:space="preserve">SA-079 </t>
  </si>
  <si>
    <t xml:space="preserve">flotilla </t>
  </si>
  <si>
    <t>9-Contribuir a la formalización del 100% de la población recicladora registradas en RURO (Registro Único de Recicladores) y el fortalecimiento de las organizaciones de recicladores en el registro RUOR (Registro único de organizaciones de recicladores).</t>
  </si>
  <si>
    <t>04-Gastos De Personal Operativo</t>
  </si>
  <si>
    <t>Personal para el desarrollo de proyectos estrategicos del manejo integral y aprovechamiento de residuos asi como de proyectos de reciclaje aprovechamiento y tratamiento de residuos solidos</t>
  </si>
  <si>
    <t xml:space="preserve">Cinco líneas de prestación de servicios sin código
SA-OPS-105-116-112-163-118-123
6 lineas sin codigo PS (FEBRERO)
</t>
  </si>
  <si>
    <t>$ 302.794.000
$ 324.500.000
(361.094.000)</t>
  </si>
  <si>
    <t xml:space="preserve">CONTRATACION GRUPO ESTRATEGICOS POLITICA PUBLICA- PROYECTO DE GESTION RCD - POT-PEGIRS Y ACCIONES AFIRMATIVAS </t>
  </si>
  <si>
    <t>Personal para el desarrollo de los proyectos de innovación en el aprovechamiento de residuos solidos</t>
  </si>
  <si>
    <r>
      <t xml:space="preserve">
Dos línes de prestación de servicios sin código
SA-OPS-092-108-086-122-129-064-074-072-176-070-198-164
</t>
    </r>
    <r>
      <rPr>
        <b/>
        <sz val="10"/>
        <color indexed="30"/>
        <rFont val="Calibri"/>
        <family val="2"/>
      </rPr>
      <t xml:space="preserve">SA-OPS-154
</t>
    </r>
    <r>
      <rPr>
        <b/>
        <sz val="10"/>
        <color indexed="10"/>
        <rFont val="Calibri"/>
        <family val="2"/>
      </rPr>
      <t>SA-OPS-169 PS (ABRIL)</t>
    </r>
    <r>
      <rPr>
        <b/>
        <sz val="10"/>
        <color indexed="17"/>
        <rFont val="Calibri"/>
        <family val="2"/>
      </rPr>
      <t xml:space="preserve">
</t>
    </r>
  </si>
  <si>
    <r>
      <t xml:space="preserve">
$ 159.120.000
$ 570.600.000
</t>
    </r>
    <r>
      <rPr>
        <b/>
        <sz val="10"/>
        <color indexed="30"/>
        <rFont val="Calibri"/>
        <family val="2"/>
      </rPr>
      <t>$ 33.000.000</t>
    </r>
    <r>
      <rPr>
        <b/>
        <sz val="10"/>
        <color indexed="17"/>
        <rFont val="Calibri"/>
        <family val="2"/>
      </rPr>
      <t xml:space="preserve">
</t>
    </r>
    <r>
      <rPr>
        <b/>
        <sz val="10"/>
        <color indexed="10"/>
        <rFont val="Calibri"/>
        <family val="2"/>
      </rPr>
      <t>(32.000.000)</t>
    </r>
  </si>
  <si>
    <t xml:space="preserve">CONTRATACION DE PERSONAL GRUPO ADMINISTRATIVO Y ATENCION AL CIUDADANO </t>
  </si>
  <si>
    <t>Personal para el desarrollo de los procesos de Gestion Social Territorial y formalización de recicladores y organizaciones</t>
  </si>
  <si>
    <r>
      <rPr>
        <b/>
        <sz val="10"/>
        <color indexed="17"/>
        <rFont val="Calibri"/>
        <family val="2"/>
      </rPr>
      <t xml:space="preserve">7 líneas de prestación de servicios sin código
SA-OPS-117-125
</t>
    </r>
    <r>
      <rPr>
        <b/>
        <sz val="10"/>
        <color indexed="10"/>
        <rFont val="Calibri"/>
        <family val="2"/>
      </rPr>
      <t xml:space="preserve">
2 lineas sin codigo PS (FEBRERO) 
SA-OPS-124-142-175-185 (MARZO-ABRIL)</t>
    </r>
    <r>
      <rPr>
        <sz val="10"/>
        <color indexed="10"/>
        <rFont val="Calibri"/>
        <family val="2"/>
      </rPr>
      <t xml:space="preserve">
</t>
    </r>
  </si>
  <si>
    <r>
      <t xml:space="preserve">$454.300.000
$ 129.800.000
</t>
    </r>
    <r>
      <rPr>
        <b/>
        <sz val="10"/>
        <color indexed="10"/>
        <rFont val="Calibri"/>
        <family val="2"/>
      </rPr>
      <t xml:space="preserve">
(129.800.000)
(144.500.000)
</t>
    </r>
  </si>
  <si>
    <t xml:space="preserve">CONTRATACION DE PERSONAL GRUPO DE GESTORES </t>
  </si>
  <si>
    <t>6-Estructurar 2 modelos de aprovechamiento para la ciudad por flujo de orgánicos y plásticos entre otros.</t>
  </si>
  <si>
    <t>Personal para estructuración de modelos de aprovechamiento de organicos y plasticos para la ciudad</t>
  </si>
  <si>
    <r>
      <t xml:space="preserve">Tres líneas de prestación de servicios sin código
SA-OPS-102-120-119-127-068-071-073-155-160
</t>
    </r>
    <r>
      <rPr>
        <b/>
        <sz val="10"/>
        <color indexed="10"/>
        <rFont val="Calibri"/>
        <family val="2"/>
      </rPr>
      <t xml:space="preserve">1 linea sin codigo PS (FEBRERO)
SA-OPS-177 (ABRIL) PS </t>
    </r>
  </si>
  <si>
    <r>
      <t xml:space="preserve">$ 218.640.000
$ 406.100.000
</t>
    </r>
    <r>
      <rPr>
        <b/>
        <sz val="10"/>
        <color indexed="10"/>
        <rFont val="Calibri"/>
        <family val="2"/>
      </rPr>
      <t>(83.736.000)</t>
    </r>
  </si>
  <si>
    <t>CONTRATACION DE PERSONAL GRUPO DE PROYECTOS DE APROVECHAMIENTO ORGANICOS Y PLASTICOS</t>
  </si>
  <si>
    <t>297-Implementar una estrategia de cultura ciudadana para promover la separación en la fuente, el reuso, el reciclaje, valoración y aprovechamiento de residuos ordinarios orgánicos e inorgánicos, contribuyendo a mejorar la gestión sostenible de los residuos generados en la ciudad.</t>
  </si>
  <si>
    <t xml:space="preserve">18-Formular una (1) estrategia de cultura ciudadana “Reciclar es la salida” (“Bogotá verde”, etc.) para la dignificación, separación en la fuente, orientada al cambio cultural y comportamental para la separación y el reciclaje.
</t>
  </si>
  <si>
    <t>Personal para el desarrollo de los proyectos y proceso de construcción de cultura ciudadana</t>
  </si>
  <si>
    <r>
      <t xml:space="preserve">
SA-OPS-128- 131-135-144-134-137-130-065-136-165-111-151-153-159-161-180-181-184-182-191-192
</t>
    </r>
    <r>
      <rPr>
        <b/>
        <sz val="10"/>
        <color indexed="30"/>
        <rFont val="Calibri"/>
        <family val="2"/>
      </rPr>
      <t>SA-OPS-150-183</t>
    </r>
    <r>
      <rPr>
        <b/>
        <sz val="10"/>
        <color indexed="17"/>
        <rFont val="Calibri"/>
        <family val="2"/>
      </rPr>
      <t xml:space="preserve">
</t>
    </r>
    <r>
      <rPr>
        <b/>
        <sz val="10"/>
        <color indexed="10"/>
        <rFont val="Calibri"/>
        <family val="2"/>
      </rPr>
      <t>SA-OPS-171-172-193-194 (ABRIL)
1 LINEA SIN CODIGO PS (FEBRERO)</t>
    </r>
  </si>
  <si>
    <r>
      <t xml:space="preserve">
$ 883.350.000
</t>
    </r>
    <r>
      <rPr>
        <b/>
        <sz val="10"/>
        <color indexed="30"/>
        <rFont val="Calibri"/>
        <family val="2"/>
      </rPr>
      <t>$ 70.950.000</t>
    </r>
    <r>
      <rPr>
        <b/>
        <sz val="10"/>
        <color indexed="17"/>
        <rFont val="Calibri"/>
        <family val="2"/>
      </rPr>
      <t xml:space="preserve">
</t>
    </r>
    <r>
      <rPr>
        <b/>
        <sz val="10"/>
        <color indexed="10"/>
        <rFont val="Calibri"/>
        <family val="2"/>
      </rPr>
      <t>(211.500.000)</t>
    </r>
  </si>
  <si>
    <t>contratacion de personal</t>
  </si>
  <si>
    <t>19-Formular e implementar en el marco de una (1) estrategia de cultura ciudadana, las acciones pedagógicas por tipo de usuario orientados a generar conciencia y prácticas responsables del manejo de residuos.</t>
  </si>
  <si>
    <t>Personal para el desarrollo de los proyectos de gerencia de datos y sistemas de información</t>
  </si>
  <si>
    <r>
      <rPr>
        <b/>
        <sz val="10"/>
        <color indexed="17"/>
        <rFont val="Calibri"/>
        <family val="2"/>
      </rPr>
      <t xml:space="preserve">
Dos línes de prestación de servicios sin código
SA-OPS-166-126
</t>
    </r>
    <r>
      <rPr>
        <sz val="10"/>
        <color indexed="10"/>
        <rFont val="Calibri"/>
        <family val="2"/>
      </rPr>
      <t>SA-OPS-190 (ABRIL)</t>
    </r>
    <r>
      <rPr>
        <sz val="10"/>
        <color indexed="8"/>
        <rFont val="Calibri"/>
        <family val="2"/>
      </rPr>
      <t xml:space="preserve">
</t>
    </r>
  </si>
  <si>
    <r>
      <rPr>
        <b/>
        <sz val="10"/>
        <color indexed="17"/>
        <rFont val="Calibri"/>
        <family val="2"/>
      </rPr>
      <t xml:space="preserve">
$ 92.348.000</t>
    </r>
    <r>
      <rPr>
        <sz val="10"/>
        <color indexed="8"/>
        <rFont val="Calibri"/>
        <family val="2"/>
      </rPr>
      <t xml:space="preserve">
</t>
    </r>
    <r>
      <rPr>
        <b/>
        <sz val="10"/>
        <color indexed="8"/>
        <rFont val="Calibri"/>
        <family val="2"/>
      </rPr>
      <t xml:space="preserve">
</t>
    </r>
    <r>
      <rPr>
        <b/>
        <sz val="10"/>
        <color indexed="17"/>
        <rFont val="Calibri"/>
        <family val="2"/>
      </rPr>
      <t xml:space="preserve">$ 98.712.000
</t>
    </r>
    <r>
      <rPr>
        <b/>
        <sz val="10"/>
        <color indexed="10"/>
        <rFont val="Calibri"/>
        <family val="2"/>
      </rPr>
      <t>(47.200.000)</t>
    </r>
    <r>
      <rPr>
        <b/>
        <sz val="10"/>
        <color indexed="17"/>
        <rFont val="Calibri"/>
        <family val="2"/>
      </rPr>
      <t xml:space="preserve">
</t>
    </r>
  </si>
  <si>
    <t xml:space="preserve">contratacion de personal </t>
  </si>
  <si>
    <t>01-Divulgacion Asistencia Técnica Y Capacitación De La Población</t>
  </si>
  <si>
    <t>Subdirección de Aprovechamiento - comunicaciones</t>
  </si>
  <si>
    <t>Adquisición de material distintivo de la UAESP y servicios logísticos para desarrollar eventos y/o actividades de posicionamiento de la misma</t>
  </si>
  <si>
    <t>Material pedagógico para el desarrollo de actividades de formación acompañamiento y seguimiento en el  manejo de residuos sólidos y formalización de recicladores y organizaciones</t>
  </si>
  <si>
    <t>SA-081 (MARZO) (MATERIAL PEDAGOGICO ) (MARZO)</t>
  </si>
  <si>
    <t>(200.000.000)</t>
  </si>
  <si>
    <t>Adecuación predio para programa de aprovechamiento de residuos organicos localizado en mochuelo bajo y alto</t>
  </si>
  <si>
    <t>SA-OPS-202 (SUMINISTRO DE MAQUINARIA PARA DOTACION PLANTA ORGANICOS) (JUNIO)</t>
  </si>
  <si>
    <t>(600.000.000)</t>
  </si>
  <si>
    <t xml:space="preserve">Pago pasivo adquisicion de predio </t>
  </si>
  <si>
    <t>0533 - Construcción Demolición Adecuación Estabilización de Equipamientos o Infraestructuras para la Gestión Integral De Residuos Sólidos Y/O Lixiviados</t>
  </si>
  <si>
    <t>1082001010 Servicios de la construcción</t>
  </si>
  <si>
    <t xml:space="preserve">Construcciones de infraestructuras para aprovechamiento de residuos orgánicos en 6 localidades incluye esquemas de transporte </t>
  </si>
  <si>
    <t>SA-069 (OCTUBRE) (PLANTA DE COMPOSTAJE Y LOMBRICULTURA)</t>
  </si>
  <si>
    <t>(3.720.000.000)</t>
  </si>
  <si>
    <t xml:space="preserve">convenio fortalecimiento tecnico procesos de aprovechamiento </t>
  </si>
  <si>
    <t>04-Investigacion Y Estudios</t>
  </si>
  <si>
    <t>01-Investigación Básica Aplicada Y Estudios Propios Del Sector</t>
  </si>
  <si>
    <t>0101-Estudios aplicables al fortalecimiento de los procesos misionales</t>
  </si>
  <si>
    <t>Estudio de caracterización de residuos orgánicos</t>
  </si>
  <si>
    <t>1 linea sin codigo para caracterizacion quimica y biologica de residuos (ABRIL)</t>
  </si>
  <si>
    <t>(900.000.000)</t>
  </si>
  <si>
    <t>Caracterizacion  fisica quimica y biologica de residuos solidos /Pago del Registro de la Vía Interna Zona común, MI-50S-40297556 CHIPAAA0245YDUZ, 004547813800000000, para la implementación de la Estaciónde clasificación y Aprovechamiento del Barrio Mari Paz.</t>
  </si>
  <si>
    <t>Modernización para captura de datos del RURO y RUOR de la subdirección de aprovechamiento (Compra de equipos para trabajo en campo y estructuración de software de captura almacenamiento y visualización de información de manera automática)</t>
  </si>
  <si>
    <r>
      <t xml:space="preserve">
</t>
    </r>
    <r>
      <rPr>
        <b/>
        <sz val="10"/>
        <color indexed="17"/>
        <rFont val="Calibri"/>
        <family val="2"/>
      </rPr>
      <t xml:space="preserve">Una línea sin código adquisición de impresoras
</t>
    </r>
    <r>
      <rPr>
        <b/>
        <sz val="10"/>
        <color indexed="30"/>
        <rFont val="Calibri"/>
        <family val="2"/>
      </rPr>
      <t xml:space="preserve">
SA-OPS-179</t>
    </r>
    <r>
      <rPr>
        <b/>
        <sz val="10"/>
        <color indexed="8"/>
        <rFont val="Calibri"/>
        <family val="2"/>
      </rPr>
      <t xml:space="preserve">
</t>
    </r>
    <r>
      <rPr>
        <b/>
        <sz val="10"/>
        <color indexed="10"/>
        <rFont val="Calibri"/>
        <family val="2"/>
      </rPr>
      <t xml:space="preserve">SA-075 (ABRIL) CAPTURA DE DATOS RURO
</t>
    </r>
    <r>
      <rPr>
        <sz val="10"/>
        <rFont val="Calibri"/>
        <family val="2"/>
      </rPr>
      <t>SA-034-035-060 -078 (APOYO FINANCIERO HACKATON-ADQUISICION DE CONTENEDORES -CANECAS Y BOLSAS CULTURA CIUDADANA- ADQUISICION DE VEHICULO ENERGIAS CONVENCIONALES)(JULIO)</t>
    </r>
    <r>
      <rPr>
        <sz val="10"/>
        <color indexed="8"/>
        <rFont val="Calibri"/>
        <family val="2"/>
      </rPr>
      <t>(AGOSTO)</t>
    </r>
  </si>
  <si>
    <r>
      <t xml:space="preserve">
</t>
    </r>
    <r>
      <rPr>
        <b/>
        <sz val="10"/>
        <color indexed="17"/>
        <rFont val="Calibri"/>
        <family val="2"/>
      </rPr>
      <t xml:space="preserve">$ 57.000.000
</t>
    </r>
    <r>
      <rPr>
        <b/>
        <sz val="10"/>
        <color indexed="30"/>
        <rFont val="Calibri"/>
        <family val="2"/>
      </rPr>
      <t>$ 117.952.800</t>
    </r>
    <r>
      <rPr>
        <b/>
        <sz val="10"/>
        <color indexed="10"/>
        <rFont val="Calibri"/>
        <family val="2"/>
      </rPr>
      <t xml:space="preserve">
(59.000.000)</t>
    </r>
    <r>
      <rPr>
        <b/>
        <sz val="10"/>
        <color indexed="8"/>
        <rFont val="Calibri"/>
        <family val="2"/>
      </rPr>
      <t xml:space="preserve">
(1.130.000.000)</t>
    </r>
  </si>
  <si>
    <t xml:space="preserve">ADQUISICION DE IMPRESORAS PARA RURO Y RUO/ADICION </t>
  </si>
  <si>
    <t>Personal para el desarrollo de proyectos y fortalecimiento personal tecnico, empresarial y social para la poblacion recicladora y organizaciones de recicladores.</t>
  </si>
  <si>
    <r>
      <t xml:space="preserve">
Ocho líneas de prestación de servicios sin código
SA-OPS-140-138-139-152-157-121-143-148-066-067-146-145-141-189-186-SA-OPS-156
</t>
    </r>
    <r>
      <rPr>
        <b/>
        <sz val="10"/>
        <color indexed="30"/>
        <rFont val="Calibri"/>
        <family val="2"/>
      </rPr>
      <t xml:space="preserve">SA-OPS-147 
</t>
    </r>
    <r>
      <rPr>
        <b/>
        <sz val="10"/>
        <color indexed="10"/>
        <rFont val="Calibri"/>
        <family val="2"/>
      </rPr>
      <t xml:space="preserve">
2 lineas sin codigo PS (FEBRERO)
SA-OPS-158-162-173-174-187 (ABRIL )</t>
    </r>
  </si>
  <si>
    <r>
      <t xml:space="preserve">
$ 406.768.000
$ 626.600.000
</t>
    </r>
    <r>
      <rPr>
        <b/>
        <sz val="10"/>
        <color indexed="30"/>
        <rFont val="Calibri"/>
        <family val="2"/>
      </rPr>
      <t>$ 42.500.000</t>
    </r>
    <r>
      <rPr>
        <b/>
        <sz val="10"/>
        <color indexed="17"/>
        <rFont val="Calibri"/>
        <family val="2"/>
      </rPr>
      <t xml:space="preserve">
</t>
    </r>
    <r>
      <rPr>
        <b/>
        <sz val="10"/>
        <color indexed="10"/>
        <rFont val="Calibri"/>
        <family val="2"/>
      </rPr>
      <t>(244.408.000)</t>
    </r>
  </si>
  <si>
    <t xml:space="preserve">CONTRATACION GRUPO DE FORTALECIMIENTO Y BODEGAS </t>
  </si>
  <si>
    <t xml:space="preserve">SA-OPS-051 (ABRIL) 
</t>
  </si>
  <si>
    <t>(55.000.000)</t>
  </si>
  <si>
    <t>03-Adquisición De Equipos Materiales  Suministros Y Servicios Administrativos</t>
  </si>
  <si>
    <t>0094-Adquisición de Vehículo</t>
  </si>
  <si>
    <t>Compra de vehiculos y herramientas de apoyo para la tecnificación de la población recicladores</t>
  </si>
  <si>
    <t>SA-OPS-167 (PROGRAMA DE INCENTIVOS)</t>
  </si>
  <si>
    <t>(301.405.000)</t>
  </si>
  <si>
    <t xml:space="preserve">PROGRAMA INCENTIVOS </t>
  </si>
  <si>
    <t>0133-Vigilancia</t>
  </si>
  <si>
    <t>Vigilancia para las bodegas a cargo de la UAESP</t>
  </si>
  <si>
    <t xml:space="preserve">SA-011 (VIGILANCIA) MAYO </t>
  </si>
  <si>
    <t>(310.000.000)</t>
  </si>
  <si>
    <t>295-Gestionar en el terreno del RSDJ la disminución del entierro de residuos y el mayor aprovechamiento con alternativas de transformación en energía y biogás, para que su vida útil no dependa del entierro de residuos sino de los proyectos de aprovechamiento.</t>
  </si>
  <si>
    <t>1-Separar y tratar el 10% de RPCC / Plantas de tratamiento y aprovechamiento energético.</t>
  </si>
  <si>
    <t xml:space="preserve">Subdirección de Disposición Final </t>
  </si>
  <si>
    <t>Inversión del 1% pozo prosantana(ANLA)</t>
  </si>
  <si>
    <t>SEGUIMIENTO A LOCENCIAS AMBIENTALES Y PAGO TASA RETRIBUTIVA</t>
  </si>
  <si>
    <t>Implementación del PMRRA del predio Yerbabuena del RSDJ FASE II</t>
  </si>
  <si>
    <r>
      <t xml:space="preserve">1 linea sin codigo para obras de restauracion predio Yerbabuena 
</t>
    </r>
    <r>
      <rPr>
        <sz val="12"/>
        <color indexed="10"/>
        <rFont val="Calibri"/>
        <family val="2"/>
      </rPr>
      <t xml:space="preserve">SDF-66 (OBRAS PREDIO YERBABUENA FASE II) (MAYO) </t>
    </r>
  </si>
  <si>
    <r>
      <t xml:space="preserve">(563.008.205)
</t>
    </r>
    <r>
      <rPr>
        <sz val="12"/>
        <color indexed="10"/>
        <rFont val="Calibri"/>
        <family val="2"/>
      </rPr>
      <t>(936.991.795)</t>
    </r>
  </si>
  <si>
    <t>REALIZAR LAS OBRAS DE RESTAURACIÓN Y RECUPERACIÓN DEL PREDIO YERBABUENA FASE II</t>
  </si>
  <si>
    <t>2-Hacer monitoreo, seguimiento y control  del 90% de toneladas en la disposición de residuos sólidos ordinarios.</t>
  </si>
  <si>
    <t>02 - Protección y bienestar social de la población</t>
  </si>
  <si>
    <t>0012 - Plan de Gestión Social reciclaje</t>
  </si>
  <si>
    <t>Convenio Universidades</t>
  </si>
  <si>
    <r>
      <t xml:space="preserve">SDF-70-68 (CONVENIOS UNIVERDIDAD NACIONAL-PEDAGOGICA)
</t>
    </r>
    <r>
      <rPr>
        <sz val="12"/>
        <color indexed="10"/>
        <rFont val="Calibri"/>
        <family val="2"/>
      </rPr>
      <t xml:space="preserve">SDF-80 (CONVENIO APOYO COMPETENCIAS LABORALES)(MAYO)
</t>
    </r>
    <r>
      <rPr>
        <sz val="12"/>
        <rFont val="Calibri"/>
        <family val="2"/>
      </rPr>
      <t xml:space="preserve">SDF-89-90-69-71-87 (JUNIO) (CONECTIVIDAD DIGITAL RSDJ-USME-UNIVERSIDAD NACIONAL-DISTRITAL-CONVENIO ARBORIZACION JARDIN BOTANICO)  82-85 (JULIO) (APOYO DE FORMACION A MUJERES-ACTIVIDADES CIVICAS Y COMUNITARIAS) </t>
    </r>
  </si>
  <si>
    <r>
      <t xml:space="preserve">(1.019.646.808)
</t>
    </r>
    <r>
      <rPr>
        <sz val="12"/>
        <color indexed="10"/>
        <rFont val="Calibri"/>
        <family val="2"/>
      </rPr>
      <t>(300.000.000)</t>
    </r>
  </si>
  <si>
    <t xml:space="preserve">CONVENIOS U. NACIONAL Y PEDAGOGICA </t>
  </si>
  <si>
    <t>296-Implementar un modelo eficiente y sostenible de gestión de los residuos de demolición y construcción en el Distrito Capital.</t>
  </si>
  <si>
    <t>17-Realizar saneamiento Predial, a través de un (1) modelo adecuación en Servicios Públicos e infraestructura.</t>
  </si>
  <si>
    <t>Contratación personal de apoyo operativo/Contratación personal de apoyo administrativo/Contratación personal de apoyo Social</t>
  </si>
  <si>
    <t xml:space="preserve">SDF-38-09-29-07-33-25-48-42-40-11-23-36-26-24-03-04-35-18-20-17-32-31-34-13-12-47-16
</t>
  </si>
  <si>
    <t xml:space="preserve">(1.230.714.632)
</t>
  </si>
  <si>
    <t xml:space="preserve">META SUSPENDIDA </t>
  </si>
  <si>
    <t xml:space="preserve">CONTRATACION PERSONAL DE APOYO </t>
  </si>
  <si>
    <t>02 - Administración Control y Organización Institucional para Apoyo a la gestión del Distrito</t>
  </si>
  <si>
    <t>SERVICIOS PUBLICOS MULTIPROPOSITO</t>
  </si>
  <si>
    <t xml:space="preserve">SERVICIOS PUBLICOS MULTIPROPOSITO </t>
  </si>
  <si>
    <t>Adquisición de Predios  restauración y/o siembras</t>
  </si>
  <si>
    <t>SDF-92 (JUNIO) (ADECUACION Y MANTENIMIENTO CASA LOS MANZANOS)</t>
  </si>
  <si>
    <t>(40.000.000)</t>
  </si>
  <si>
    <r>
      <t xml:space="preserve">SDF-10-19-30-14-28-05-06-01-37-21-50-08-39-43-60-52-02-27-22-44-45-65-51B-46-15-49-86
</t>
    </r>
    <r>
      <rPr>
        <sz val="12"/>
        <color indexed="40"/>
        <rFont val="Calibri"/>
        <family val="2"/>
      </rPr>
      <t xml:space="preserve">SDF-54B-64B
</t>
    </r>
    <r>
      <rPr>
        <sz val="12"/>
        <color indexed="10"/>
        <rFont val="Calibri"/>
        <family val="2"/>
      </rPr>
      <t xml:space="preserve">SDF-53B 55B-56B-57B-58B-59B-41-61B-62B-63B (MARZO)-SDF-78(CONCESION RSDJ) (MAYO) $2.000.000.000
</t>
    </r>
    <r>
      <rPr>
        <sz val="12"/>
        <rFont val="Calibri"/>
        <family val="2"/>
      </rPr>
      <t>SDF-75</t>
    </r>
    <r>
      <rPr>
        <sz val="12"/>
        <color indexed="17"/>
        <rFont val="Calibri"/>
        <family val="2"/>
      </rPr>
      <t xml:space="preserve">
</t>
    </r>
  </si>
  <si>
    <r>
      <t xml:space="preserve">(3.759.979.752)
</t>
    </r>
    <r>
      <rPr>
        <sz val="12"/>
        <color indexed="40"/>
        <rFont val="Calibri"/>
        <family val="2"/>
      </rPr>
      <t>(114.000.000)</t>
    </r>
    <r>
      <rPr>
        <sz val="12"/>
        <color indexed="17"/>
        <rFont val="Calibri"/>
        <family val="2"/>
      </rPr>
      <t xml:space="preserve">
</t>
    </r>
    <r>
      <rPr>
        <sz val="12"/>
        <color indexed="10"/>
        <rFont val="Calibri"/>
        <family val="2"/>
      </rPr>
      <t>(2.487.926.000)</t>
    </r>
    <r>
      <rPr>
        <sz val="12"/>
        <color indexed="17"/>
        <rFont val="Calibri"/>
        <family val="2"/>
      </rPr>
      <t xml:space="preserve">
</t>
    </r>
    <r>
      <rPr>
        <sz val="12"/>
        <rFont val="Calibri"/>
        <family val="2"/>
      </rPr>
      <t>(15.000.000) (JUNIO)</t>
    </r>
  </si>
  <si>
    <t xml:space="preserve">CONTRATACION DE PERSONAL </t>
  </si>
  <si>
    <t xml:space="preserve">23-Ejecutar el 100% de los recursos destinados a la implementación de un modelo eficiente y sostenible de gestión de residuos. </t>
  </si>
  <si>
    <t xml:space="preserve">Prestación de servicios y Alquiler de equipos para monitoreo/Adquisición de Equipos de topografia, navegacion y mapeo </t>
  </si>
  <si>
    <r>
      <t xml:space="preserve">SDF-72 (EQUIPOS DE TOPOGRAFIA) 
</t>
    </r>
    <r>
      <rPr>
        <sz val="12"/>
        <rFont val="Gisha"/>
        <family val="2"/>
      </rPr>
      <t>SDF-74(MONITOREO INDICADORES Y VARIABLES DE LA SDF) (300.000.000)(JULIO)</t>
    </r>
  </si>
  <si>
    <r>
      <t xml:space="preserve">(200.000.000)
</t>
    </r>
    <r>
      <rPr>
        <sz val="12"/>
        <rFont val="Gisha"/>
        <family val="2"/>
      </rPr>
      <t xml:space="preserve">(300.000.000) </t>
    </r>
  </si>
  <si>
    <t xml:space="preserve">291-Formular e implementar 2 proyectos piloto de aprovechamiento de tratamiento de residuos con fines de valoración energetica, En medio reductor o procesos biologicos que garanticen minimo un 10 % de tratamiento de residuos no aprovechables.. </t>
  </si>
  <si>
    <t>20 -  Desarrollar 2 consultorías a nivel de factibilidad para el tratamiento y aprovechamiento de residuos</t>
  </si>
  <si>
    <t xml:space="preserve">Monitoreos caracterización de lixiviados </t>
  </si>
  <si>
    <t xml:space="preserve">SDF-73 (Monitoreos caracterización de lixiviados) (MAYO) </t>
  </si>
  <si>
    <t>(300.000.000)</t>
  </si>
  <si>
    <t>Construcción de las redes de alcantarillado sanitario y pluvial  de mochuelo alto y mochuelo bajo</t>
  </si>
  <si>
    <t>SDF-67 8CONSTRUCCION REDES ALCANTARILLADO MOCHUELO (AGOSTO)</t>
  </si>
  <si>
    <t>(8.000.000.000)</t>
  </si>
  <si>
    <t>3-200-I001  RB-Administrados de destinación especifi</t>
  </si>
  <si>
    <t>Atención a la comunidad Aledaña del relleno sanitario dentro el desarrollo del plan de gestión social y eventuales emergencias sanitarias</t>
  </si>
  <si>
    <t>SDF-81 (Adquirir un minicargador y sus accesorios en apoyo al Centro de Transformación de Materia Orgánica)</t>
  </si>
  <si>
    <t>293-Garantizar la operación de  recolección, barrido y limpieza de los residuos sólidos al sitio de disposición final, en el marco de lo dispuesto en el PGIRS; y la supervisión de la recolección, transporte y almacenamiento temporal para disposición final de los residuos hospitalarios y similares generados en el Distrito Capital.</t>
  </si>
  <si>
    <t>13-Contratar el 100% del talento humano multidisciplinario para apoyo a la supervisión de la prestación de las actividades concesionadas mediante ASE y gestión de hospitalarios</t>
  </si>
  <si>
    <t>Subdirección de RBL</t>
  </si>
  <si>
    <t xml:space="preserve">Contratcion de personal de apoyo a la gestion de la subdireccion de RBL </t>
  </si>
  <si>
    <r>
      <t xml:space="preserve">Tres líneas de prestación de servicios sin código
RBL-0010- 0016-0004-0006-0017-0059-0032-0019-0033-0005-0007-0042-0001-0009-0012-0057-0045-0034-0035-0036-0015-0038-0046-0049-0054-0011-0037-0008-0051-0053-0055-0044-0047-0027-0050-0056-0048-0013-0025-0039-0040-0041-0026-0029-0020-0021-0050-0061-0062-0074-0076-0063-0064-0065-0066-0070-0067-0078-0079
</t>
    </r>
    <r>
      <rPr>
        <b/>
        <sz val="10"/>
        <color indexed="40"/>
        <rFont val="Calibri"/>
        <family val="2"/>
      </rPr>
      <t xml:space="preserve">RBL-0043-0077
</t>
    </r>
    <r>
      <rPr>
        <b/>
        <sz val="10"/>
        <color indexed="10"/>
        <rFont val="Calibri"/>
        <family val="2"/>
      </rPr>
      <t xml:space="preserve">RBL-0069-0071-0073-0075-0068-0072-0014-0052-0058-0022-0023-0024-0080-0081-0082
</t>
    </r>
    <r>
      <rPr>
        <b/>
        <sz val="10"/>
        <color indexed="17"/>
        <rFont val="Calibri"/>
        <family val="2"/>
      </rPr>
      <t xml:space="preserve">
</t>
    </r>
  </si>
  <si>
    <r>
      <t xml:space="preserve">$ 118.930.268
$ 3.362.821.384
</t>
    </r>
    <r>
      <rPr>
        <b/>
        <sz val="10"/>
        <color indexed="30"/>
        <rFont val="Calibri"/>
        <family val="2"/>
      </rPr>
      <t>$ 81.050.560</t>
    </r>
    <r>
      <rPr>
        <b/>
        <sz val="10"/>
        <color indexed="17"/>
        <rFont val="Calibri"/>
        <family val="2"/>
      </rPr>
      <t xml:space="preserve">
</t>
    </r>
    <r>
      <rPr>
        <b/>
        <sz val="10"/>
        <color indexed="10"/>
        <rFont val="Calibri"/>
        <family val="2"/>
      </rPr>
      <t>$986.682.789</t>
    </r>
  </si>
  <si>
    <t xml:space="preserve">CONTRATACION DE PERSONAL PARA APOYO A LA GESTION </t>
  </si>
  <si>
    <t>289 - Actualizar e implementar  el  Plan Integral de gestión de residuos sólidos PGIRS del Distrito</t>
  </si>
  <si>
    <t>4-Implementar los 13 programas del PGIRS</t>
  </si>
  <si>
    <t>ContratAcion de personal de apoyo a la gestion de la subdireccion de RBL, para la implementacion de los programas del PEGIRS .</t>
  </si>
  <si>
    <t>RBL-0002-0003-0028-0030-0031</t>
  </si>
  <si>
    <t xml:space="preserve">
$ 307.020.000</t>
  </si>
  <si>
    <t xml:space="preserve">CONTRATACION DE PERSONAL PEGIRS </t>
  </si>
  <si>
    <t>Actividades en beneficio de la comunidad aledaña al RSDJ</t>
  </si>
  <si>
    <t xml:space="preserve">SDF-91-84  (EQUIPOS Y HERRAMIENTAS PARA EL MANETNIMIENTO DE PREDIOS-MANTENIMIENTO PREVENTIVO Y CORRECTIVO DE ESCENARIOS PUBLICOS ) </t>
  </si>
  <si>
    <t>(120.000.000)</t>
  </si>
  <si>
    <t>Actividades de seguimiento, control y supervisón de las diferentes actividades que se desarrollan en el RSDJ con ocasión del contrato de consultoría 130E-2011 con la firma UT Inter DJ.</t>
  </si>
  <si>
    <t>03-374 Rendimientos Financieros de Destinación Específica</t>
  </si>
  <si>
    <t>3-400-I001  RF-Administrados de destinación especifi</t>
  </si>
  <si>
    <r>
      <t xml:space="preserve">SDF-77-88 -83 (CONVENIO IDARTES-ADECUACION ESPACIOS PROYECTOS PRODUCTIVOS AREA DE INFLUENCIA-CABLEADO MULTIPROPOSITO)
</t>
    </r>
    <r>
      <rPr>
        <sz val="12"/>
        <color indexed="10"/>
        <rFont val="Calibri"/>
        <family val="2"/>
      </rPr>
      <t>SDF-79(CONSTRUCCION CENTRO DE PASO DEL CUIDADO ANIMAL) (MAYO)</t>
    </r>
    <r>
      <rPr>
        <sz val="12"/>
        <color indexed="40"/>
        <rFont val="Calibri"/>
        <family val="2"/>
      </rPr>
      <t xml:space="preserve">
</t>
    </r>
    <r>
      <rPr>
        <sz val="12"/>
        <rFont val="Calibri"/>
        <family val="2"/>
      </rPr>
      <t>SDF-76(ADQUSICION DE MOBILIARIO NODO DIGITAL MOCHUELO ALTO) (JUNIO)</t>
    </r>
  </si>
  <si>
    <r>
      <t xml:space="preserve">(400.000.000)
</t>
    </r>
    <r>
      <rPr>
        <sz val="12"/>
        <color indexed="10"/>
        <rFont val="Gisha"/>
        <family val="2"/>
      </rPr>
      <t>(200.000.000)</t>
    </r>
    <r>
      <rPr>
        <sz val="12"/>
        <color indexed="40"/>
        <rFont val="Gisha"/>
        <family val="2"/>
      </rPr>
      <t xml:space="preserve">
</t>
    </r>
    <r>
      <rPr>
        <sz val="12"/>
        <rFont val="Gisha"/>
        <family val="2"/>
      </rPr>
      <t>(8.000.000)</t>
    </r>
  </si>
  <si>
    <t>14-Ejecutar el 100% de  los recursos destinados a obligaciones de hacer para el mejoramiento del estandar de calidad y continuidad del servicio público de aseo.</t>
  </si>
  <si>
    <t>03-Mejoramiento Y Mantenimiento De Infraestructura Propia Del Sector</t>
  </si>
  <si>
    <t xml:space="preserve">0122-Atención a las actividades de las obligaciones de hacer
</t>
  </si>
  <si>
    <t xml:space="preserve">1080100012 Edificaciones y estructuras - Mejoras de tierras y terrenos OBLIGACIONES DE HACER </t>
  </si>
  <si>
    <t>Mayores frecuencias de levado,lavado especial de areas publicas,mayores frecuencias de corte de cesped.</t>
  </si>
  <si>
    <t xml:space="preserve">0129-Prestación del servicio público de aseo
</t>
  </si>
  <si>
    <t>1080100021 Maquinaria y equipo OBLIGACIONES DE HACER</t>
  </si>
  <si>
    <t xml:space="preserve">Adquisicion e instalacion  de cestas metalicas M121, adquisicion de cestas plasticas M123 y M124 </t>
  </si>
  <si>
    <t>013- interventoria a las  actividades de las obligaciones de hacer</t>
  </si>
  <si>
    <t xml:space="preserve">1082001042 Servicios prestados a las empresas y servicios de producción OBLIGACIONES DE HACER </t>
  </si>
  <si>
    <t>Interventoria obligaciones de hacer</t>
  </si>
  <si>
    <t>15-Garantizar el 100% de  la interventoría para la gestión de residuos hospitalarios</t>
  </si>
  <si>
    <t>0006 - Interventoría a la prestación del servicio relacionado con la gestion de residuos solidos</t>
  </si>
  <si>
    <t>Interventoria residuos hospitalarios</t>
  </si>
  <si>
    <t xml:space="preserve">RBL-0058 (JULIO) INTERVENTORIA HOSPITALARIOS </t>
  </si>
  <si>
    <t xml:space="preserve">Adicion a la interventoria de residuos hospitalarios </t>
  </si>
  <si>
    <t>294-Gestión y recolección de los residuos mixtos en los puntos críticos de la ciudad</t>
  </si>
  <si>
    <t>16-Remunerar el 100% de  la gestión integral de residuos sólidos no cubiertos en la tarifa del servicio público de aseo</t>
  </si>
  <si>
    <t xml:space="preserve">Recoleccion y transporte de residuos de arrojo clandestino (Mixtos) e interventoria </t>
  </si>
  <si>
    <t xml:space="preserve">ADICIONES A LOS CONTRATOS DE CONCESION MIXTOS E INTERVENTORIA </t>
  </si>
  <si>
    <t>03 - 306  Recursos Pasivos Exigibles - Recursos del balance de libre destinación</t>
  </si>
  <si>
    <t>3-602-F002  PAS-RB-Administrados de libre destinació</t>
  </si>
  <si>
    <t>Subdirección de Disposición Final</t>
  </si>
  <si>
    <t xml:space="preserve">Pago pasivos exigibles  UNIVERSIDAD  NACIONAL </t>
  </si>
  <si>
    <t>PAGO PASIVO EXIGIBLE DISEÑOS JARDIN PATICOS (ECODISEÑOS)</t>
  </si>
  <si>
    <t>03 - 536  Recursos Pasivos Exigibles - Otros Recursos del balance de destinación específica</t>
  </si>
  <si>
    <t>3-602-I001  PAS-RB-Administrados de destinación espe</t>
  </si>
  <si>
    <t xml:space="preserve">Pago pasivos exigibles  UNIVERSIDAD PEDAGOGICA Y NACIONAL </t>
  </si>
  <si>
    <t xml:space="preserve">Pago Pasivo exigible a la adición No 13 del contrato de concesión No.287 de 2018 suscrito con ÁREA LIMPIA DISTRITO CAPITAL S.A.S E.S.P </t>
  </si>
  <si>
    <t>03 - 85  Recursos Pasivos Exigibles - Recursos administrados de Destinación Específica</t>
  </si>
  <si>
    <t>3-601-I001  PAS-Administrados de destinación especif</t>
  </si>
  <si>
    <t>03 - 86  Recursos Pasivos Exigibles - Recursos administrados de libre destinación</t>
  </si>
  <si>
    <t>Aprovechamiento/Oficina Asesora de Comunicaciones</t>
  </si>
  <si>
    <t>Pago pasivos exigibles  VARIOS TERCEROS</t>
  </si>
  <si>
    <t>PROCESOS EN PLATAFORMA</t>
  </si>
  <si>
    <t>TIPOLOGIA</t>
  </si>
  <si>
    <t>No PROCESO</t>
  </si>
  <si>
    <t>TEMA</t>
  </si>
  <si>
    <t>DEPENDENCIA</t>
  </si>
  <si>
    <t>PRESUPUESTO</t>
  </si>
  <si>
    <t>OBSERVACIONES</t>
  </si>
  <si>
    <t>MÍNIMA CUANTÍA</t>
  </si>
  <si>
    <t>UAESP-MC-18-2021</t>
  </si>
  <si>
    <t>TIC-0014 Contratar la actualización y soporte del licenciamiento de administración y seguimiento al uso recursos de impresión de propiedad de la Unidad Administrativa Especial de Servicios Públicos – UAESP.</t>
  </si>
  <si>
    <t>Se encuentra en plataforma esta para presentacion de ofertas hasta el 21-12-2021</t>
  </si>
  <si>
    <t>En CDP</t>
  </si>
  <si>
    <t>UAESP-MC-17-2021</t>
  </si>
  <si>
    <t>SAF-0094 Contratar el mantenimiento preventivo y correctivo integral, con suministro de repuestos del ascensor, a monto agotable, de la sede principal de la UAESP ubicado en la carrera 14 n° 53-80 de la ciudad de Bogotá D.C.</t>
  </si>
  <si>
    <t>SAF</t>
  </si>
  <si>
    <t>Funcionamiento</t>
  </si>
  <si>
    <t>UAESP-MC-15-2021</t>
  </si>
  <si>
    <t>SAF-0106 Prestar los servicios de fumigación, desratización, sanitización y desinfección de todas las áreas (oficinas, baños, bodegas de reciclaje, tanques de almacenamiento de agua, puestos de trabajo, archivos, almacenes, cuartos de máquinas, entre otros) que conforman la unidad administrativa especial de servicios públicos.</t>
  </si>
  <si>
    <t>Se encuentra en plataforma esta para presentacion de ofertas hasta el 20-12-2021</t>
  </si>
  <si>
    <t>CONCURSO DE MÉRITOS</t>
  </si>
  <si>
    <t>UAESP-CMA-03-2021</t>
  </si>
  <si>
    <t>REALIZAR LA INTERVENTORÍA TÉCNICA, ADMINISTRATIVA, FINANCIERA, JURÍDICA, AL CONTRATO DE OBRA PÚBLICA QUE RESULTE DE LA LICITACIÓN PÚBLICA CUYO OBJETO ES: “CONTRATAR POR EL SISTEMA DE PRECIOS UNITARIOS SIN FÓRMULA DE REAJUSTE LA CONSTRUCCIÓN DEL CENTRO ESPECIALIZADO DE APROVECHAMIENTO DE PLÁSTICOS (CEAP) Y OBRAS COMPLEMENTARIAS SEDE SUR DE LA UAESP - LA ALQUERÍA, EN BOGOTÁ D.C” </t>
  </si>
  <si>
    <t>SAF/SAP</t>
  </si>
  <si>
    <t>PROCESO YA SE ADJUDICO SE ESTA A LA ESPERA DE LOS DOCUMENTOS DEL CONSORCIO PARA EL TRAMITE DE LA MINUTA.</t>
  </si>
  <si>
    <t>UAESP-CMA-04-2021</t>
  </si>
  <si>
    <t>SSF-035 Elaborar el Plan para la reducción del impacto por olores ofensivos – PRIO así como la evaluación de los niveles de calidad del aire o de inmisión de olores ofensivos por sustancias o mezclas de sustancias en los cementerios propiedad del distrito Sur, Norte y Parque Serafín</t>
  </si>
  <si>
    <t>SSFAP</t>
  </si>
  <si>
    <t>Esta para adjudiciacion el 24 de diciembre</t>
  </si>
  <si>
    <t>UAESP-CMA-05-2021</t>
  </si>
  <si>
    <t>REALIZAR LA INTERVENTORÍA TÉCNICA, ADMINISTRATIVA, FINANCIERA, JURÍDICA, DEL CONTRATO DE OBRA PÚBLICA QUE RESULTE DE LA LICITACION PUBLICA CUYO OBJETO ES: “CONTRATAR POR EL SISTEMA DE PRECIOS UNITARIOS SIN FORMULA DE REAJUSTE LAS OBRAS CIVILES DE MANTENIMIENTOS, REPARACIONES LOCATIVAS, MEJORAMIENTOS, ADECUACIONES, DEMOLICIONES, RECONSTRUCCIONES JUNTO CON LOS TRAMITES REQUERIDOS POR LAS AUTORIDADES COMPETENTES A MONTO AGOTABLE EN LAS SEDES Y POR LAS QUE LEGALMENTE ES RESPONSABLE LA UAESP DE BOGOTA D.C."</t>
  </si>
  <si>
    <t>SAP/SAF/SSFAP</t>
  </si>
  <si>
    <t>Esta para adjudicacion 29 de diciembre</t>
  </si>
  <si>
    <t>LICITACIÓN PÚBLICA</t>
  </si>
  <si>
    <t>UAESP-LP-05-2021</t>
  </si>
  <si>
    <t>CONSTRUCCIÓN DE REDES Y SUBESTACIÓN ELÉCTRICA EN LAS BODEGAS DE MARÍA PAZ DE LA UNIDAD ADMINISTRATIVA ESPECIAL DE SERVICIOS PÚBLICOS</t>
  </si>
  <si>
    <t>SAP</t>
  </si>
  <si>
    <t>SELECCIÓN ABREVIADA</t>
  </si>
  <si>
    <t>UAESP-SASI-07-2021</t>
  </si>
  <si>
    <t>SA-OPS-052 Adquisición de contenedores, canecas y bolsas plásticas para la implementación de proyectos de aprovechamiento que se desarrollen en pro de generar una cultura ciudadana, el cambio de hábitos y la reducción de residuos que llegan al relleno sanitario</t>
  </si>
  <si>
    <t>Esta para adjudicacion 27 de diciembre</t>
  </si>
  <si>
    <t>UAESP-SASI-08-2021</t>
  </si>
  <si>
    <t>TIC - 0012 Realizar la renovación de licenciamiento firewall y antimalware (antivirus) para control de la seguridad informática perimetral y administración de la seguridad informática en los dispositivos de usuario final de la Unidad Administrativa Especial de Servicios Públicos – UAESP. </t>
  </si>
  <si>
    <t>Adjudicado</t>
  </si>
  <si>
    <t>UAESP-SA-02-2021</t>
  </si>
  <si>
    <t>SA-039 Adquisición, suministro e instalación de maquinaria, equipos y elementos requeridos para la dotación de plantas de tratamiento de materiales aprovechables posconsumo lote 1 y lote 2."</t>
  </si>
  <si>
    <t>Esta para adjudicacion 28 de diciembre</t>
  </si>
  <si>
    <t>APROVECHAMIENTO</t>
  </si>
  <si>
    <t>TRASLADO 1</t>
  </si>
  <si>
    <t xml:space="preserve">Meta Proyecto de inversión </t>
  </si>
  <si>
    <t xml:space="preserve">Tipo del Gasto - Componente del Gasto - Concepto del Gasto </t>
  </si>
  <si>
    <t>Fuente de Financiación</t>
  </si>
  <si>
    <t>Disminuye</t>
  </si>
  <si>
    <t>Aumenta</t>
  </si>
  <si>
    <t>SALDO ACTUAL</t>
  </si>
  <si>
    <t>ACTIVIDAD ACTUAL</t>
  </si>
  <si>
    <t>NUEVO SALDO</t>
  </si>
  <si>
    <t>08 -Adquisición de bienes y servicios; 
01 Activos fijos; 
1080100021 Maquinaria y equipo</t>
  </si>
  <si>
    <t>08 -Adquisición de bienes y servicios; 
20-Adquisiciones diferentes de activos; 
1082001052 Servicios para la comunidad sociales y personales</t>
  </si>
  <si>
    <t>TRASLADO 3</t>
  </si>
  <si>
    <t>08 -Adquisición de bienes y servicios; 
20-Adquisiciones diferentes de activos; 
1082001042 Servicios prestados a las empresas y servicios de producción</t>
  </si>
  <si>
    <t>Estudio de caracterización de residuos orgánicos
Modernización para captura de datos del RURO y RUOR de la subdirección de aprovechamiento (Compra de equipos para trabajo en campo y estructuración de software de captura almacenamiento y visualización de información de manera automática)</t>
  </si>
  <si>
    <t>PEND ANGELA CORREGIR</t>
  </si>
  <si>
    <t>TRASLADO 5</t>
  </si>
  <si>
    <t>08 -Adquisición de bienes y servicios; 
20-Adquisiciones diferentes de activos; 1082001052 Servicios para la comunidad sociales y personales</t>
  </si>
  <si>
    <t>08 -Adquisición de bienes y servicios; 
20 -Adquisiciones diferentes de activos; 1082001052 Servicios para la comunidad sociales y personales</t>
  </si>
  <si>
    <t>Arrendamiento de Bodegas nuevas y adiciones
Personal</t>
  </si>
  <si>
    <t>08 -Adquisición de bienes y servicios; 
20-Adquisiciones diferentes de activos, 1082001052 Servicios para la comunidad sociales y personales</t>
  </si>
  <si>
    <t>08 -Adquisición de bienes y servicios, 
20-Adquisiciones diferentes de activos; 1082001052 Servicios para la comunidad sociales y personales</t>
  </si>
  <si>
    <t>SEGUIMIENTO PRESUPUESTAL AGOSTO 13 DE 2021 PROYECTOS DE INVERSIÓN</t>
  </si>
  <si>
    <t>SSF-001 Interventoria a los servicios funerarios (ENERO)
1 linea programada la interventoria del nuevo esquema de prestacion de los servicios funerarios (MARZO)</t>
  </si>
  <si>
    <r>
      <t xml:space="preserve">SSFAP-023-010-021-SSF-022-005-018-015-017-009-007-012-008-013-003-016-004-019-006-011-014-034-027-024-026
1 linea sin codigo PS 
</t>
    </r>
    <r>
      <rPr>
        <b/>
        <sz val="12"/>
        <color indexed="30"/>
        <rFont val="Calibri"/>
        <family val="2"/>
      </rPr>
      <t>SSF-025</t>
    </r>
    <r>
      <rPr>
        <b/>
        <sz val="12"/>
        <rFont val="Calibri"/>
        <family val="2"/>
      </rPr>
      <t xml:space="preserve">
</t>
    </r>
    <r>
      <rPr>
        <b/>
        <sz val="12"/>
        <color indexed="10"/>
        <rFont val="Calibri"/>
        <family val="2"/>
      </rPr>
      <t>SSF-028 (JUNIO)</t>
    </r>
    <r>
      <rPr>
        <b/>
        <sz val="12"/>
        <color indexed="17"/>
        <rFont val="Calibri"/>
        <family val="2"/>
      </rPr>
      <t xml:space="preserve">
</t>
    </r>
  </si>
  <si>
    <r>
      <t xml:space="preserve">(930.714.659)
(54.661.018)
</t>
    </r>
    <r>
      <rPr>
        <b/>
        <sz val="12"/>
        <color indexed="30"/>
        <rFont val="Calibri"/>
        <family val="2"/>
      </rPr>
      <t>(42.000.000)</t>
    </r>
    <r>
      <rPr>
        <b/>
        <sz val="12"/>
        <color indexed="40"/>
        <rFont val="Calibri"/>
        <family val="2"/>
      </rPr>
      <t xml:space="preserve">
</t>
    </r>
    <r>
      <rPr>
        <b/>
        <sz val="12"/>
        <color indexed="10"/>
        <rFont val="Calibri"/>
        <family val="2"/>
      </rPr>
      <t>(21.000.000)</t>
    </r>
  </si>
  <si>
    <t>1-601-F001  PAS-Otros distrito</t>
  </si>
  <si>
    <t xml:space="preserve">Pago pasivo exigible </t>
  </si>
  <si>
    <t>(61.499.459)</t>
  </si>
  <si>
    <t>contrato de consultoría para unas mediciones de olores ofensivos de los hornos crematorios</t>
  </si>
  <si>
    <t>SSF-029 Estudios y Diseños construcción mausoleos</t>
  </si>
  <si>
    <t xml:space="preserve">obra de reforzamiento locales comerciales cementerio del sur - adicion contrato </t>
  </si>
  <si>
    <t xml:space="preserve">
SSF-030 (Para Mayo)</t>
  </si>
  <si>
    <t xml:space="preserve">
351.000.000</t>
  </si>
  <si>
    <r>
      <t xml:space="preserve">SSF-033 Construccion mausoleos, osarios y cenizarios parque SERAFIN. (Septiembre)
</t>
    </r>
    <r>
      <rPr>
        <b/>
        <sz val="12"/>
        <color indexed="10"/>
        <rFont val="Calibri"/>
        <family val="2"/>
      </rPr>
      <t>Una línea sin código (concesión, el servicio de Destino Final y Atención Funeraria) (Marzo)</t>
    </r>
  </si>
  <si>
    <r>
      <t xml:space="preserve">(2.425.072.235)
</t>
    </r>
    <r>
      <rPr>
        <b/>
        <sz val="12"/>
        <color indexed="10"/>
        <rFont val="Calibri"/>
        <family val="2"/>
      </rPr>
      <t>(43.000.000.000)</t>
    </r>
  </si>
  <si>
    <t>SUBV-001 (FIDUCIA) (OCTUBRE)</t>
  </si>
  <si>
    <t>Contratación de personal de apoyo a la gestión</t>
  </si>
  <si>
    <r>
      <rPr>
        <b/>
        <sz val="12"/>
        <color indexed="30"/>
        <rFont val="Calibri"/>
        <family val="2"/>
      </rPr>
      <t>SAP-005-032 (JULIO)</t>
    </r>
    <r>
      <rPr>
        <b/>
        <sz val="12"/>
        <color indexed="40"/>
        <rFont val="Calibri"/>
        <family val="2"/>
      </rPr>
      <t xml:space="preserve">
</t>
    </r>
    <r>
      <rPr>
        <b/>
        <sz val="12"/>
        <color indexed="17"/>
        <rFont val="Calibri"/>
        <family val="2"/>
      </rPr>
      <t>SAP-014-013-019-018-025-022-024-007-015-012-029-003-017-002-016-027-028-004-030-006-031-033-035- SSFAP-021-023-010 
5 LINEAS SIN CODIGO PS (PRESTACION DE SERVICIOS)</t>
    </r>
    <r>
      <rPr>
        <b/>
        <sz val="12"/>
        <color indexed="40"/>
        <rFont val="Calibri"/>
        <family val="2"/>
      </rPr>
      <t xml:space="preserve">
</t>
    </r>
  </si>
  <si>
    <r>
      <rPr>
        <b/>
        <sz val="12"/>
        <color indexed="30"/>
        <rFont val="Calibri"/>
        <family val="2"/>
      </rPr>
      <t>(60.804.000)</t>
    </r>
    <r>
      <rPr>
        <b/>
        <sz val="12"/>
        <color indexed="40"/>
        <rFont val="Calibri"/>
        <family val="2"/>
      </rPr>
      <t xml:space="preserve">
</t>
    </r>
    <r>
      <rPr>
        <b/>
        <sz val="12"/>
        <color indexed="17"/>
        <rFont val="Calibri"/>
        <family val="2"/>
      </rPr>
      <t xml:space="preserve">(1.095.069.314)
(347.688.981)
</t>
    </r>
  </si>
  <si>
    <t>1-601-F001 
PAS-OTROS 
DISTRITO</t>
  </si>
  <si>
    <t xml:space="preserve">SAP-034 (modernización y actualización  del servicio de alumbrado público) (JUNIO)
</t>
  </si>
  <si>
    <r>
      <t xml:space="preserve">
2 lineas sin codigo PS
OACRI-02-03-04-05-06-08-10-12-01-14-16-07-11-18
</t>
    </r>
    <r>
      <rPr>
        <b/>
        <sz val="12"/>
        <color indexed="30"/>
        <rFont val="Calibri"/>
        <family val="2"/>
      </rPr>
      <t xml:space="preserve">OACRI-17 (AGOSTO)
</t>
    </r>
    <r>
      <rPr>
        <b/>
        <sz val="12"/>
        <rFont val="Calibri"/>
        <family val="2"/>
      </rPr>
      <t>OACRI-19-20-21 (PS) (AGOSTO-SEPTIEMBRE)</t>
    </r>
    <r>
      <rPr>
        <b/>
        <sz val="12"/>
        <color indexed="30"/>
        <rFont val="Calibri"/>
        <family val="2"/>
      </rPr>
      <t xml:space="preserve">
</t>
    </r>
  </si>
  <si>
    <r>
      <t xml:space="preserve">
(39.000.000)
(683.000.000)
</t>
    </r>
    <r>
      <rPr>
        <b/>
        <sz val="12"/>
        <color indexed="30"/>
        <rFont val="Calibri"/>
        <family val="2"/>
      </rPr>
      <t xml:space="preserve">(15.000.000)
</t>
    </r>
    <r>
      <rPr>
        <b/>
        <sz val="12"/>
        <rFont val="Calibri"/>
        <family val="2"/>
      </rPr>
      <t>(49.333.000)</t>
    </r>
  </si>
  <si>
    <r>
      <t xml:space="preserve">OACRI-09 (JUNIO)
</t>
    </r>
    <r>
      <rPr>
        <b/>
        <sz val="12"/>
        <color indexed="30"/>
        <rFont val="Calibri"/>
        <family val="2"/>
      </rPr>
      <t>OACRI-15 (PS) (JULIO)</t>
    </r>
  </si>
  <si>
    <r>
      <rPr>
        <b/>
        <sz val="12"/>
        <color indexed="17"/>
        <rFont val="Calibri"/>
        <family val="2"/>
      </rPr>
      <t>(34.000.000)</t>
    </r>
    <r>
      <rPr>
        <b/>
        <sz val="12"/>
        <color indexed="10"/>
        <rFont val="Calibri"/>
        <family val="2"/>
      </rPr>
      <t xml:space="preserve">
</t>
    </r>
    <r>
      <rPr>
        <b/>
        <sz val="12"/>
        <color indexed="30"/>
        <rFont val="Calibri"/>
        <family val="2"/>
      </rPr>
      <t>(650.000.000)</t>
    </r>
  </si>
  <si>
    <t>SAF-0095- 0107 (SUMINISTRO DE ELEMENTOS Y MANTENIMIENTO DE INSTALACIONES) (JUNIO)</t>
  </si>
  <si>
    <t>(253.710.000)</t>
  </si>
  <si>
    <t>4- Realizar el 100% de los mantenimientos correctivos, preventivos, adecuaciones y reparaciones a que haya lugar para fortalecer la infraestructura física de las sedes administrativas de la UAESP</t>
  </si>
  <si>
    <t xml:space="preserve">SAF-0091 (CONTRATO DE VIGILANCIA PARA JULIO) </t>
  </si>
  <si>
    <t>(1.530.501.871)</t>
  </si>
  <si>
    <t xml:space="preserve">Servicio de vigilancia </t>
  </si>
  <si>
    <t>Se suscribió contrato por 105.000.0000</t>
  </si>
  <si>
    <r>
      <t xml:space="preserve">SAF-0047-0014-0081-0029-0028-0050-0017-0026-0005-0046-0034-0049-0039-0083-0060-0015-0052-0082-0013-0022-0027-0070-0004-0073-0079-0011-0053-0048-00023-0019-0037-0084-0003-0009-0018-0012-0080-0021-0007-0008-0066-0069-0042-0056-0006-0074-0010-0071-0072-0067-0002-0077-0058-0054-0044-0030-0034-0040-0064-0045-0043-0025-0041-0099-0089-0101-0038-0104-0061-0057-0055-0016-0110-0115-0062-0117-0059-0065-0108
</t>
    </r>
    <r>
      <rPr>
        <b/>
        <sz val="12"/>
        <color indexed="40"/>
        <rFont val="Calibri"/>
        <family val="2"/>
      </rPr>
      <t xml:space="preserve">SAF-112-118-119
</t>
    </r>
    <r>
      <rPr>
        <b/>
        <sz val="12"/>
        <color indexed="10"/>
        <rFont val="Calibri"/>
        <family val="2"/>
      </rPr>
      <t>PS:</t>
    </r>
    <r>
      <rPr>
        <b/>
        <sz val="12"/>
        <color indexed="40"/>
        <rFont val="Calibri"/>
        <family val="2"/>
      </rPr>
      <t xml:space="preserve"> </t>
    </r>
    <r>
      <rPr>
        <b/>
        <sz val="12"/>
        <color indexed="10"/>
        <rFont val="Calibri"/>
        <family val="2"/>
      </rPr>
      <t xml:space="preserve">SAF-0020 (febrero)- 0063--0068-0075-0076-0078-0085-0092 (Abril)-0102-0103-0105 (Mayo)-0109 (Junio)--0111-113-114-0116 (Julio)
SAF-0100 (Mayo) (SISTEMA DE MEDICIÓN A TRAVÉS DE ENCUESTAS)
</t>
    </r>
    <r>
      <rPr>
        <b/>
        <sz val="12"/>
        <color indexed="8"/>
        <rFont val="Calibri"/>
        <family val="2"/>
      </rPr>
      <t>SAF-0122-0123-0124 (PS) (AGOSTO)
SAF-106 (FUMIGACIÓN) (SEPTIEMBRE)</t>
    </r>
    <r>
      <rPr>
        <b/>
        <sz val="12"/>
        <color indexed="40"/>
        <rFont val="Calibri"/>
        <family val="2"/>
      </rPr>
      <t xml:space="preserve">
</t>
    </r>
  </si>
  <si>
    <r>
      <t xml:space="preserve">
</t>
    </r>
    <r>
      <rPr>
        <b/>
        <sz val="12"/>
        <color indexed="17"/>
        <rFont val="Calibri"/>
        <family val="2"/>
      </rPr>
      <t>(3.640.828.433)</t>
    </r>
    <r>
      <rPr>
        <sz val="12"/>
        <color indexed="17"/>
        <rFont val="Calibri"/>
        <family val="2"/>
      </rPr>
      <t xml:space="preserve">
</t>
    </r>
    <r>
      <rPr>
        <b/>
        <sz val="12"/>
        <color indexed="40"/>
        <rFont val="Calibri"/>
        <family val="2"/>
      </rPr>
      <t xml:space="preserve">(43.800.000)
</t>
    </r>
    <r>
      <rPr>
        <b/>
        <sz val="12"/>
        <color indexed="10"/>
        <rFont val="Calibri"/>
        <family val="2"/>
      </rPr>
      <t xml:space="preserve">(447.436.919)
10.000.000
</t>
    </r>
    <r>
      <rPr>
        <b/>
        <sz val="12"/>
        <color indexed="8"/>
        <rFont val="Calibri"/>
        <family val="2"/>
      </rPr>
      <t>65.500.000
15.000.000</t>
    </r>
  </si>
  <si>
    <r>
      <t xml:space="preserve">
TIC-0002-0003  (MANTENIMIENTO PLANTA ELECTRICA-SERVICIO DE IMPRESIÓN)
TIC-0001-0032 (MANTENIMIENTO EQUIPOS TECNOLOGICOS-SERVICIOS TECNICOS MANTENIMIENTO INFRAESTRUCTURA)
</t>
    </r>
    <r>
      <rPr>
        <b/>
        <sz val="12"/>
        <color indexed="8"/>
        <rFont val="Calibri"/>
        <family val="2"/>
      </rPr>
      <t>TIC-0004 (ARRENDAMIENTO DE SCANNER)(Octubre)</t>
    </r>
  </si>
  <si>
    <r>
      <t xml:space="preserve">
(123.522.000)
(351.754.108)
</t>
    </r>
    <r>
      <rPr>
        <b/>
        <sz val="12"/>
        <color indexed="8"/>
        <rFont val="Calibri"/>
        <family val="2"/>
      </rPr>
      <t>(12.000.000)</t>
    </r>
  </si>
  <si>
    <t>TIC-0016 (SOLUCIÓN VIDEO CONFERENCIA (Agosto)</t>
  </si>
  <si>
    <t>(100.000.000)</t>
  </si>
  <si>
    <r>
      <t xml:space="preserve">TIC-0005-0009 (CONECTIVIDAD-LICENCIAS)
</t>
    </r>
    <r>
      <rPr>
        <b/>
        <sz val="12"/>
        <color indexed="30"/>
        <rFont val="Calibri"/>
        <family val="2"/>
      </rPr>
      <t>TIC-015 (LICENCIAS)</t>
    </r>
    <r>
      <rPr>
        <b/>
        <sz val="12"/>
        <color indexed="17"/>
        <rFont val="Calibri"/>
        <family val="2"/>
      </rPr>
      <t xml:space="preserve">
</t>
    </r>
    <r>
      <rPr>
        <b/>
        <sz val="12"/>
        <color indexed="10"/>
        <rFont val="Calibri"/>
        <family val="2"/>
      </rPr>
      <t>Una línea de prestación de servicios sin códido (Febrero)</t>
    </r>
    <r>
      <rPr>
        <b/>
        <sz val="12"/>
        <color indexed="17"/>
        <rFont val="Calibri"/>
        <family val="2"/>
      </rPr>
      <t xml:space="preserve">
</t>
    </r>
    <r>
      <rPr>
        <b/>
        <sz val="12"/>
        <color indexed="10"/>
        <rFont val="Calibri"/>
        <family val="2"/>
      </rPr>
      <t xml:space="preserve">TIC-0017 (Febrero)
</t>
    </r>
    <r>
      <rPr>
        <b/>
        <sz val="12"/>
        <rFont val="Calibri"/>
        <family val="2"/>
      </rPr>
      <t xml:space="preserve">
TIC-004 (RENOVACIÓN LICENCIAS RESPALDO) (Septiembre)
TIC-0007 (RENOVACIÓN LICENCIAMIENTO) (Septiembre)
TIC-0011 (RENOVACIÓN LICENCIAS AcGIS) (Septiembre)
TIC-0012 (LICENCIAMIENTO FIREWAL)(Noviembre)
TIC-0010 (LICENCIAM AUTOCAD) (Diciembre)</t>
    </r>
  </si>
  <si>
    <r>
      <t xml:space="preserve">(900.000.000)
</t>
    </r>
    <r>
      <rPr>
        <b/>
        <sz val="12"/>
        <color indexed="30"/>
        <rFont val="Calibri"/>
        <family val="2"/>
      </rPr>
      <t>(35.000.000)</t>
    </r>
    <r>
      <rPr>
        <b/>
        <sz val="12"/>
        <color indexed="17"/>
        <rFont val="Calibri"/>
        <family val="2"/>
      </rPr>
      <t xml:space="preserve">
</t>
    </r>
    <r>
      <rPr>
        <b/>
        <sz val="12"/>
        <color indexed="10"/>
        <rFont val="Calibri"/>
        <family val="2"/>
      </rPr>
      <t>(29.700.000)</t>
    </r>
    <r>
      <rPr>
        <b/>
        <sz val="12"/>
        <color indexed="17"/>
        <rFont val="Calibri"/>
        <family val="2"/>
      </rPr>
      <t xml:space="preserve">
</t>
    </r>
    <r>
      <rPr>
        <b/>
        <sz val="12"/>
        <color indexed="10"/>
        <rFont val="Calibri"/>
        <family val="2"/>
      </rPr>
      <t xml:space="preserve">(42.745.500)
</t>
    </r>
    <r>
      <rPr>
        <b/>
        <sz val="12"/>
        <color indexed="8"/>
        <rFont val="Calibri"/>
        <family val="2"/>
      </rPr>
      <t xml:space="preserve">
(78.000.000)
(59.000.000)
(70.000.000)
(245.000.000)
(54.000.000)</t>
    </r>
  </si>
  <si>
    <r>
      <t xml:space="preserve">
7 lineas sin codigo PS 
TIC-0022-0020-0023-0021-0024-0019-0026-0030-0031-0025-0027
</t>
    </r>
    <r>
      <rPr>
        <b/>
        <sz val="12"/>
        <color indexed="30"/>
        <rFont val="Calibri"/>
        <family val="2"/>
      </rPr>
      <t>TIC-033</t>
    </r>
    <r>
      <rPr>
        <b/>
        <sz val="12"/>
        <color indexed="17"/>
        <rFont val="Calibri"/>
        <family val="2"/>
      </rPr>
      <t xml:space="preserve">
</t>
    </r>
    <r>
      <rPr>
        <b/>
        <sz val="12"/>
        <color indexed="10"/>
        <rFont val="Calibri"/>
        <family val="2"/>
      </rPr>
      <t>TIC-0029 -DATA CENTER- (JUNIO)</t>
    </r>
    <r>
      <rPr>
        <b/>
        <sz val="12"/>
        <color indexed="17"/>
        <rFont val="Calibri"/>
        <family val="2"/>
      </rPr>
      <t xml:space="preserve">
</t>
    </r>
    <r>
      <rPr>
        <b/>
        <sz val="12"/>
        <color indexed="10"/>
        <rFont val="Calibri"/>
        <family val="2"/>
      </rPr>
      <t xml:space="preserve">TIC-0018- PS  (FEBRERO)
</t>
    </r>
    <r>
      <rPr>
        <b/>
        <sz val="12"/>
        <color indexed="8"/>
        <rFont val="Calibri"/>
        <family val="2"/>
      </rPr>
      <t>TIC-0034-0035-0036-0037 (PS) (AGOSTO)</t>
    </r>
  </si>
  <si>
    <r>
      <t xml:space="preserve">
(325.987.552)
(443.372.783)
</t>
    </r>
    <r>
      <rPr>
        <b/>
        <sz val="12"/>
        <color indexed="30"/>
        <rFont val="Calibri"/>
        <family val="2"/>
      </rPr>
      <t xml:space="preserve">(34.000.000)
</t>
    </r>
    <r>
      <rPr>
        <b/>
        <sz val="12"/>
        <rFont val="Calibri"/>
        <family val="2"/>
      </rPr>
      <t xml:space="preserve">
</t>
    </r>
    <r>
      <rPr>
        <b/>
        <sz val="12"/>
        <color indexed="10"/>
        <rFont val="Calibri"/>
        <family val="2"/>
      </rPr>
      <t>(27.000.000)</t>
    </r>
    <r>
      <rPr>
        <b/>
        <sz val="12"/>
        <color indexed="17"/>
        <rFont val="Calibri"/>
        <family val="2"/>
      </rPr>
      <t xml:space="preserve">
</t>
    </r>
    <r>
      <rPr>
        <b/>
        <sz val="12"/>
        <color indexed="10"/>
        <rFont val="Calibri"/>
        <family val="2"/>
      </rPr>
      <t xml:space="preserve">(26.400.000)
</t>
    </r>
    <r>
      <rPr>
        <b/>
        <sz val="12"/>
        <color indexed="8"/>
        <rFont val="Calibri"/>
        <family val="2"/>
      </rPr>
      <t>(91.620.776)</t>
    </r>
  </si>
  <si>
    <r>
      <t xml:space="preserve">SAF-0051 -0087-0088 (MOBILIARIO ABRIL) 
</t>
    </r>
    <r>
      <rPr>
        <b/>
        <sz val="12"/>
        <color indexed="8"/>
        <rFont val="Calibri"/>
        <family val="2"/>
      </rPr>
      <t>SAF-0098 (ELEMENTOS DE SSGT) (Agosto)</t>
    </r>
  </si>
  <si>
    <r>
      <t xml:space="preserve">(178.000.000)
</t>
    </r>
    <r>
      <rPr>
        <b/>
        <sz val="12"/>
        <color indexed="8"/>
        <rFont val="Calibri"/>
        <family val="2"/>
      </rPr>
      <t>(59.000.000)</t>
    </r>
  </si>
  <si>
    <r>
      <t xml:space="preserve">OCI-0002-0003-0004
</t>
    </r>
    <r>
      <rPr>
        <b/>
        <sz val="12"/>
        <color indexed="30"/>
        <rFont val="Calibri"/>
        <family val="2"/>
      </rPr>
      <t>OCI-0001 (PS)</t>
    </r>
  </si>
  <si>
    <r>
      <t xml:space="preserve">(92.500.000)
</t>
    </r>
    <r>
      <rPr>
        <b/>
        <sz val="12"/>
        <color indexed="30"/>
        <rFont val="Calibri"/>
        <family val="2"/>
      </rPr>
      <t>(32.500.000)</t>
    </r>
  </si>
  <si>
    <r>
      <t xml:space="preserve">2 lineas sin codigo PS 
OAP-07-014-012-001-003-006-011-010-009-016-015-004-005-002
</t>
    </r>
    <r>
      <rPr>
        <b/>
        <sz val="12"/>
        <color indexed="10"/>
        <rFont val="Calibri"/>
        <family val="2"/>
      </rPr>
      <t xml:space="preserve">OAP-013-017 (PS) (ENERO-JUNIO) </t>
    </r>
    <r>
      <rPr>
        <b/>
        <sz val="12"/>
        <color indexed="17"/>
        <rFont val="Calibri"/>
        <family val="2"/>
      </rPr>
      <t xml:space="preserve">
</t>
    </r>
    <r>
      <rPr>
        <b/>
        <sz val="12"/>
        <color indexed="30"/>
        <rFont val="Calibri"/>
        <family val="2"/>
      </rPr>
      <t xml:space="preserve">OAP-008-23-24
</t>
    </r>
    <r>
      <rPr>
        <b/>
        <sz val="12"/>
        <rFont val="Calibri"/>
        <family val="2"/>
      </rPr>
      <t>OAP-018-19-20-21-22 (PS) (SEPTIEMBRE)</t>
    </r>
  </si>
  <si>
    <r>
      <t xml:space="preserve">(42.978.255)
(470.675.282)
</t>
    </r>
    <r>
      <rPr>
        <b/>
        <sz val="12"/>
        <color indexed="10"/>
        <rFont val="Calibri"/>
        <family val="2"/>
      </rPr>
      <t>(52.694.509)</t>
    </r>
    <r>
      <rPr>
        <b/>
        <sz val="12"/>
        <color indexed="17"/>
        <rFont val="Calibri"/>
        <family val="2"/>
      </rPr>
      <t xml:space="preserve">
</t>
    </r>
    <r>
      <rPr>
        <b/>
        <sz val="12"/>
        <rFont val="Calibri"/>
        <family val="2"/>
      </rPr>
      <t xml:space="preserve">
</t>
    </r>
    <r>
      <rPr>
        <b/>
        <sz val="12"/>
        <color indexed="30"/>
        <rFont val="Calibri"/>
        <family val="2"/>
      </rPr>
      <t xml:space="preserve">(81.975.064)
</t>
    </r>
    <r>
      <rPr>
        <b/>
        <sz val="12"/>
        <rFont val="Calibri"/>
        <family val="2"/>
      </rPr>
      <t>(90.943.462)</t>
    </r>
  </si>
  <si>
    <r>
      <t xml:space="preserve">5 lineas sin codigo PS
SAL-024-006-018-010-007-016-017-036-008-009-011-19-021-022-033-035-037-041-047-048-050-055-056-034-020-043-051-023-053-040-012
</t>
    </r>
    <r>
      <rPr>
        <b/>
        <sz val="10"/>
        <color indexed="40"/>
        <rFont val="Calibri"/>
        <family val="2"/>
      </rPr>
      <t>SAL-046-057</t>
    </r>
    <r>
      <rPr>
        <b/>
        <sz val="10"/>
        <color indexed="17"/>
        <rFont val="Calibri"/>
        <family val="2"/>
      </rPr>
      <t xml:space="preserve">
</t>
    </r>
    <r>
      <rPr>
        <b/>
        <sz val="10"/>
        <color indexed="10"/>
        <rFont val="Calibri"/>
        <family val="2"/>
      </rPr>
      <t xml:space="preserve">
SAL-049 (PS) (ABRIL)
SAL-013-025-054 (PS) (JUNIO)
SAL-058 (PS) (JULIO)</t>
    </r>
  </si>
  <si>
    <r>
      <t xml:space="preserve">(317.900.000)
(1.606.911.746)
</t>
    </r>
    <r>
      <rPr>
        <b/>
        <sz val="10"/>
        <color indexed="40"/>
        <rFont val="Calibri"/>
        <family val="2"/>
      </rPr>
      <t xml:space="preserve">(88-800-000)
</t>
    </r>
    <r>
      <rPr>
        <b/>
        <sz val="10"/>
        <color indexed="10"/>
        <rFont val="Calibri"/>
        <family val="2"/>
      </rPr>
      <t xml:space="preserve">
(96.000.000)</t>
    </r>
    <r>
      <rPr>
        <b/>
        <sz val="10"/>
        <color indexed="17"/>
        <rFont val="Calibri"/>
        <family val="2"/>
      </rPr>
      <t xml:space="preserve">
</t>
    </r>
    <r>
      <rPr>
        <b/>
        <sz val="10"/>
        <color indexed="10"/>
        <rFont val="Calibri"/>
        <family val="2"/>
      </rPr>
      <t>(134.000.000)
(45.000.000)</t>
    </r>
  </si>
  <si>
    <r>
      <rPr>
        <b/>
        <sz val="10"/>
        <color indexed="17"/>
        <rFont val="Calibri"/>
        <family val="2"/>
      </rPr>
      <t>SA-OPS-001- 002-178</t>
    </r>
    <r>
      <rPr>
        <b/>
        <sz val="10"/>
        <color indexed="30"/>
        <rFont val="Calibri"/>
        <family val="2"/>
      </rPr>
      <t xml:space="preserve">
SA-OPS-005-006-008-009 (JULIO-AGOSTO)
</t>
    </r>
    <r>
      <rPr>
        <b/>
        <sz val="10"/>
        <rFont val="Calibri"/>
        <family val="2"/>
      </rPr>
      <t>SA-OPS-007- (JULIO-AGOSTO)</t>
    </r>
  </si>
  <si>
    <r>
      <t xml:space="preserve">$ 622.655.484
</t>
    </r>
    <r>
      <rPr>
        <b/>
        <sz val="10"/>
        <color indexed="30"/>
        <rFont val="Calibri"/>
        <family val="2"/>
      </rPr>
      <t xml:space="preserve">$ 1.114.000.000
</t>
    </r>
    <r>
      <rPr>
        <b/>
        <sz val="10"/>
        <color indexed="17"/>
        <rFont val="Calibri"/>
        <family val="2"/>
      </rPr>
      <t xml:space="preserve">
</t>
    </r>
    <r>
      <rPr>
        <b/>
        <sz val="10"/>
        <rFont val="Calibri"/>
        <family val="2"/>
      </rPr>
      <t>(316.000.000)</t>
    </r>
  </si>
  <si>
    <r>
      <t xml:space="preserve">
SA-OPS-009 
</t>
    </r>
    <r>
      <rPr>
        <b/>
        <sz val="10"/>
        <color indexed="10"/>
        <rFont val="Calibri"/>
        <family val="2"/>
      </rPr>
      <t xml:space="preserve">SA-OPS-003-004-195-196-197 (ABRIL -MAYO)
</t>
    </r>
    <r>
      <rPr>
        <b/>
        <sz val="10"/>
        <color indexed="8"/>
        <rFont val="Calibri"/>
        <family val="2"/>
      </rPr>
      <t>SA-OPS-057-058 (ARRENDAMIENTO INMUEBLES) (AGOSTO)</t>
    </r>
  </si>
  <si>
    <r>
      <t xml:space="preserve">
(120.000.000)
</t>
    </r>
    <r>
      <rPr>
        <b/>
        <sz val="10"/>
        <color indexed="10"/>
        <rFont val="Calibri"/>
        <family val="2"/>
      </rPr>
      <t xml:space="preserve">(1.301.328.000)
</t>
    </r>
    <r>
      <rPr>
        <b/>
        <sz val="10"/>
        <color indexed="8"/>
        <rFont val="Calibri"/>
        <family val="2"/>
      </rPr>
      <t>(556.920.000)</t>
    </r>
  </si>
  <si>
    <r>
      <t xml:space="preserve">
</t>
    </r>
    <r>
      <rPr>
        <b/>
        <sz val="10"/>
        <color indexed="17"/>
        <rFont val="Calibri"/>
        <family val="2"/>
      </rPr>
      <t>SA-061 (CONTRATO INTERADMINISTRATIVO UNI DISTRITAL)</t>
    </r>
    <r>
      <rPr>
        <b/>
        <sz val="10"/>
        <color indexed="10"/>
        <rFont val="Calibri"/>
        <family val="2"/>
      </rPr>
      <t xml:space="preserve">
SA-036 (CONVENIO RESIDUOS PLASTICOS-AJOVER) MAYO
</t>
    </r>
    <r>
      <rPr>
        <b/>
        <sz val="10"/>
        <rFont val="Calibri"/>
        <family val="2"/>
      </rPr>
      <t xml:space="preserve">SA-OPS-199-200-201 (AGOSTO-SEPTIEMBRE) (OBRAS DE CONSTRUCCION PLATA DE ORGANICOS-MAQUINARIA DOTACION PLANTAS ORGANICOS-CENTRO EXPERIMENTAL DE APROVECHAMIENTO DE PLASTICOS)
</t>
    </r>
  </si>
  <si>
    <r>
      <t xml:space="preserve">
</t>
    </r>
    <r>
      <rPr>
        <b/>
        <sz val="10"/>
        <color indexed="17"/>
        <rFont val="Calibri"/>
        <family val="2"/>
      </rPr>
      <t>(2.5000.000.000)</t>
    </r>
    <r>
      <rPr>
        <b/>
        <sz val="10"/>
        <color indexed="10"/>
        <rFont val="Calibri"/>
        <family val="2"/>
      </rPr>
      <t xml:space="preserve">
(1.200.000.000)
</t>
    </r>
    <r>
      <rPr>
        <b/>
        <sz val="10"/>
        <rFont val="Calibri"/>
        <family val="2"/>
      </rPr>
      <t xml:space="preserve">(12.000.000.000)
</t>
    </r>
  </si>
  <si>
    <r>
      <rPr>
        <b/>
        <sz val="10"/>
        <color indexed="30"/>
        <rFont val="Calibri"/>
        <family val="2"/>
      </rPr>
      <t>SA-OPS-050</t>
    </r>
    <r>
      <rPr>
        <b/>
        <sz val="10"/>
        <color indexed="10"/>
        <rFont val="Calibri"/>
        <family val="2"/>
      </rPr>
      <t xml:space="preserve">
SA-OPS-052-053-054-055 056-059 (ABRIL-JULIO)
</t>
    </r>
  </si>
  <si>
    <r>
      <rPr>
        <b/>
        <sz val="10"/>
        <color indexed="30"/>
        <rFont val="Calibri"/>
        <family val="2"/>
      </rPr>
      <t>(85.000.000)</t>
    </r>
    <r>
      <rPr>
        <b/>
        <sz val="10"/>
        <color indexed="10"/>
        <rFont val="Calibri"/>
        <family val="2"/>
      </rPr>
      <t xml:space="preserve">
(315.000.000)
</t>
    </r>
  </si>
  <si>
    <t xml:space="preserve">
Cinco líneas de prestación de servicios sin código
SA-OPS-105-116-112-163-118-123
</t>
  </si>
  <si>
    <t xml:space="preserve">
$ 302.794.000
$ 324.500.000
</t>
  </si>
  <si>
    <r>
      <rPr>
        <b/>
        <sz val="10"/>
        <color indexed="17"/>
        <rFont val="Calibri"/>
        <family val="2"/>
      </rPr>
      <t xml:space="preserve">
9 líneas de prestación de servicios sin código
SA-OPS-117-125-150
</t>
    </r>
    <r>
      <rPr>
        <b/>
        <sz val="10"/>
        <color indexed="10"/>
        <rFont val="Calibri"/>
        <family val="2"/>
      </rPr>
      <t xml:space="preserve">
2 lineas sin codigo PS (FEBRERO) 
SA-OPS-124-142-175-185 (MARZO-ABRIL)
</t>
    </r>
    <r>
      <rPr>
        <sz val="10"/>
        <color indexed="10"/>
        <rFont val="Calibri"/>
        <family val="2"/>
      </rPr>
      <t xml:space="preserve">
</t>
    </r>
  </si>
  <si>
    <r>
      <t xml:space="preserve">
$611.179.000
$ 179.950.000
</t>
    </r>
    <r>
      <rPr>
        <b/>
        <sz val="10"/>
        <color indexed="10"/>
        <rFont val="Calibri"/>
        <family val="2"/>
      </rPr>
      <t xml:space="preserve">
(129.800.000)
(144.500.000)
</t>
    </r>
  </si>
  <si>
    <r>
      <t xml:space="preserve">Tres líneas de prestación de servicios sin código
SA-OPS-102-120-119-127-068-071-073-155-160
</t>
    </r>
    <r>
      <rPr>
        <b/>
        <sz val="10"/>
        <color indexed="10"/>
        <rFont val="Calibri"/>
        <family val="2"/>
      </rPr>
      <t>1 linea sin codigo PS (FEBRERO)
SA-OPS-177 (ABRIL) PS 
Siete (7) líneas (PS) (FEBRERO)</t>
    </r>
  </si>
  <si>
    <r>
      <t xml:space="preserve">$ 218.640.000
$ 406.100.000
</t>
    </r>
    <r>
      <rPr>
        <b/>
        <sz val="10"/>
        <color indexed="10"/>
        <rFont val="Calibri"/>
        <family val="2"/>
      </rPr>
      <t>(83.736.000)
(486.126.000)</t>
    </r>
  </si>
  <si>
    <r>
      <t xml:space="preserve">
SA-OPS-128- 131-135-144-134-137-130-065-136-165-111-151-153-159-161-180-181-184-182-191-192
</t>
    </r>
    <r>
      <rPr>
        <b/>
        <sz val="10"/>
        <color indexed="30"/>
        <rFont val="Calibri"/>
        <family val="2"/>
      </rPr>
      <t>SA-OPS-150-183</t>
    </r>
    <r>
      <rPr>
        <b/>
        <sz val="10"/>
        <color indexed="17"/>
        <rFont val="Calibri"/>
        <family val="2"/>
      </rPr>
      <t xml:space="preserve">
</t>
    </r>
    <r>
      <rPr>
        <b/>
        <sz val="10"/>
        <color indexed="10"/>
        <rFont val="Calibri"/>
        <family val="2"/>
      </rPr>
      <t>SA-OPS-171-172-188-193-194 (ABRIL)
1 LINEA SIN CODIGO PS (FEBRERO)</t>
    </r>
  </si>
  <si>
    <r>
      <t xml:space="preserve">
$ 883.350.000
</t>
    </r>
    <r>
      <rPr>
        <b/>
        <sz val="10"/>
        <color indexed="30"/>
        <rFont val="Calibri"/>
        <family val="2"/>
      </rPr>
      <t>$ 70.950.000</t>
    </r>
    <r>
      <rPr>
        <b/>
        <sz val="10"/>
        <color indexed="17"/>
        <rFont val="Calibri"/>
        <family val="2"/>
      </rPr>
      <t xml:space="preserve">
</t>
    </r>
    <r>
      <rPr>
        <b/>
        <sz val="10"/>
        <color indexed="10"/>
        <rFont val="Calibri"/>
        <family val="2"/>
      </rPr>
      <t>(240.300.000)</t>
    </r>
  </si>
  <si>
    <r>
      <rPr>
        <b/>
        <sz val="10"/>
        <color indexed="17"/>
        <rFont val="Calibri"/>
        <family val="2"/>
      </rPr>
      <t xml:space="preserve">
Dos línes de prestación de servicios sin código
SA-OPS-166-126
</t>
    </r>
    <r>
      <rPr>
        <b/>
        <sz val="10"/>
        <color indexed="10"/>
        <rFont val="Calibri"/>
        <family val="2"/>
      </rPr>
      <t>SA-OPS-190 (ABRIL)
Tres Líneas (PS) (FEBRERO)</t>
    </r>
    <r>
      <rPr>
        <b/>
        <sz val="10"/>
        <color indexed="8"/>
        <rFont val="Calibri"/>
        <family val="2"/>
      </rPr>
      <t xml:space="preserve">
</t>
    </r>
  </si>
  <si>
    <r>
      <rPr>
        <b/>
        <sz val="10"/>
        <color indexed="17"/>
        <rFont val="Calibri"/>
        <family val="2"/>
      </rPr>
      <t xml:space="preserve">
$ 92.348.000</t>
    </r>
    <r>
      <rPr>
        <sz val="10"/>
        <color indexed="8"/>
        <rFont val="Calibri"/>
        <family val="2"/>
      </rPr>
      <t xml:space="preserve">
</t>
    </r>
    <r>
      <rPr>
        <b/>
        <sz val="10"/>
        <color indexed="8"/>
        <rFont val="Calibri"/>
        <family val="2"/>
      </rPr>
      <t xml:space="preserve">
</t>
    </r>
    <r>
      <rPr>
        <b/>
        <sz val="10"/>
        <color indexed="17"/>
        <rFont val="Calibri"/>
        <family val="2"/>
      </rPr>
      <t xml:space="preserve">$ 98.712.000
</t>
    </r>
    <r>
      <rPr>
        <b/>
        <sz val="10"/>
        <color indexed="10"/>
        <rFont val="Calibri"/>
        <family val="2"/>
      </rPr>
      <t>(47.200.000)
(121.780.000)</t>
    </r>
    <r>
      <rPr>
        <b/>
        <sz val="10"/>
        <color indexed="17"/>
        <rFont val="Calibri"/>
        <family val="2"/>
      </rPr>
      <t xml:space="preserve">
</t>
    </r>
  </si>
  <si>
    <t>SA-080 (MATERIAL DISTINTIVO) (AGOSTO)</t>
  </si>
  <si>
    <t>(400.000.000)</t>
  </si>
  <si>
    <t>SA-202 (SUMINISTRO DE MAQUINARIA PARA DOTACION PLANTA ORGANICOS) (AGOSTO) (De una versión a otra cambiaron el objeto y valor con el mismo código)</t>
  </si>
  <si>
    <r>
      <t xml:space="preserve">
</t>
    </r>
    <r>
      <rPr>
        <b/>
        <sz val="10"/>
        <color indexed="30"/>
        <rFont val="Calibri"/>
        <family val="2"/>
      </rPr>
      <t xml:space="preserve">SA-061 (JULIO) CONVENIO DESARROLLO PROCESOS DE APROVECHAMIENTO 
</t>
    </r>
    <r>
      <rPr>
        <b/>
        <sz val="10"/>
        <rFont val="Calibri"/>
        <family val="2"/>
      </rPr>
      <t>SA-069 (OCTUBRE) (PLANTA DE COMPOSTAJE Y LOMBRICULTURA)</t>
    </r>
  </si>
  <si>
    <r>
      <t xml:space="preserve">
</t>
    </r>
    <r>
      <rPr>
        <b/>
        <sz val="10"/>
        <color indexed="30"/>
        <rFont val="Calibri"/>
        <family val="2"/>
      </rPr>
      <t xml:space="preserve">(2.500.000.000)
</t>
    </r>
    <r>
      <rPr>
        <b/>
        <sz val="10"/>
        <rFont val="Calibri"/>
        <family val="2"/>
      </rPr>
      <t>(3.720.000.000)</t>
    </r>
  </si>
  <si>
    <r>
      <t xml:space="preserve">
</t>
    </r>
    <r>
      <rPr>
        <b/>
        <sz val="10"/>
        <color indexed="17"/>
        <rFont val="Calibri"/>
        <family val="2"/>
      </rPr>
      <t xml:space="preserve">Una línea sin código adquisición de impresoras
</t>
    </r>
    <r>
      <rPr>
        <b/>
        <sz val="10"/>
        <color indexed="30"/>
        <rFont val="Calibri"/>
        <family val="2"/>
      </rPr>
      <t xml:space="preserve">
SA-OPS-179</t>
    </r>
    <r>
      <rPr>
        <b/>
        <sz val="10"/>
        <color indexed="8"/>
        <rFont val="Calibri"/>
        <family val="2"/>
      </rPr>
      <t xml:space="preserve">
</t>
    </r>
    <r>
      <rPr>
        <b/>
        <sz val="10"/>
        <color indexed="10"/>
        <rFont val="Calibri"/>
        <family val="2"/>
      </rPr>
      <t>SA-075 (ABRIL) CAPTURA DE DATOS RURO
SA-034-035-038-039 (APOYO FINANCIERO HACKATON - COMPRA DE TECNOLOGÍA ESPECIALIZADA (JULIO)</t>
    </r>
    <r>
      <rPr>
        <b/>
        <sz val="10"/>
        <rFont val="Calibri"/>
        <family val="2"/>
      </rPr>
      <t xml:space="preserve">
060 -078 - ADQUISICION DE CONTENEDORES -CANECAS Y BOLSAS CULTURA CIUDADANA Y ADQUISICION DE VEHICULO ENERGIAS CONVENCIONALES)</t>
    </r>
    <r>
      <rPr>
        <b/>
        <sz val="10"/>
        <color indexed="8"/>
        <rFont val="Calibri"/>
        <family val="2"/>
      </rPr>
      <t>(AGOSTO)</t>
    </r>
  </si>
  <si>
    <r>
      <t xml:space="preserve">
</t>
    </r>
    <r>
      <rPr>
        <b/>
        <sz val="10"/>
        <color indexed="17"/>
        <rFont val="Calibri"/>
        <family val="2"/>
      </rPr>
      <t xml:space="preserve">$ 57.000.000
</t>
    </r>
    <r>
      <rPr>
        <b/>
        <sz val="10"/>
        <color indexed="30"/>
        <rFont val="Calibri"/>
        <family val="2"/>
      </rPr>
      <t>$ 59.000.000</t>
    </r>
    <r>
      <rPr>
        <b/>
        <sz val="10"/>
        <color indexed="10"/>
        <rFont val="Calibri"/>
        <family val="2"/>
      </rPr>
      <t xml:space="preserve">
(59.000.000)</t>
    </r>
    <r>
      <rPr>
        <b/>
        <sz val="10"/>
        <color indexed="8"/>
        <rFont val="Calibri"/>
        <family val="2"/>
      </rPr>
      <t xml:space="preserve">
</t>
    </r>
    <r>
      <rPr>
        <b/>
        <sz val="10"/>
        <color indexed="10"/>
        <rFont val="Calibri"/>
        <family val="2"/>
      </rPr>
      <t>(5.400.000.000)</t>
    </r>
    <r>
      <rPr>
        <b/>
        <sz val="10"/>
        <color indexed="8"/>
        <rFont val="Calibri"/>
        <family val="2"/>
      </rPr>
      <t xml:space="preserve">
(1.130.000.000)</t>
    </r>
  </si>
  <si>
    <r>
      <t xml:space="preserve">
Ocho líneas de prestación de servicios sin código
SA-OPS-140-138-139-152-157-121-066-067-146-145-141-186-147-SA-OPS-143-148-156.
</t>
    </r>
    <r>
      <rPr>
        <b/>
        <sz val="10"/>
        <color indexed="30"/>
        <rFont val="Calibri"/>
        <family val="2"/>
      </rPr>
      <t>SA-OPS-174-189</t>
    </r>
    <r>
      <rPr>
        <b/>
        <sz val="10"/>
        <color indexed="17"/>
        <rFont val="Calibri"/>
        <family val="2"/>
      </rPr>
      <t xml:space="preserve">
</t>
    </r>
    <r>
      <rPr>
        <b/>
        <sz val="10"/>
        <color indexed="10"/>
        <rFont val="Calibri"/>
        <family val="2"/>
      </rPr>
      <t xml:space="preserve">2 lineas sin codigo PS (FEBRERO)
SA-OPS-158-162-173-187 (ABRIL)
</t>
    </r>
  </si>
  <si>
    <r>
      <t xml:space="preserve">
$ 406.768.000
$ 626.700.000)
</t>
    </r>
    <r>
      <rPr>
        <b/>
        <sz val="10"/>
        <color indexed="30"/>
        <rFont val="Calibri"/>
        <family val="2"/>
      </rPr>
      <t xml:space="preserve">(75.400.0000)
</t>
    </r>
    <r>
      <rPr>
        <b/>
        <sz val="10"/>
        <color indexed="17"/>
        <rFont val="Calibri"/>
        <family val="2"/>
      </rPr>
      <t xml:space="preserve">
</t>
    </r>
    <r>
      <rPr>
        <b/>
        <sz val="10"/>
        <color indexed="10"/>
        <rFont val="Calibri"/>
        <family val="2"/>
      </rPr>
      <t>(211.408.000)</t>
    </r>
  </si>
  <si>
    <r>
      <t xml:space="preserve">
</t>
    </r>
    <r>
      <rPr>
        <b/>
        <sz val="10"/>
        <color indexed="17"/>
        <rFont val="Calibri"/>
        <family val="2"/>
      </rPr>
      <t>SA-OPS-049 (JUNIO)</t>
    </r>
    <r>
      <rPr>
        <b/>
        <sz val="10"/>
        <color indexed="10"/>
        <rFont val="Calibri"/>
        <family val="2"/>
      </rPr>
      <t xml:space="preserve">
</t>
    </r>
    <r>
      <rPr>
        <b/>
        <sz val="10"/>
        <color indexed="40"/>
        <rFont val="Calibri"/>
        <family val="2"/>
      </rPr>
      <t xml:space="preserve">
</t>
    </r>
    <r>
      <rPr>
        <b/>
        <sz val="10"/>
        <color indexed="10"/>
        <rFont val="Calibri"/>
        <family val="2"/>
      </rPr>
      <t>SA-032 - (Convenio para apoyar el proyecto del Centro de Aprovechamiento Especializado de Plásticos CEAP en Bogotá) (Marzo)</t>
    </r>
  </si>
  <si>
    <r>
      <t xml:space="preserve">
</t>
    </r>
    <r>
      <rPr>
        <b/>
        <sz val="10"/>
        <color indexed="17"/>
        <rFont val="Calibri"/>
        <family val="2"/>
      </rPr>
      <t>(566.352.000)</t>
    </r>
    <r>
      <rPr>
        <b/>
        <sz val="10"/>
        <color indexed="10"/>
        <rFont val="Calibri"/>
        <family val="2"/>
      </rPr>
      <t xml:space="preserve">
No tiene valor asignado en el PAA</t>
    </r>
  </si>
  <si>
    <t xml:space="preserve">
SA-OPS-167 (PROGRAMA DE INCENTIVOS)</t>
  </si>
  <si>
    <r>
      <rPr>
        <b/>
        <sz val="10"/>
        <color indexed="30"/>
        <rFont val="Calibri"/>
        <family val="2"/>
      </rPr>
      <t xml:space="preserve">
(301.405.000)</t>
    </r>
    <r>
      <rPr>
        <b/>
        <sz val="10"/>
        <color indexed="40"/>
        <rFont val="Calibri"/>
        <family val="2"/>
      </rPr>
      <t xml:space="preserve">
</t>
    </r>
  </si>
  <si>
    <t xml:space="preserve">operación "Punto Limpio" </t>
  </si>
  <si>
    <t>SDF67 - Punto Limpio</t>
  </si>
  <si>
    <r>
      <t>1 linea sin codigo para obras de restauracion predio Yerbabuena 
SDF-66 (OBRAS PREDIO YERBABUENA FASE II) (</t>
    </r>
    <r>
      <rPr>
        <b/>
        <sz val="12"/>
        <rFont val="Calibri"/>
        <family val="2"/>
      </rPr>
      <t>Para la nueva versión del Plan aumentaron el presupuesto a $2.300.000.000</t>
    </r>
    <r>
      <rPr>
        <b/>
        <sz val="12"/>
        <color indexed="17"/>
        <rFont val="Calibri"/>
        <family val="2"/>
      </rPr>
      <t xml:space="preserve">
</t>
    </r>
    <r>
      <rPr>
        <b/>
        <sz val="12"/>
        <color indexed="10"/>
        <rFont val="Calibri"/>
        <family val="2"/>
      </rPr>
      <t>SDF-92 OBRA CASA LOS MANZANOS (JULIO)</t>
    </r>
  </si>
  <si>
    <r>
      <t xml:space="preserve">(563.008.205)
(2.300.000.000) 
</t>
    </r>
    <r>
      <rPr>
        <b/>
        <sz val="12"/>
        <color indexed="10"/>
        <rFont val="Calibri"/>
        <family val="2"/>
      </rPr>
      <t>(59.000.000)</t>
    </r>
  </si>
  <si>
    <t xml:space="preserve">REALIZAR LAS OBRAS DE RESTAURACIÓN Y RECUPERACIÓN DEL PREDIO YERBABUENA FASE II-ADICION Y PRORROGA PLANTA DE COMPOSTAJE MOCHUELO BAJO </t>
  </si>
  <si>
    <r>
      <rPr>
        <b/>
        <sz val="12"/>
        <color indexed="17"/>
        <rFont val="Calibri"/>
        <family val="2"/>
      </rPr>
      <t xml:space="preserve">SDF-70-68 (CONVENIOS UNIVERDIDAD NACIONAL-PEDAGOGICA)
</t>
    </r>
    <r>
      <rPr>
        <b/>
        <sz val="12"/>
        <color indexed="30"/>
        <rFont val="Calibri"/>
        <family val="2"/>
      </rPr>
      <t xml:space="preserve">SDF-69-71-(CONVENIOS UNAD Y U. DISTRITAL) </t>
    </r>
    <r>
      <rPr>
        <b/>
        <sz val="12"/>
        <color indexed="17"/>
        <rFont val="Calibri"/>
        <family val="2"/>
      </rPr>
      <t xml:space="preserve">
</t>
    </r>
    <r>
      <rPr>
        <b/>
        <sz val="12"/>
        <color indexed="40"/>
        <rFont val="Calibri"/>
        <family val="2"/>
      </rPr>
      <t xml:space="preserve">
</t>
    </r>
    <r>
      <rPr>
        <b/>
        <sz val="12"/>
        <color indexed="10"/>
        <rFont val="Calibri"/>
        <family val="2"/>
      </rPr>
      <t xml:space="preserve">SDF-90- (CONECTIVIDAD DIGITAL RSDJ-USME) (JULIO)
</t>
    </r>
    <r>
      <rPr>
        <b/>
        <sz val="12"/>
        <color indexed="8"/>
        <rFont val="Calibri"/>
        <family val="2"/>
      </rPr>
      <t>SDF-80-82-85--89 (SERVICIO DE CONECTIVIDAD - PS -) (AGOSTO)</t>
    </r>
  </si>
  <si>
    <r>
      <rPr>
        <b/>
        <sz val="12"/>
        <color indexed="17"/>
        <rFont val="Calibri"/>
        <family val="2"/>
      </rPr>
      <t>(1.019.646.808)</t>
    </r>
    <r>
      <rPr>
        <b/>
        <sz val="12"/>
        <color indexed="40"/>
        <rFont val="Calibri"/>
        <family val="2"/>
      </rPr>
      <t xml:space="preserve">
</t>
    </r>
    <r>
      <rPr>
        <b/>
        <sz val="12"/>
        <color indexed="30"/>
        <rFont val="Calibri"/>
        <family val="2"/>
      </rPr>
      <t xml:space="preserve">(639.456.940)
</t>
    </r>
    <r>
      <rPr>
        <b/>
        <sz val="12"/>
        <color indexed="10"/>
        <rFont val="Calibri"/>
        <family val="2"/>
      </rPr>
      <t>(125.000.000)</t>
    </r>
    <r>
      <rPr>
        <b/>
        <sz val="12"/>
        <color indexed="30"/>
        <rFont val="Calibri"/>
        <family val="2"/>
      </rPr>
      <t xml:space="preserve">
</t>
    </r>
    <r>
      <rPr>
        <b/>
        <sz val="12"/>
        <color indexed="10"/>
        <rFont val="Calibri"/>
        <family val="2"/>
      </rPr>
      <t xml:space="preserve">
</t>
    </r>
    <r>
      <rPr>
        <b/>
        <sz val="12"/>
        <color indexed="8"/>
        <rFont val="Calibri"/>
        <family val="2"/>
      </rPr>
      <t>(138.720.060)</t>
    </r>
  </si>
  <si>
    <t>CONVENIOS U. NACIONAL</t>
  </si>
  <si>
    <r>
      <rPr>
        <b/>
        <sz val="12"/>
        <color indexed="10"/>
        <rFont val="Calibri"/>
        <family val="2"/>
      </rPr>
      <t>SDF-92 (JULIO) (ADECUACION Y MANTENIMIENTO CASA LOS MANZANOS)</t>
    </r>
    <r>
      <rPr>
        <b/>
        <sz val="12"/>
        <color indexed="30"/>
        <rFont val="Calibri"/>
        <family val="2"/>
      </rPr>
      <t xml:space="preserve">
SAL-055 (AVALÚOS COMERCIALES)</t>
    </r>
  </si>
  <si>
    <r>
      <rPr>
        <b/>
        <sz val="12"/>
        <color indexed="10"/>
        <rFont val="Calibri"/>
        <family val="2"/>
      </rPr>
      <t>(59.000.000)</t>
    </r>
    <r>
      <rPr>
        <b/>
        <sz val="12"/>
        <color indexed="30"/>
        <rFont val="Calibri"/>
        <family val="2"/>
      </rPr>
      <t xml:space="preserve">
29.527.095</t>
    </r>
  </si>
  <si>
    <t xml:space="preserve">Pago tribunal de arbitramento CGR DOÑA JUANA </t>
  </si>
  <si>
    <r>
      <t xml:space="preserve">
SDF-10-19-30-14-28-05-06-01-37-21-08-39-43-60-52-02-27-22-44-45-65-51B-46-49-86-54B-64B-SDF86.
</t>
    </r>
    <r>
      <rPr>
        <b/>
        <sz val="12"/>
        <color indexed="40"/>
        <rFont val="Calibri"/>
        <family val="2"/>
      </rPr>
      <t xml:space="preserve">
</t>
    </r>
    <r>
      <rPr>
        <b/>
        <sz val="12"/>
        <color indexed="10"/>
        <rFont val="Calibri"/>
        <family val="2"/>
      </rPr>
      <t>SDF-53B 55B-56B-57B-58B-59B-41-61B-62B-63B (MARZO)
SDF-75-78 (PS y CONCESION RSDJ) (MAYO) $2.000.000.000</t>
    </r>
    <r>
      <rPr>
        <b/>
        <sz val="12"/>
        <color indexed="17"/>
        <rFont val="Calibri"/>
        <family val="2"/>
      </rPr>
      <t xml:space="preserve">
</t>
    </r>
  </si>
  <si>
    <r>
      <t xml:space="preserve">
(1.520.332.944)
</t>
    </r>
    <r>
      <rPr>
        <b/>
        <sz val="12"/>
        <color indexed="10"/>
        <rFont val="Calibri"/>
        <family val="2"/>
      </rPr>
      <t>(2.503.526.000)</t>
    </r>
  </si>
  <si>
    <r>
      <t xml:space="preserve">SDF-72 (EQUIPOS DE TOPOGRAFIA) 
</t>
    </r>
    <r>
      <rPr>
        <b/>
        <sz val="12"/>
        <color indexed="30"/>
        <rFont val="Gisha"/>
        <family val="2"/>
        <charset val="177"/>
      </rPr>
      <t>SDF-81-MINICARGADOR CENTRO DE COMPOSTAJE) (500.000.000)</t>
    </r>
    <r>
      <rPr>
        <b/>
        <sz val="12"/>
        <color indexed="10"/>
        <rFont val="Gisha"/>
        <family val="2"/>
      </rPr>
      <t xml:space="preserve">
</t>
    </r>
    <r>
      <rPr>
        <b/>
        <sz val="12"/>
        <color indexed="8"/>
        <rFont val="Gisha"/>
        <family val="2"/>
        <charset val="177"/>
      </rPr>
      <t>SDF-74 (MONITOREO INDICADORES Y VARIABLES DE LA SDF)</t>
    </r>
  </si>
  <si>
    <r>
      <t xml:space="preserve">(200.000.000)
</t>
    </r>
    <r>
      <rPr>
        <b/>
        <sz val="12"/>
        <color indexed="30"/>
        <rFont val="Gisha"/>
        <family val="2"/>
        <charset val="177"/>
      </rPr>
      <t xml:space="preserve">(200.000.000) </t>
    </r>
    <r>
      <rPr>
        <b/>
        <sz val="12"/>
        <color indexed="10"/>
        <rFont val="Gisha"/>
        <family val="2"/>
      </rPr>
      <t xml:space="preserve">
</t>
    </r>
    <r>
      <rPr>
        <b/>
        <sz val="12"/>
        <color indexed="8"/>
        <rFont val="Gisha"/>
        <family val="2"/>
        <charset val="177"/>
      </rPr>
      <t>(300.000.000)</t>
    </r>
  </si>
  <si>
    <t>SDF73 (CARACTERIZACIÓN DE LIXIVIADOS) (MAYO)</t>
  </si>
  <si>
    <r>
      <t xml:space="preserve">Tres líneas de prestación de servicios sin código
RBL-0010- 0016-0004-0006-0017-0059-0032-0019-0033-0005-0007-0042-0001-0009-0012-0057-0045-0034-0035-0036-0015-0038-0046-0049-0054-0011-0037-0008-0051-0053-0055-0044-0047-0027-0050-0056-0048-0013-0025-0039-0040-0041-0026-0029-0020-0021-0050-0061-0062-0074-0076-0063-0064-0065-0066-0070-0067-0078-0079-093-094-095-088-0068-0080-0095
</t>
    </r>
    <r>
      <rPr>
        <b/>
        <sz val="10"/>
        <color indexed="40"/>
        <rFont val="Calibri"/>
        <family val="2"/>
      </rPr>
      <t xml:space="preserve">RBL-0022-0043-086-0069-0081-0098
</t>
    </r>
    <r>
      <rPr>
        <b/>
        <sz val="10"/>
        <color indexed="10"/>
        <rFont val="Calibri"/>
        <family val="2"/>
      </rPr>
      <t xml:space="preserve">RBL-0018-0071-0073-0075-0077-0072-0052-0023-0024-0082-0096-0097 (PS) (MARZO - JULIO)
RBL-0014 (ASESORÍA JURIDÍCA) (MAYO)
</t>
    </r>
    <r>
      <rPr>
        <b/>
        <sz val="10"/>
        <rFont val="Calibri"/>
        <family val="2"/>
      </rPr>
      <t>PS -</t>
    </r>
    <r>
      <rPr>
        <b/>
        <sz val="10"/>
        <color indexed="10"/>
        <rFont val="Calibri"/>
        <family val="2"/>
      </rPr>
      <t xml:space="preserve"> </t>
    </r>
    <r>
      <rPr>
        <b/>
        <sz val="10"/>
        <rFont val="Calibri"/>
        <family val="2"/>
      </rPr>
      <t xml:space="preserve">RBL- 0114-0116-0084-0087-0099-0100-0101-0102-0103-0104-0105-0106-0107-0107-0108-0108-0109-0110-0111-0112-0113-0114-0115 (AGOSTO) 0091-0092 (OCTUBRE) -0083-0089-0090 (SEPTIEMBRE)
</t>
    </r>
    <r>
      <rPr>
        <b/>
        <sz val="10"/>
        <color indexed="17"/>
        <rFont val="Calibri"/>
        <family val="2"/>
      </rPr>
      <t xml:space="preserve">
</t>
    </r>
  </si>
  <si>
    <r>
      <t xml:space="preserve">$ 118.930.268
$ 3.588.213.384
</t>
    </r>
    <r>
      <rPr>
        <b/>
        <sz val="10"/>
        <color indexed="40"/>
        <rFont val="Calibri"/>
        <family val="2"/>
      </rPr>
      <t>$ 195.541.060</t>
    </r>
    <r>
      <rPr>
        <b/>
        <sz val="10"/>
        <color indexed="17"/>
        <rFont val="Calibri"/>
        <family val="2"/>
      </rPr>
      <t xml:space="preserve">
</t>
    </r>
    <r>
      <rPr>
        <b/>
        <sz val="10"/>
        <color indexed="10"/>
        <rFont val="Calibri"/>
        <family val="2"/>
      </rPr>
      <t>$ 345.457.346</t>
    </r>
    <r>
      <rPr>
        <b/>
        <sz val="10"/>
        <color indexed="17"/>
        <rFont val="Calibri"/>
        <family val="2"/>
      </rPr>
      <t xml:space="preserve">
</t>
    </r>
    <r>
      <rPr>
        <b/>
        <sz val="10"/>
        <color indexed="10"/>
        <rFont val="Calibri"/>
        <family val="2"/>
      </rPr>
      <t xml:space="preserve">$494.703.848
</t>
    </r>
    <r>
      <rPr>
        <b/>
        <sz val="10"/>
        <rFont val="Calibri"/>
        <family val="2"/>
      </rPr>
      <t>(421.424.000)</t>
    </r>
  </si>
  <si>
    <t xml:space="preserve">
RBL-0002-0003-0028-0030-0031</t>
  </si>
  <si>
    <r>
      <rPr>
        <b/>
        <sz val="12"/>
        <color indexed="17"/>
        <rFont val="Calibri"/>
        <family val="2"/>
      </rPr>
      <t>SDF-91</t>
    </r>
    <r>
      <rPr>
        <b/>
        <sz val="12"/>
        <color indexed="10"/>
        <rFont val="Calibri"/>
        <family val="2"/>
      </rPr>
      <t xml:space="preserve">
</t>
    </r>
    <r>
      <rPr>
        <b/>
        <sz val="12"/>
        <color indexed="30"/>
        <rFont val="Calibri"/>
        <family val="2"/>
      </rPr>
      <t>SDF-84  (MANTENIMIENTO PREVENTIVO Y CORRECTIVO DE ESCENARIOS PUBLICOS )</t>
    </r>
  </si>
  <si>
    <r>
      <rPr>
        <b/>
        <sz val="12"/>
        <color indexed="17"/>
        <rFont val="Calibri"/>
        <family val="2"/>
      </rPr>
      <t>(20.000.000)</t>
    </r>
    <r>
      <rPr>
        <b/>
        <sz val="12"/>
        <color indexed="10"/>
        <rFont val="Calibri"/>
        <family val="2"/>
      </rPr>
      <t xml:space="preserve">
</t>
    </r>
    <r>
      <rPr>
        <b/>
        <sz val="12"/>
        <color indexed="30"/>
        <rFont val="Calibri"/>
        <family val="2"/>
      </rPr>
      <t>(100.000.000)</t>
    </r>
  </si>
  <si>
    <r>
      <rPr>
        <b/>
        <sz val="12"/>
        <color indexed="17"/>
        <rFont val="Calibri"/>
        <family val="2"/>
      </rPr>
      <t>SDF-83 (CABLEADO ESTRUCTURADO)
SDF-77-87 (CONVENIO IDARTES,JARDÍN BOTANICO)</t>
    </r>
    <r>
      <rPr>
        <b/>
        <sz val="12"/>
        <color indexed="30"/>
        <rFont val="Calibri"/>
        <family val="2"/>
      </rPr>
      <t xml:space="preserve">
</t>
    </r>
    <r>
      <rPr>
        <b/>
        <sz val="12"/>
        <color indexed="8"/>
        <rFont val="Calibri"/>
        <family val="2"/>
      </rPr>
      <t>SDF-79(CONSTRUCCION CENTRO DE PASO DEL CUIDADO ANIMAL) (AGOSTO)</t>
    </r>
    <r>
      <rPr>
        <b/>
        <sz val="12"/>
        <color indexed="40"/>
        <rFont val="Calibri"/>
        <family val="2"/>
      </rPr>
      <t xml:space="preserve">
</t>
    </r>
    <r>
      <rPr>
        <b/>
        <sz val="12"/>
        <color indexed="10"/>
        <rFont val="Calibri"/>
        <family val="2"/>
      </rPr>
      <t xml:space="preserve">SDF-76(ADQUSICION DE MOBILIARIO NODO DIGITAL MOCHUELO ALTO) (JUNIO)
</t>
    </r>
  </si>
  <si>
    <r>
      <rPr>
        <b/>
        <sz val="12"/>
        <color indexed="17"/>
        <rFont val="Gisha"/>
        <family val="2"/>
      </rPr>
      <t xml:space="preserve">(50.000.000)
</t>
    </r>
    <r>
      <rPr>
        <b/>
        <sz val="12"/>
        <color indexed="17"/>
        <rFont val="Gisha"/>
        <family val="2"/>
        <charset val="177"/>
      </rPr>
      <t>(400.000.000)</t>
    </r>
    <r>
      <rPr>
        <b/>
        <sz val="12"/>
        <color indexed="40"/>
        <rFont val="Gisha"/>
        <family val="2"/>
      </rPr>
      <t xml:space="preserve">
</t>
    </r>
    <r>
      <rPr>
        <b/>
        <sz val="12"/>
        <color indexed="8"/>
        <rFont val="Gisha"/>
        <family val="2"/>
      </rPr>
      <t>(200.000.000)</t>
    </r>
    <r>
      <rPr>
        <b/>
        <sz val="12"/>
        <color indexed="40"/>
        <rFont val="Gisha"/>
        <family val="2"/>
      </rPr>
      <t xml:space="preserve">
</t>
    </r>
    <r>
      <rPr>
        <b/>
        <sz val="12"/>
        <color indexed="10"/>
        <rFont val="Gisha"/>
        <family val="2"/>
      </rPr>
      <t xml:space="preserve">(8.000.000)
</t>
    </r>
  </si>
  <si>
    <t xml:space="preserve">RBL-0058 (AGOSTO) INTERVENTORIA HOSPITALARIOS </t>
  </si>
  <si>
    <t>SEGUIMIENTO PRESUPUESTAL JULIO 21 DE 2021 PROYECTOS DE INVERSIÓN</t>
  </si>
  <si>
    <r>
      <t xml:space="preserve">SSFAP-023-010-021-SSF-022-005-018-015-017-009-007-012-008-029-013-003-016-004-019-006-011-014-034
1 linea sin codigo PS 
</t>
    </r>
    <r>
      <rPr>
        <sz val="12"/>
        <color indexed="40"/>
        <rFont val="Calibri"/>
        <family val="2"/>
      </rPr>
      <t>SSF-025-024</t>
    </r>
    <r>
      <rPr>
        <sz val="12"/>
        <rFont val="Calibri"/>
        <family val="2"/>
      </rPr>
      <t xml:space="preserve">
SSF--026-027-028 (JUNIO)</t>
    </r>
    <r>
      <rPr>
        <sz val="12"/>
        <color indexed="17"/>
        <rFont val="Calibri"/>
        <family val="2"/>
      </rPr>
      <t xml:space="preserve">
</t>
    </r>
  </si>
  <si>
    <r>
      <t xml:space="preserve">(879.306.974)
(32.232.315)
</t>
    </r>
    <r>
      <rPr>
        <sz val="12"/>
        <color indexed="40"/>
        <rFont val="Calibri"/>
        <family val="2"/>
      </rPr>
      <t xml:space="preserve">(70.200.000)
</t>
    </r>
    <r>
      <rPr>
        <sz val="12"/>
        <rFont val="Calibri"/>
        <family val="2"/>
      </rPr>
      <t xml:space="preserve">(76.440.000)
</t>
    </r>
    <r>
      <rPr>
        <sz val="12"/>
        <color indexed="17"/>
        <rFont val="Calibri"/>
        <family val="2"/>
      </rPr>
      <t xml:space="preserve">
</t>
    </r>
  </si>
  <si>
    <r>
      <t xml:space="preserve">SAP-033-031-032  (JUNIO)
</t>
    </r>
    <r>
      <rPr>
        <sz val="12"/>
        <color indexed="17"/>
        <rFont val="Calibri"/>
        <family val="2"/>
      </rPr>
      <t xml:space="preserve">SAP-014-013-019-018-025-022-024-007-015-012-029-003-017-002-016-027-028-004-030 - SSFAP-021-023-010-SAP-006-
5 LINEAS SIN CODIGO PS (PRESTACION DE SERVICIOS)
</t>
    </r>
    <r>
      <rPr>
        <sz val="12"/>
        <rFont val="Calibri"/>
        <family val="2"/>
      </rPr>
      <t>SAP-005-035- (JUNIO-JULIO)</t>
    </r>
    <r>
      <rPr>
        <sz val="12"/>
        <color indexed="40"/>
        <rFont val="Calibri"/>
        <family val="2"/>
      </rPr>
      <t xml:space="preserve">
</t>
    </r>
  </si>
  <si>
    <r>
      <t xml:space="preserve">(72.804.000)
</t>
    </r>
    <r>
      <rPr>
        <sz val="12"/>
        <color indexed="17"/>
        <rFont val="Calibri"/>
        <family val="2"/>
      </rPr>
      <t xml:space="preserve">(1.410.786.998)
</t>
    </r>
    <r>
      <rPr>
        <sz val="12"/>
        <rFont val="Calibri"/>
        <family val="2"/>
      </rPr>
      <t xml:space="preserve">
(105.500.000)
</t>
    </r>
  </si>
  <si>
    <r>
      <t xml:space="preserve">TIC-0005 (CONECTIVIDAD)
</t>
    </r>
    <r>
      <rPr>
        <sz val="12"/>
        <rFont val="Calibri"/>
        <family val="2"/>
      </rPr>
      <t>TIC-0009-0011-0015 (LICENCIAS)(JUNIO)
TIC-0006-0007-0010-0012-0014 (LICENCIAS)(ENTRE AGOSTO Y NOVIEMBRE)</t>
    </r>
  </si>
  <si>
    <r>
      <rPr>
        <b/>
        <sz val="10"/>
        <color indexed="17"/>
        <rFont val="Calibri"/>
        <family val="2"/>
      </rPr>
      <t>SA-OPS-001- 002-178</t>
    </r>
    <r>
      <rPr>
        <b/>
        <sz val="10"/>
        <color indexed="30"/>
        <rFont val="Calibri"/>
        <family val="2"/>
      </rPr>
      <t xml:space="preserve">
SA-033-SA-OPS-005-006-007-008 (JULIO-AGOSTO)
</t>
    </r>
    <r>
      <rPr>
        <sz val="10"/>
        <rFont val="Calibri"/>
        <family val="2"/>
      </rPr>
      <t>SA-OPS-007- (JULIO-AGOSTO)</t>
    </r>
  </si>
  <si>
    <r>
      <t xml:space="preserve">$ 622.655.484
</t>
    </r>
    <r>
      <rPr>
        <b/>
        <sz val="10"/>
        <color indexed="30"/>
        <rFont val="Calibri"/>
        <family val="2"/>
      </rPr>
      <t>$ 911.352.396</t>
    </r>
    <r>
      <rPr>
        <b/>
        <sz val="10"/>
        <color indexed="17"/>
        <rFont val="Calibri"/>
        <family val="2"/>
      </rPr>
      <t xml:space="preserve">
</t>
    </r>
    <r>
      <rPr>
        <b/>
        <sz val="10"/>
        <rFont val="Calibri"/>
        <family val="2"/>
      </rPr>
      <t>(458.647.604)</t>
    </r>
  </si>
  <si>
    <t xml:space="preserve">SA-OPS-050-052-053-054-055-056-057-058-059 (MARZO -MAYO)
</t>
  </si>
  <si>
    <t xml:space="preserve">(495.000.000)
</t>
  </si>
  <si>
    <r>
      <rPr>
        <b/>
        <sz val="10"/>
        <color indexed="17"/>
        <rFont val="Calibri"/>
        <family val="2"/>
      </rPr>
      <t xml:space="preserve">7 líneas de prestación de servicios sin código
SA-OPS-117-125
</t>
    </r>
    <r>
      <rPr>
        <b/>
        <sz val="10"/>
        <color indexed="10"/>
        <rFont val="Calibri"/>
        <family val="2"/>
      </rPr>
      <t xml:space="preserve">
2 lineas sin codigo PS (FEBRERO) 
SA-OPS-124-142-175-185 (MARZO-ABRIL)
</t>
    </r>
    <r>
      <rPr>
        <b/>
        <sz val="10"/>
        <color indexed="40"/>
        <rFont val="Calibri"/>
        <family val="2"/>
      </rPr>
      <t xml:space="preserve">SA-OPS-150 </t>
    </r>
    <r>
      <rPr>
        <sz val="10"/>
        <color indexed="10"/>
        <rFont val="Calibri"/>
        <family val="2"/>
      </rPr>
      <t xml:space="preserve">
</t>
    </r>
  </si>
  <si>
    <r>
      <t xml:space="preserve">$454.300.000
$ 129.800.000
</t>
    </r>
    <r>
      <rPr>
        <b/>
        <sz val="10"/>
        <color indexed="10"/>
        <rFont val="Calibri"/>
        <family val="2"/>
      </rPr>
      <t xml:space="preserve">
(129.800.000)
(144.500.000)
</t>
    </r>
    <r>
      <rPr>
        <b/>
        <sz val="10"/>
        <color indexed="40"/>
        <rFont val="Calibri"/>
        <family val="2"/>
      </rPr>
      <t>(50.150.000)</t>
    </r>
    <r>
      <rPr>
        <b/>
        <sz val="10"/>
        <color indexed="10"/>
        <rFont val="Calibri"/>
        <family val="2"/>
      </rPr>
      <t xml:space="preserve">
</t>
    </r>
  </si>
  <si>
    <r>
      <t xml:space="preserve">SA-069 (OCTUBRE) (PLANTA DE COMPOSTAJE Y LOMBRICULTURA)
</t>
    </r>
    <r>
      <rPr>
        <sz val="12"/>
        <color indexed="40"/>
        <rFont val="Calibri"/>
        <family val="2"/>
      </rPr>
      <t xml:space="preserve">SA-061 (JULIO) CONVENIO DESARROLLO PROCESOS DE APROVECHAMIENTO </t>
    </r>
  </si>
  <si>
    <r>
      <t xml:space="preserve">(3.720.000.000)
</t>
    </r>
    <r>
      <rPr>
        <sz val="12"/>
        <color indexed="40"/>
        <rFont val="Calibri"/>
        <family val="2"/>
      </rPr>
      <t>(2.500.000.000)</t>
    </r>
  </si>
  <si>
    <r>
      <t xml:space="preserve">SA-OPS-051 (ABRIL) 
</t>
    </r>
    <r>
      <rPr>
        <sz val="12"/>
        <color indexed="40"/>
        <rFont val="Calibri"/>
        <family val="2"/>
      </rPr>
      <t xml:space="preserve">SA-OPS-049 (JUNIO)
</t>
    </r>
  </si>
  <si>
    <r>
      <t xml:space="preserve">(55.000.000)
</t>
    </r>
    <r>
      <rPr>
        <sz val="12"/>
        <color indexed="40"/>
        <rFont val="Calibri"/>
        <family val="2"/>
      </rPr>
      <t>(566.352.000)</t>
    </r>
  </si>
  <si>
    <r>
      <t xml:space="preserve">SA-OPS-167 (PROGRAMA DE INCENTIVOS)
</t>
    </r>
    <r>
      <rPr>
        <sz val="12"/>
        <rFont val="Calibri"/>
        <family val="2"/>
      </rPr>
      <t>SA-202 (JULIO)</t>
    </r>
  </si>
  <si>
    <r>
      <t xml:space="preserve">(301.405.000)
</t>
    </r>
    <r>
      <rPr>
        <sz val="12"/>
        <rFont val="Calibri"/>
        <family val="2"/>
      </rPr>
      <t>(80.782.875)</t>
    </r>
  </si>
  <si>
    <r>
      <t xml:space="preserve">1 linea sin codigo para obras de restauracion predio Yerbabuena 
</t>
    </r>
    <r>
      <rPr>
        <sz val="12"/>
        <color indexed="10"/>
        <rFont val="Calibri"/>
        <family val="2"/>
      </rPr>
      <t>SDF-66 (OBRAS PREDIO YERBABUENA FASE II) (MAYO)</t>
    </r>
    <r>
      <rPr>
        <sz val="12"/>
        <color indexed="17"/>
        <rFont val="Calibri"/>
        <family val="2"/>
      </rPr>
      <t xml:space="preserve">
</t>
    </r>
    <r>
      <rPr>
        <sz val="12"/>
        <rFont val="Calibri"/>
        <family val="2"/>
      </rPr>
      <t>SDF-92 OBRA CASA LOS MANZANOS (JULIO)</t>
    </r>
  </si>
  <si>
    <r>
      <t xml:space="preserve">(563.008.205)
</t>
    </r>
    <r>
      <rPr>
        <sz val="12"/>
        <color indexed="10"/>
        <rFont val="Calibri"/>
        <family val="2"/>
      </rPr>
      <t>(936.991.795)</t>
    </r>
    <r>
      <rPr>
        <sz val="12"/>
        <color indexed="17"/>
        <rFont val="Calibri"/>
        <family val="2"/>
      </rPr>
      <t xml:space="preserve">
</t>
    </r>
    <r>
      <rPr>
        <sz val="12"/>
        <rFont val="Calibri"/>
        <family val="2"/>
      </rPr>
      <t>(59.000.000)</t>
    </r>
  </si>
  <si>
    <r>
      <t>SDF-10-19-30-14-28-05-06-01-37-21-50-08-39-43-60-52-02-27-22-44-45-65-51B-46-15-49-86-</t>
    </r>
    <r>
      <rPr>
        <sz val="12"/>
        <color indexed="50"/>
        <rFont val="Calibri"/>
        <family val="2"/>
      </rPr>
      <t>64B</t>
    </r>
    <r>
      <rPr>
        <sz val="12"/>
        <color indexed="17"/>
        <rFont val="Calibri"/>
        <family val="2"/>
      </rPr>
      <t xml:space="preserve">
</t>
    </r>
    <r>
      <rPr>
        <sz val="12"/>
        <color indexed="40"/>
        <rFont val="Calibri"/>
        <family val="2"/>
      </rPr>
      <t xml:space="preserve">SDF-54B-
</t>
    </r>
    <r>
      <rPr>
        <sz val="12"/>
        <color indexed="10"/>
        <rFont val="Calibri"/>
        <family val="2"/>
      </rPr>
      <t xml:space="preserve">SDF-53B 55B-56B-57B-58B-59B-41-61B-62B-63B (MARZO)-SDF-78(CONCESION RSDJ) (MAYO) $2.000.000.000
</t>
    </r>
    <r>
      <rPr>
        <sz val="12"/>
        <rFont val="Calibri"/>
        <family val="2"/>
      </rPr>
      <t>SDF-75</t>
    </r>
    <r>
      <rPr>
        <sz val="12"/>
        <color indexed="17"/>
        <rFont val="Calibri"/>
        <family val="2"/>
      </rPr>
      <t xml:space="preserve">
</t>
    </r>
  </si>
  <si>
    <r>
      <t xml:space="preserve">(3.783.979.752)
</t>
    </r>
    <r>
      <rPr>
        <sz val="12"/>
        <color indexed="40"/>
        <rFont val="Calibri"/>
        <family val="2"/>
      </rPr>
      <t>(90.000.000)</t>
    </r>
    <r>
      <rPr>
        <sz val="12"/>
        <color indexed="17"/>
        <rFont val="Calibri"/>
        <family val="2"/>
      </rPr>
      <t xml:space="preserve">
</t>
    </r>
    <r>
      <rPr>
        <sz val="12"/>
        <color indexed="10"/>
        <rFont val="Calibri"/>
        <family val="2"/>
      </rPr>
      <t>(2.487.926.000)</t>
    </r>
    <r>
      <rPr>
        <sz val="12"/>
        <color indexed="17"/>
        <rFont val="Calibri"/>
        <family val="2"/>
      </rPr>
      <t xml:space="preserve">
</t>
    </r>
    <r>
      <rPr>
        <sz val="12"/>
        <rFont val="Calibri"/>
        <family val="2"/>
      </rPr>
      <t>(15.000.000) (JUNIO)</t>
    </r>
  </si>
  <si>
    <r>
      <t xml:space="preserve">SDF-72 (EQUIPOS DE TOPOGRAFIA) 
</t>
    </r>
    <r>
      <rPr>
        <sz val="12"/>
        <rFont val="Gisha"/>
        <family val="2"/>
      </rPr>
      <t>SDF-74-81(MONITOREO INDICADORES Y VARIABLES DE LA SDF-MINICARGADOR CENTRO DE COMPOSTAJE) (500.000.000)(JULIO)</t>
    </r>
  </si>
  <si>
    <r>
      <t xml:space="preserve">Tres líneas de prestación de servicios sin código
RBL-0010- 0016-0004-0006-0017-0059-0032-0019-0033-0005-0007-0042-0001-0009-0012-0057-0045-0034-0035-0036-0015-0038-0046-0049-0054-0011-0037-0008-0051-0053-0055-0044-0047-0027-0050-0056-0048-0013-0025-0039-0040-0041-0026-0029-0020-0021-0050-0061-0062-0074-0076-0063-0064-0065-0066-0070-0067-0078-0079
</t>
    </r>
    <r>
      <rPr>
        <b/>
        <sz val="10"/>
        <color indexed="40"/>
        <rFont val="Calibri"/>
        <family val="2"/>
      </rPr>
      <t xml:space="preserve">RBL-0043-0077-086-093-094-095
</t>
    </r>
    <r>
      <rPr>
        <b/>
        <sz val="10"/>
        <color indexed="10"/>
        <rFont val="Calibri"/>
        <family val="2"/>
      </rPr>
      <t xml:space="preserve">RBL-0069-0071-0073-0075-0068-0072-0014-0052-0058-0022-0023-0024-0080-0081-0082
</t>
    </r>
    <r>
      <rPr>
        <b/>
        <sz val="10"/>
        <rFont val="Calibri"/>
        <family val="2"/>
      </rPr>
      <t xml:space="preserve">RBL-0095-0096-0097-0098 (JULIO)
</t>
    </r>
    <r>
      <rPr>
        <b/>
        <sz val="10"/>
        <color indexed="17"/>
        <rFont val="Calibri"/>
        <family val="2"/>
      </rPr>
      <t xml:space="preserve">
</t>
    </r>
  </si>
  <si>
    <r>
      <t xml:space="preserve">$ 118.930.268
$ 3.362.821.384
</t>
    </r>
    <r>
      <rPr>
        <b/>
        <sz val="10"/>
        <color indexed="40"/>
        <rFont val="Calibri"/>
        <family val="2"/>
      </rPr>
      <t>$199.975.560</t>
    </r>
    <r>
      <rPr>
        <b/>
        <sz val="10"/>
        <color indexed="17"/>
        <rFont val="Calibri"/>
        <family val="2"/>
      </rPr>
      <t xml:space="preserve">
</t>
    </r>
    <r>
      <rPr>
        <b/>
        <sz val="10"/>
        <color indexed="10"/>
        <rFont val="Calibri"/>
        <family val="2"/>
      </rPr>
      <t>$986.682.789</t>
    </r>
    <r>
      <rPr>
        <b/>
        <sz val="10"/>
        <color indexed="17"/>
        <rFont val="Calibri"/>
        <family val="2"/>
      </rPr>
      <t xml:space="preserve">
</t>
    </r>
    <r>
      <rPr>
        <b/>
        <sz val="10"/>
        <rFont val="Calibri"/>
        <family val="2"/>
      </rPr>
      <t>$146.425.000</t>
    </r>
  </si>
  <si>
    <t>UNIDAD ADMINISTRATIVA ESPECIAL CUERPO OFICIAL DE BOMBEROS</t>
  </si>
  <si>
    <t>Versión No. 32</t>
  </si>
  <si>
    <t>Fecha de Modificación  23/12/2022</t>
  </si>
  <si>
    <t>Rubro</t>
  </si>
  <si>
    <t>O23011605560000007637 - Fortalecimiento de la
infraestructura de
tecnología
informática y de
comunicaciones de la
UAECOB</t>
  </si>
  <si>
    <t>Dirección-Comunicaciones y Prensa</t>
  </si>
  <si>
    <t>CCE-02 Licitación pública</t>
  </si>
  <si>
    <t>O23011605560000007655 - Fortalecimiento de la Planeación y Gestión de la UAECOB Bogotá</t>
  </si>
  <si>
    <t>Dirección</t>
  </si>
  <si>
    <t>CCE-17 Licitación pública (Obra pública)</t>
  </si>
  <si>
    <t>ID</t>
  </si>
  <si>
    <t>Código y Nombre del Rubro</t>
  </si>
  <si>
    <t>Dependencia</t>
  </si>
  <si>
    <t>Código UNSPSC (cada código separado por ;)</t>
  </si>
  <si>
    <t>Descripción- Objeto</t>
  </si>
  <si>
    <t>Fecha estimada de inicio de proceso de selección (día/mes/año)</t>
  </si>
  <si>
    <t>Fecha estimada de presentación de ofertas (día/mes/año)</t>
  </si>
  <si>
    <t>Duración estimada del contrato  (Meses)</t>
  </si>
  <si>
    <t xml:space="preserve">Modalidad de selección </t>
  </si>
  <si>
    <t>Fuente de los recursos</t>
  </si>
  <si>
    <t>Concepto del Gasto -POSPRE(SDH)</t>
  </si>
  <si>
    <t>Valor total estimado</t>
  </si>
  <si>
    <t>Meta Proyecto de Inversión</t>
  </si>
  <si>
    <t xml:space="preserve">Meta Producto/Meta producto </t>
  </si>
  <si>
    <t xml:space="preserve">SI SECOP/NO SECOP </t>
  </si>
  <si>
    <t>Columna2</t>
  </si>
  <si>
    <t>CDPS A 31 JULIO 2022</t>
  </si>
  <si>
    <t>CDP</t>
  </si>
  <si>
    <t>Columna1</t>
  </si>
  <si>
    <t>RP</t>
  </si>
  <si>
    <t>GIROS</t>
  </si>
  <si>
    <t>viabilidad</t>
  </si>
  <si>
    <t>O23011602300000007658 - FORTALECIMIENTO DEL CUERPO OFICIAL DE BOMBEROS BOGOTÁ</t>
  </si>
  <si>
    <t>Oficina Asesora de Planeación</t>
  </si>
  <si>
    <t>CCE-20 Concurso de méritos abierto</t>
  </si>
  <si>
    <t>Prestar servicios profesionales en el Proceso de Tecnologías de la Información y de las comunicaciones, para liderar las actividades necesarias que fortalezcan la infraestructura tecnológica de la UAECOB y el cumplimiento del Plan Estrategico de Tecnologías de la Información y las Comunicaciones y las políticas de gobierno y seguridad digital. -TIC-</t>
  </si>
  <si>
    <t xml:space="preserve">CCE-16 Contratación directa </t>
  </si>
  <si>
    <t>1-100-F001 VA-Recursos distrito</t>
  </si>
  <si>
    <t>O232020200883990_Otros servicios profesionales, técnicos y empresariales n.c.p.</t>
  </si>
  <si>
    <t>2-Implementar 100 % de la arquitectura TI conforme a las necesidades de la UAECOB</t>
  </si>
  <si>
    <t>517-Implementar al 100% una estrategia de fortalecimiento de los sistemas de información para optimizar la gestión del Cuerpo Oficial de Bomberos</t>
  </si>
  <si>
    <t xml:space="preserve">SI SECOP </t>
  </si>
  <si>
    <t>Oficina Jurídica</t>
  </si>
  <si>
    <t xml:space="preserve">CCE-05 Contratación directa (con ofertas) </t>
  </si>
  <si>
    <t>Prestar servicios profesionales para formular, estructurar, administrar y gestionar los proyectos de TIC de la UAECOB, que fortalezcan la ejecución y cumplimiento de la politica de Gobierno Digital. -TIC-</t>
  </si>
  <si>
    <t>Oficina de Control Interno</t>
  </si>
  <si>
    <t>CCE-06 Selección abreviada menor cuantía</t>
  </si>
  <si>
    <t>Prestar Servicios Profesionales para coordinar y gestionar los servicios de los sistemas de información con los que cuenta la  UAECOB -TIC-</t>
  </si>
  <si>
    <t>3-Habilitar 3 servicios ciudadanos digitales básicos en la UAECOB</t>
  </si>
  <si>
    <t>Subdirección de Gestión Corporativa</t>
  </si>
  <si>
    <t>CCE-18 Selección Abreviada Menor Cuantia Sin Manifestacion Interes</t>
  </si>
  <si>
    <t>Prestar servicios profesionales en la administración, actualización, desarrollo y mantenimiento del Sistema Integrado de Administración de Personal - SIAP. -TIC-</t>
  </si>
  <si>
    <t>Subdirección de Gestión del Riesgo</t>
  </si>
  <si>
    <t>CCE-19 Concurso de méritos con precalificación</t>
  </si>
  <si>
    <t>Prestar servicios profesionales para la gestión de proyectos y administración de Bases de Datos garantizando la sostenibilidad de la información en la UAECOB. -TIC-</t>
  </si>
  <si>
    <t>Subdirección de Gestión Humana</t>
  </si>
  <si>
    <t>CCE-07 Selección abreviada subasta inversa</t>
  </si>
  <si>
    <t>Prestar Servicios Profesionales como administrador de los sistemas de información de la UAECOB -TIC-</t>
  </si>
  <si>
    <t>Subdirección Logística</t>
  </si>
  <si>
    <t>CCE-10 Mínima cuantía</t>
  </si>
  <si>
    <t>Prestar Servicios Profesionales para  administrar la infraestructura y gestionar los procesos relacionados con la capacidad, continuidad, disponibilidad, operatividad y seguridad de la  UAECOB -TIC-</t>
  </si>
  <si>
    <t>Subdirección Operativa</t>
  </si>
  <si>
    <t>CCE-11||01 Contratación régimen especial - Selección de comisionista</t>
  </si>
  <si>
    <t>Prestar servicios profesionales como Administrador de las Redes LAN y WAN y gestionar su infraestructura en el edificio comando, estaciones, cades y supercades. -TIC-</t>
  </si>
  <si>
    <t>CCE-11||02 Contratación régimen especial - Enajenación de bienes para intermediarios idóneos</t>
  </si>
  <si>
    <t>Prestar servicios profesionales como Gestor de la Seguridad Informática para administrar y salvaguardar el cumplimiento de los controles tecnológicos, comunicaciones y de seguridad y privacidad de la información en la UAECOB -TIC-</t>
  </si>
  <si>
    <t>1-Implementar 100 %  del modelo de seguridad y privacidad de la información en la UAECOB alineado a la Política de Gobierno Digital.</t>
  </si>
  <si>
    <t>CCE-11||03 Contratación régimen especial - Régimen especial</t>
  </si>
  <si>
    <t>Prestar servicios profesionales para la administración y almacenamiento de los servidores en la UAECOB -TIC-</t>
  </si>
  <si>
    <t>CCE-11||04 Contratación régimen especial - Banco multilateral y organismos multilaterales</t>
  </si>
  <si>
    <t>Prestar Servicios de apoyo a la gestión como técnico en infraestructura tecnológica para la gestión de los servicios tecnológicos de la UAECOB que le sean designados. -TIC-</t>
  </si>
  <si>
    <t>CCE-15||01 Contratación régimen especial (con ofertas)  - Selección de comisionista</t>
  </si>
  <si>
    <t>Prestar Servicios profesionales como adminsitrador de los procesos y actividades derivados de la mesa de ayuda e infraestructura en la UAECOB -TIC-</t>
  </si>
  <si>
    <t>CCE-15||02 Contratación régimen especial (con ofertas)  - Enajenación de bienes para intermediarios idóneos</t>
  </si>
  <si>
    <t>Prestar sus servicios profesionales para el desarrollo del dominio del uso y apropiación de los procesos tecnológicos en la UAECOB  -TIC-</t>
  </si>
  <si>
    <t>CCE-15||03 Contratación régimen especial (con ofertas)  - Régimen especial</t>
  </si>
  <si>
    <t>Prestación de servicios profesionales como Oficial de Seguridad de la Información en la UAECOB -TIC-</t>
  </si>
  <si>
    <t>CCE-15||04 Contratación régimen especial (con ofertas)  - Banco multilateral y organismos multilaterales</t>
  </si>
  <si>
    <t>Prestación de Servicios Profesionales como gestor de la Política de Gobierno Digital y Transformación Digital en la UAECOB -TIC-</t>
  </si>
  <si>
    <t>Prestar los servicios profesionales para apoyar la implementación y control de las políticas de Seguridad  de la Información y Gobierno Digital, así como hacer seguimiento a los Planes Institucionales asociados a TIC . -TIC-</t>
  </si>
  <si>
    <t>CCE-99 Seléccion abreviada - acuerdo marco</t>
  </si>
  <si>
    <t>Prestar los servicios de apoyo a la gestión, para transportar los recursos y personas de la Oficina Asesora de Planeación -TIC-</t>
  </si>
  <si>
    <t>Adecuar seis (6) estaciones de Bomberos</t>
  </si>
  <si>
    <t>Prestar los servicios de apoyo a la gestión en actividades administrativas y de gestión documental en la Oficina Asesora de Planeación. -TIC-</t>
  </si>
  <si>
    <t>Ejecutar el 100% del programa de mantenimiento de vehículos y equipo menor de la UAECOB</t>
  </si>
  <si>
    <t>Prestar los servicios profesionales para el desarrollo de los procesos contractuales y administrativos de carácter jurídico que se desarrollen en la Oficina Asesora de Planeación. -TIC-</t>
  </si>
  <si>
    <t>Elaborar 1 plan de preparativos y continuidad del servicio para la UAECOB ante la eventual ocurrencia de un desastre en el Distrito Capital</t>
  </si>
  <si>
    <t>Prestar los servicios profesionales administrativos y financieros en el apoyo a las actividades precontractuales, contractuales y poscontractuales relacionados con los procesos de la OAP -TIC-</t>
  </si>
  <si>
    <t>Implementar 1 plan de ajuste y sostenibilidad del MIPG en la UAECOB</t>
  </si>
  <si>
    <t>43231512; 81112501</t>
  </si>
  <si>
    <t>Contratar la adquisición, renovación y  suscripciones de licencia Microsoft para la UAECOB. - TIC</t>
  </si>
  <si>
    <t>O232020200883159_Otros servicios de alojamiento y suministro de infraestructura en tecnología de la información (TI)</t>
  </si>
  <si>
    <t>Implementar 100% del programa de arquitectura TI conforme a las necesidades de la UAECOB</t>
  </si>
  <si>
    <t>Contratar el alquiler de equipos tecnológicos, periféricos y servicios complementarios para la UAECOB. - TIC</t>
  </si>
  <si>
    <t>Implementar 100% del programa de seguridad y privacidad de la información en la UAECOB alineado a la Política de Gobierno Digital</t>
  </si>
  <si>
    <t>72151600;43223300;39131700;39121400</t>
  </si>
  <si>
    <t>Contratar el servicio de Mantenimiento preventivo y correctivo del cableado estructurado de voz, datos y eléctrico con suministro de repuestos para todas las sedes de la U.A.E. Cuerpo Oficial de Bomberos de Bogotá.- TIC</t>
  </si>
  <si>
    <t>O232020200883132_Servicios de soporte en tecnologías de la información (TI)</t>
  </si>
  <si>
    <t>Habilitar 3 servicios ciudadanos digitales básicos en la UAECOBB</t>
  </si>
  <si>
    <t>Contratar el servicio de actualización y soporte de licenciamiento ArcGis para la UAECOB - TIC</t>
  </si>
  <si>
    <t>Implementar 100 % del plan de gestión de riesgo para los procesos de conocimiento y reducción en incendios, incidentes con materiales peligrosos y escenarios de riesgos</t>
  </si>
  <si>
    <t>81112204;81112501</t>
  </si>
  <si>
    <t>Contratar la renovación , servicio de actualización y soporte de licenciamiento Oracle para Base de Datos,  y Web Logic para la UAECOB -TIC-</t>
  </si>
  <si>
    <t>Implementar 100% de un programa de mantenimiento a las estaciones de bomberos de Bogotá</t>
  </si>
  <si>
    <t>Contratar el servicio de comunicación satelital para la UAECOB - BGAN - TIC</t>
  </si>
  <si>
    <t>O232020200884190_Otros servicios de telecomunicaciones</t>
  </si>
  <si>
    <t>Implementar 100% de un programa de renovación de equipo menor, herramientas, accesorios y elementos de protección personal en la UAECOB</t>
  </si>
  <si>
    <t>43233000;81112200</t>
  </si>
  <si>
    <t>Adición y prorroga del  Contrato No. 410 de 2021 cuyo objeto es "Contratar el servicio de soporte y mantenimiento del sistema de gestión documental para la UAECOB". - TIC</t>
  </si>
  <si>
    <t>O232020200668014_Servicios de gestión documental</t>
  </si>
  <si>
    <t xml:space="preserve">NO SECOP </t>
  </si>
  <si>
    <t>Implementar 100% de un programa de renovación de vehículos de la Unidad Administrativa Cuerpo Oficial de Bomberos de Bogotá</t>
  </si>
  <si>
    <t>43233000; 81112200</t>
  </si>
  <si>
    <t>Contratar el servicio de soporte y mantenimiento del sistema de gestion documental  para la UAECOB - TIC</t>
  </si>
  <si>
    <t>43000000;43220000;43222500; 43230000;43233200</t>
  </si>
  <si>
    <t>Contratar la renovación del licenciamiento WAF para la UAECOB- TIC</t>
  </si>
  <si>
    <t xml:space="preserve">72151607;72103302 </t>
  </si>
  <si>
    <t>Adición al Contrato 637 de 2021 cuyo objeto es "Contratar el servicio de mantenimiento correctivo de los radios portátiles y móviles marca motorola propiedad de la UAECOB"- TIC</t>
  </si>
  <si>
    <t>NO SECOP</t>
  </si>
  <si>
    <t>Poner 3 espacios nuevos en funcionamiento para la gestión integral de riesgos, incendios, incidentes con materiales peligrosos y rescates en todas sus modalidades</t>
  </si>
  <si>
    <t>Contratar el servicio de soporte del software Veeam Backup para la U.A.E. Cuerpo oficial de Bomberos de Bogotá - TIC</t>
  </si>
  <si>
    <t>81112200;
81112201</t>
  </si>
  <si>
    <t>Contratar el servicio de soporte del sistema misional FUOCO para la UAECOB de acuerdo a lo contemplado en el anexo técnico.-TIC-</t>
  </si>
  <si>
    <t>222-Implementar al 100% un (1) programa de capacitación, formación y entrenamiento al personal en el marco de la Academia Bomberil de Bogotá</t>
  </si>
  <si>
    <t>2-Implementar 100% del programa de capacitación, formación y entrenamiento al personal uniformado de la Unidad Administrativa Cuerpo Oficial de Bomberos de Bogotá</t>
  </si>
  <si>
    <t>43232300;
43232500;
43233700;
86141500;
81111800;
81112500;
86141700;
86111500;</t>
  </si>
  <si>
    <t>Contratar un servicio de acceso a la herramienta LMS E-learning, que permita el desarrollo de las capacitaciones virtuales programadas en la UAECOB. - TIC</t>
  </si>
  <si>
    <t>226-Reforzar, Adecuar y Ampliar  6 estaciones de Bomberos</t>
  </si>
  <si>
    <t>7-Implementar 100% de un programa de renovación de vehículos de la Unidad Administrativa Cuerpo Oficial de Bomberos de Bogotá</t>
  </si>
  <si>
    <t>Contratar el servicio de mantenimiento preventivo, implementación de un sistema tarifador y soporte de la plataforma tecnológica de voz y videoconferencia AVAYA propiedad de la U.A.E. Cuerpo Oficial de Bomberos de Bogotá.</t>
  </si>
  <si>
    <t>516-Gestionar el 100% de un (1) plan de adecuación y sostenibilidad de los sistemas de gestión de la Unidad Administrativa Especial Cuerpo Oficial de Bomberos</t>
  </si>
  <si>
    <t>8-Implementar 100% de un programa de suministros y consumibles para la atención de emergencias en la UAECOB</t>
  </si>
  <si>
    <t>Contratar la adquisición de los elementos de seguridad Electrónica para la UAECOB - TIC</t>
  </si>
  <si>
    <t>1-100-F039 VA-Crédito</t>
  </si>
  <si>
    <t>9-Ejecutar el 100% del programa de mantenimiento de vehículos y equipo menor de la UAECOB</t>
  </si>
  <si>
    <t>45111700
45111500
45111900
52161500
39111500
72150000
72151600
72151603
30141601
72152100
72141115
81161700</t>
  </si>
  <si>
    <t>Contratar la adecuación, instalación y puesta en funcionamiento del sistema acústico, audio y video del auditorio ubicado en las instalaciones del edificio comando de la UAE Cuerpo Oficial de Bomberos Bogotá - TIC</t>
  </si>
  <si>
    <t>3-Poner 3 espacios nuevos en funcionamiento para la gestión integral de riesgos, incendios, incidentes con materiales peligrosos y rescates en todas sus modalidades</t>
  </si>
  <si>
    <t>PASIVOS EXIGIBLES</t>
  </si>
  <si>
    <t>4-Adecuar seis (6) estaciones de Bomberos</t>
  </si>
  <si>
    <t>80111600;</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</si>
  <si>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</si>
  <si>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O232020200882199_Otros servicios jurídicos n.c.p.</t>
  </si>
  <si>
    <t>1-Implementar 1 plan de ajuste y sostenibilidad del MIPG en la UAECOB</t>
  </si>
  <si>
    <t>2-Elaborar 1 plan de preparativos y continuidad del servicio para la UAECOB ante la eventual ocurrencia de un desastre en el Distrito Capital</t>
  </si>
  <si>
    <t>Prestación de servicios profesionales, en temas jurídicos de la gestión administrativa a cargo de la Subdirección de Gestión Corporativa.-SGC</t>
  </si>
  <si>
    <t>Prestación de servicios profesionales en el acompañamiento y asistencia al área de gestión administrativa de la Subdirección de Gestión Corporativa, así como en el apoyo a la supervisión de los contratos que le sean asignados.-SGC</t>
  </si>
  <si>
    <t>Prestación de Servicios Profesionales para la formulación de estrategias, indicadores y acciones requeridas por la Subdirección de Gestión Corporativa en relación con los proyectos administrativos y misionales de la UAECOB.-SGC</t>
  </si>
  <si>
    <t>Prestación de servicios de apoyo a la gestión en el seguimiento y control de los trámites, procesos de la  Subdirección de Gestión Corporativa.-SGC</t>
  </si>
  <si>
    <t>Prestación de servicios profesionales en los aspectos jurídicos derivados de la ejecución operativa asociada a los procesos administrativos que se encuentran en cabeza de la Subdirección de Gestión Corporativa - SGC.</t>
  </si>
  <si>
    <t>Prestación de servicios profesionales  a la Subdirección de Gestión Corporativa para apoyar las actividades jurídicas requeridas por esta dependencia-SGC</t>
  </si>
  <si>
    <t>Prestar los servicios de tipo administrativo para cuadyuvar en las actividades propias de la Subdirección- SGC</t>
  </si>
  <si>
    <t>Prestación de servicios profesionales en el acompañamiento de las actividades administrativas y operativas  de la  Subdirección de Gestión Corporativa,así como en el apoyo a la supervisión de los contratos que le sean asignados-SGC</t>
  </si>
  <si>
    <t>Prestación de servicios de apoyo a la gestión para desarrollar actividades de tipo administrativo relacionadas con las funciones propias de la Subdirección de Gestión Corporativa-SGC</t>
  </si>
  <si>
    <t xml:space="preserve">Prestar servicios profesionales para la actualización en el aplicativo PCT de los bienes devolutivos de la entidad SGC.
</t>
  </si>
  <si>
    <t>Prestar servicios profesionales como enlace con la oficina de comunicaciones para la correcta divulgación de las actividades desarrolladas por la Subdirección de Gestión Corporativa-SGC</t>
  </si>
  <si>
    <t>Prestación de servicios de apoyo a la gestión en la Subdirección de Gestión Corporativa, en las actividades asociadas al proceso y procedimientos del almacén de la Entidad.-SGC</t>
  </si>
  <si>
    <t>Prestación de servicios de apoyo a la gestión en la Subdirección de Gestión Corporativa, en el almacén de la Entidad-SGC</t>
  </si>
  <si>
    <t>Prestación de servicios profesionales en la implementación,consolidación, seguimiento y reporte de los lineamientos ambientales en cada una de las sedes de la UAE CUERPO OFICIAL DE BOMBEROS BOGOTÁ-SGC</t>
  </si>
  <si>
    <t>Prestación de servicios profesionales en la implementación, consolidación, seguimiento y reporte de los lineamientos ambientales en cada una de las sedes de la entidad, enfatizado en los equipos de trabajo de la Subdirección de Gestión Corporativa-SGC</t>
  </si>
  <si>
    <t xml:space="preserve">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t>
  </si>
  <si>
    <t>24121807
47121709
55121704
55121705</t>
  </si>
  <si>
    <t>Suministro de contenedores y bidones con su respectiva señalización, los cuáles permitan garantizar la segregación de residuos no aprovechables y peligrosos generados por las Estaciones y Edificio Comando de la UAE Cuerpo Oficial de Bomberos de Bogotá en cumplimiento de la normatividad ambiental vigente-SGC</t>
  </si>
  <si>
    <t>O2320201003063694012_Recipientes de material plástico-canecas para la basura</t>
  </si>
  <si>
    <t>70111500;
76101500;
72102100</t>
  </si>
  <si>
    <t>Adición al contrato No.370 de 2021 con objeto "Contratar el servicio de saneamiento ambiental y el servicio de poda y jardinería para las áreas verdes en las 18 sedes de la UAECOB-SGC.</t>
  </si>
  <si>
    <t>Contratar el servicio de saneamiento ambiental  y el servicio de poda y jardinería para las áreas verdes en las 18 sedes de la UAECOB-SGC</t>
  </si>
  <si>
    <t>Prestar servicios a la Subdirección de Gestión Corporativa para acompañar profesionalmente en las actividades desarrolladas desde la función asignada a esta dependencia para el ejercicio de los temas disciplinarios de la entidad-SGC</t>
  </si>
  <si>
    <t>Prestación de servicios profesionales jurídicos para apoyar la gestión de los procesos disciplinarios que se adelanten en la UAECOB y que se encuentran a cargo de la Subdirección de Gestión Corporativa – SGC</t>
  </si>
  <si>
    <t>Prestación de servicios de apoyo a la gestión a la Subdirección de Gestión Corporativa para el cumplimiento de las funciones asignadas a esta dependencia, especialmente las tareas de tipo administrativo relacionadas con asuntos disciplinarios.-SGC</t>
  </si>
  <si>
    <t>Prestación de servicios de apoyo a la gestión documental de la Subdirección de Gestión Corporativa de la Unidad.-SGC</t>
  </si>
  <si>
    <t xml:space="preserve"> Prestación de servicios de apoyo a la gestión documental de la Subdirección de Gestión Corporativa de la Unidad-SGC</t>
  </si>
  <si>
    <t>Prestación de servicios profesionales en el acompañamiento y asistencia al proceso de gestión documental de la UAECOB, así como en el apoyo a la supervisión de los contratos que le sean asignados.-SGC</t>
  </si>
  <si>
    <t>Prestación de servicios profesionales, para liderar el proceso de  la gestión documental de la UAECOB.-SGC</t>
  </si>
  <si>
    <t>Prestación de servicios de apoyo a la gestión documental de la Subdirección de Gestión Corporativa de la Unidad-SGC</t>
  </si>
  <si>
    <t>Prestación de Servicios Profesionales para la formulación, seguimiento y ejecución de procesos  presupuestales y financieros a cargo de la Subdirección de Gestión Corporativa -SGC.</t>
  </si>
  <si>
    <t>Prestación de servicios profesionales al área Financiera de la Subdirección de Gestión Corporativa. -SGC.</t>
  </si>
  <si>
    <t xml:space="preserve">Prestación de servicios profesionales para la formulación, seguimiento, ejecución de los procesos contables y gestión de pagos que se desarrollan en el área Financiera de la UAE Cuerpo Oficial de Bomberos asignados.-SGC      
</t>
  </si>
  <si>
    <t>Prestación de servicios de apoyo a la gestión del área Financiera de la Subdirección de Gestión Corporativa.-SGC</t>
  </si>
  <si>
    <t>Prestación de servicios profesionales en la subdirección de gestión corporativa adelantando los procesos y procedimientos requeridos para los pagos y la emisión de los estados de cuenta de las obligaciones adquiridas por la unidad.-SGC</t>
  </si>
  <si>
    <t>Prestar servicios profesionales para desarrollar e implementar sistemas de información, brindar soporte, mantenimiento y generar interoperabilidad con BOGDATA,  en la Subdirección de Gestión Corporativa -SGC.</t>
  </si>
  <si>
    <t>Prestación de servicios de apoyo a la gestión del proceso de inventarios de la Subdirección de Gestión Corporativa.-SGC</t>
  </si>
  <si>
    <t>Prestación de servicios profesionales para apoyar a la Subdirección de Gestión Corporativa en lo relacionado con los procesos de inventarios-SGC.</t>
  </si>
  <si>
    <t>Prestación de servicios de apoyo a la gestion en la Subdirección de Gestión Corporativa en lo relacionado con los procesos de inventarios.-SGC</t>
  </si>
  <si>
    <t>Prestar servicios profesionales en la Subdirección de Gestión Corporativa en el marco de las actividades administrativas de la Dependencia.-SGC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</si>
  <si>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</si>
  <si>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</si>
  <si>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Prestación de servicios profesionales en la Subdirección de Gestión Corporativa adelantando las actividades necesarias para la ejecución del programa y los procesos de seguros de la Entidad-SGC</t>
  </si>
  <si>
    <t>Prestación de servicios de apoyo a la gestión de seguros de la Subdirección de Gestión Corporativa. –SGC.</t>
  </si>
  <si>
    <t>Prestación de servicios profesionales en la Subdirección de Gestión Corporativa, en lo relacionado con los procesos de seguros de la Entidad. - SGC</t>
  </si>
  <si>
    <t>Prestación de servicios profesionales en la Subdirección de Gestión Corporativa en el apoyo a las actividades necesarias para la ejecución del programa de seguros, así como las demás gestiones relacionadas con los procesos de seguros de la Entidad-SGC</t>
  </si>
  <si>
    <t>Prestación de servicios de apoyo a la gestión en la ejecución de los planes y programas de servicio al ciudadano a cargo de la Subdirección de Gestión Corporativa-SGC</t>
  </si>
  <si>
    <t>Prestación de servicios profesionales para brindar acompañamiento a la ejecución de los planes y programas de servicio al ciudadano a cargo de la Subdirección de Gestión Corporativa. -SGC.</t>
  </si>
  <si>
    <t>Prestación de servicios de apoyo a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</si>
  <si>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</si>
  <si>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</si>
  <si>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</si>
  <si>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en las actividades relacionadas con respuestas, planes y demás a entes de control, así como las demás acciones encaminadas al desarrollo de MIPG-SGC y, por ende, al Sistema Integrado de Gestión. -SGC.</t>
  </si>
  <si>
    <t>Prestación de servicios profesionales en la Subdirección de Gestión Corporativa en las actividades relacionadas con MIPG-SGC</t>
  </si>
  <si>
    <t>Prestación de servicios de apoyo a la gestión para apoyar los temas de sostenibilidad, desarrollo social ambiental y económico de los diferentes procesos y procedimientos de la UAECOB.-SGC</t>
  </si>
  <si>
    <t>Prestación de servicios profesionales para la subdirección de gestión corporativa en temas de sostenibilidad, desarrollo social ambiental y económico de los diferentes procesos y procedimientos de la UAECOB.-SGC</t>
  </si>
  <si>
    <t>Prestar servicios profesionales en la Subdirección de Gestión Corporativa para fortalecer la gestión y desarrollo institucional y ejecución de las actividades requeridas en temas de sostenibilidad ambiental en virtud del Sistema Integrado de Gestión - Modelo Integrado de Planeación de los diferentes procesos y procedimientos de laUAECOB.-SGC</t>
  </si>
  <si>
    <t>SGH - Prestar servicios de apoyo en la Subdirección de Gestión Humana de la UAE Cuerpo Oficial de Bomberos en el proceso de ausentismos del personal.</t>
  </si>
  <si>
    <t>SGH - Prestar servicios profesionales en la Subdirección de Gestión Humana de la UAE Cuerpo Oficial de Bomberos en temas de Administración de Personal.</t>
  </si>
  <si>
    <t>SGH - Prestar sus servicios profesionales en el proceso de liquidación de demandas y conciliaciones administrativas para la Subdirección de Gestión Humana de la UAE Cuerpo Oficial de Bomberos.</t>
  </si>
  <si>
    <t>SGH - Prestar servicios profesionales en la Subdirección de Gestión Humana de la UAE Cuerpo Oficial de Bomberos en temas de liquidación de demandas y conciliaciones.</t>
  </si>
  <si>
    <t>SGH - Prestar servicios de apoyo a la gestión en cumplimiento de los planes institucionales de la Subdirección de Gestión Humana específicamente para desarrollo organizacional.</t>
  </si>
  <si>
    <t>SGH - Prestar sus servicios profesionales para dar cumplimiento al PEGTH en actividades especificas de desarrollo organizacional.</t>
  </si>
  <si>
    <t>SGH - Prestar sus servicios profesionales en la Subdirección de Gestión Humana en temas de desarrollo organizacional.</t>
  </si>
  <si>
    <t>SGH - Prestar servicios profesionales para apoyar el programa de vigilancia epidemiológico al riesgo psicosocial y actividades de seguridad y salud en el trabajo en la Subdirección de Gestión Humana.</t>
  </si>
  <si>
    <t>SGH - Prestar servicios profesionales para la implementación y seguimiento del sistema de gestión de seguridad y salud en el trabajo en la Subdirección de Gestión Humana.</t>
  </si>
  <si>
    <t>SGH - Prestar servicios de apoyo en el sistema de gestión de seguridad y salud en el trabajo en la Subdirección de Gestión Humana de la UAE Cuerpo Oficial de Bomberos.</t>
  </si>
  <si>
    <t>SGH - Prestar servicios profesionales para apoyar el seguimiento del sistema de gestión de seguridad y salud en el trabajo en la Subdirección de Gestión Humana de la UAE Cuerpo Oficial de Bomberos.</t>
  </si>
  <si>
    <t>SGH - Prestar sus servicios profesionales en la Subdirección de Gestión Humana de la UAE-Cuerpo Oficial de Bomberos.</t>
  </si>
  <si>
    <t>SGH - Prestar servicios profesionales para apoyar el programa de desordenes musculoesqueléticos de la UAE Cuerpo Oficial de Bomberos de Bogotá.</t>
  </si>
  <si>
    <t>SGH - Prestar servicios de apoyo a los procesos de la Subdirección de Gestión Humana de la UAE Cuerpo Oficial de Bomberos.</t>
  </si>
  <si>
    <t>SGH - Acompañar la simplificación de trámites de la Subdirección de Gestión Humana de la UAE Cuerpo Oficial de Bomberos de Bogotá.</t>
  </si>
  <si>
    <t xml:space="preserve">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
</t>
  </si>
  <si>
    <t>SGH - Prestar sus servicios profesionales en los procesos de la Subdirección de Gestión Humana de la UAE Cuerpo Oficial de Bomberos.</t>
  </si>
  <si>
    <t xml:space="preserve">SGH - Ejecutar actividades de apoyo a la gestión en  la Subdirección de Gestión Humana de la UAE Cuerpo Oficial de Bomberos de Bogotá D.C. en lo relacionado con los procesos de actualización, custodia y manejo del archivo de gestión de la Subdirección.
</t>
  </si>
  <si>
    <t>SGH - Prestar sus servicios profesionales en los procesos de contratación y calidad de la Subdirección de Gestión Humana de la UAE Cuerpo Oficial de Bomberos de Bogotá D.C.</t>
  </si>
  <si>
    <t>SGH - Prestar de servicios profesionales para desarrollar actividades jurídicas en atención a los distintos requerimientos de la Subdirección de Gestión Humana.</t>
  </si>
  <si>
    <t>SGH - Prestar sus servicios profesionales en comunicación para la Subdirección de Gestión Humana de la UAE Cuerpo Oficial de Bomberos.</t>
  </si>
  <si>
    <t>SGH - Prestar servicios profesionales en el desarrollo de las actividades y de los diferentes procesos que tiene a cargo la Subdirección de Gestión Humana de la UAE Cuerpo Oficial de Bomberos de Bogotá.</t>
  </si>
  <si>
    <t>SGH - Prestar de servicios profesionales para desarrollar actividades jurídicas relacionados con los procesos contractuales a cargo de la Subdirección de Gestión Humana.</t>
  </si>
  <si>
    <t>SGH - Prestar servicios de apoyo a los procesos administrativos de la Subdirección de Gestión Humana de la UAE Cuerpo Oficial de Bomberos.</t>
  </si>
  <si>
    <t>SGH - Prestar servicios profesionales y de apoyo para soportar las actividades administrativas, operativas de la dependencia.</t>
  </si>
  <si>
    <t>Contratar la elaboración de la segunda fase de la estratégia institucional de preparativos del Cuerpo Oficial de Bomberos de Bogotá, mediante un modelo para la implementación ante un evento de gran magnitud.</t>
  </si>
  <si>
    <t>Prestar servicios profesionales para acompañar a la subdirección logística en la planeación, seguimiento, actualización y gestión presupuestal en el marco de los procesos y procedimiento a cargo de la dependencia  - SBLG</t>
  </si>
  <si>
    <t>Prestar servicios profesionales a la Subdirección de Gestión del Riesgo coordinando las actividades del proceso de Conocimiento del Riesgo._SGR</t>
  </si>
  <si>
    <t>Prestar servicios de apoyo a la gestión como técnico en la Oficina de Control Interno para ejecutar procesos y procedimientos administrativos y asistenciales teniendo en cuenta el Plan Anual de Auditorías</t>
  </si>
  <si>
    <t>Prestar los servicios profesionales en la Oficina de Control Interno para el desarrollo del Plan Anual de Auditorias</t>
  </si>
  <si>
    <t>Prestar servicios profesionales especializados de carácter jurídico que contribuyan al fortalecimiento de la misionalidad de la UAE Cuerpo Oficial de Bomberos Bogotá.</t>
  </si>
  <si>
    <t>Prestar los servicios profesionales jurídicos para apoyar las actuaciones procesales y procedimentales de la Oficina Asesora Jurídica</t>
  </si>
  <si>
    <t>Prestar los servicios profesionales jurídicos especializados en la coordinación de la actividad contractual de las funciones de la Oficina Asesora Jurídica</t>
  </si>
  <si>
    <t>Prestar servicios profesionales para apoyar en la estructuración de las acciones de mejora, seguimiento a la gestión contractual de la Entidad y demás procedimientos, en el marco de las funciones de la Oficina Asesora Jurídica.</t>
  </si>
  <si>
    <t>Prestar los servicios profesionales jurídicos para apoyar las actividades propias de la gestión contractual que adelanta la Oficina Asesora Jurídica</t>
  </si>
  <si>
    <t>Prestar los servicios profesionales jurídicos para apoyar las actividades propias de la gestión contractual que adelanta la Oficina Asesora Jurídica.</t>
  </si>
  <si>
    <t>Prestar servicios profesionales especializados desde el punto de vista jurídico para apoyar las actividades de defensa judicial y procesos penales que adelante la UAE Cuerpo Oficial de Bomberos.</t>
  </si>
  <si>
    <t>Prestar servicios profesionales especializados para la representación judicial de la Entidad y las acciones de prevención del daño antijurídico.</t>
  </si>
  <si>
    <t>Prestar los servicios de apoyo técnico para las gestiones administrativas requeridas en la Oficina Asesora Jurídica.</t>
  </si>
  <si>
    <t>Prestar los servicios de apoyo para las gestiones documentales y administrativas requerida por la Oficina Asesora Jurídica.</t>
  </si>
  <si>
    <t>Prestar servicios profesionales para apoyar en las acciones de control y manejo de la información y la presentación de informes reglamentarios a los entes de control por parte de la OAJ.</t>
  </si>
  <si>
    <t>Prestar servicios profesionales para apoyar en las acciones de mejora, respuestas a entes de control, elaboración de informes y demás requerimientos de la Oficina Asesora Jurídica.</t>
  </si>
  <si>
    <t>Prestar los servicios de apoyo como conductor de la Entidad para movilizar los recursos que sean requeridos para el cumplimiento misional de la UAE Cuerpo Oficial de Bomberos.</t>
  </si>
  <si>
    <t>Prestar los servicios profesionales jurídicos para apoyar las actuaciones tendientes a la disminución de daño antijurídico y absolución de conceptos correspondientes a la Oficina Asesora Jurídica.</t>
  </si>
  <si>
    <t>Prestar servicios profesionales especializados a la Jefatura de la Oficina Asesora de Planeación en el fortalecimiento, articulación, seguimiento y gestión en el cumplimiento de las funciones asignadas a la dependencia. -OAP-</t>
  </si>
  <si>
    <t>Prestar servicios profesionales en la Oficina Asesora de Planeación para liderar el fortalecimiento y cumplimiento de la Gestión Estratégica y la mejora continua en la entidad -OAP-</t>
  </si>
  <si>
    <t>Prestar servicios profesionales para apoyar a la Oficina Asesora de Planeación en la estructuración, seguimiento y reporte de los Proyectos, Planes y Programas de la entidad -OAP-</t>
  </si>
  <si>
    <t>Prestar los servicios profesionales para apoyar las actividades administrativas y presupuestales que se desarrollan en la Oficina Asesora de Planeación -OAP-</t>
  </si>
  <si>
    <t>Prestar los servicios profesionales para liderar jurídicamente la gestión derivada de sus procesos y el trámite de la actividad contractual, relacionados con las funciones de la Oficina Asesora de Planeación -OAP-</t>
  </si>
  <si>
    <t>Prestar los servicios profesionales para apoyar jurídicamente a la Oficina Asesora de Planeación, en lo relacionado con los trámites administrativos y contractuales -OAP-</t>
  </si>
  <si>
    <t>Prestar los servicios profesionales para la administración, procesamiento y análisis de la información estadística generada por la entidad en lo relacionado con las funciones asignadas a la Oficina Asesora de Planeación -OAP-</t>
  </si>
  <si>
    <t xml:space="preserve">Prestar servicios profesionales para apoyar la articulación de las dependencias con la planeación institucional y la gestión estratégica definida por la Alta Dirección en la UAECOB -OAP- </t>
  </si>
  <si>
    <t>Prestar servicios profesionales a la Oficina Asesora de Planeación en la articulación, seguimiento y mejoramiento de las actividades desarrolladas por las dependencias en cumplimiento del Modelo Integrado de Planeación y Gestión - MIPG en la UAECOB -OAP-</t>
  </si>
  <si>
    <t>Prestar servicios profesionales a la Oficina Asesora de Planeación para apoyar, gestionar la sostenibilidad y el mejoramiento continuo del Sistema de Gestión de Calidad y del Sistema de Control Interno de la UAECOB. -OAP-</t>
  </si>
  <si>
    <t>Prestar servicios profesionales en la Oficina Asesora de Planeación para apoyar a las dependencias en el fortalecimiento a la sostenibilidad y mejoramiento del Sistema de Gestión de Calidad en lo relacionado con el cumplimiento de las dimensiones y políticas MIPG -OAP-</t>
  </si>
  <si>
    <t>Prestar servicios profesionales a la Oficina Asesora de Planeación en las actividades de capacitación y sensibilización derivadas de la implementación del Modelo Integrado de Planeación y Gestión - MIPG de la UAECOB. -OAP-</t>
  </si>
  <si>
    <t>Prestar servicios profesionales para apoyar en la consolidación y cumplimiento de las dimensiones y políticas MIPG en las dependencias de la UAECOB -OAP-</t>
  </si>
  <si>
    <t>Prestar servicios profesionales para llevar a cabo las actividades administrativas que se desarrollan en la Oficina Asesora de Planeación -OAP-</t>
  </si>
  <si>
    <t>Prestar servicios profesionales para el diseño de las estrategias audiovisuales que permitan el uso y apropiación del MIPG en la UAECOB -OAP-</t>
  </si>
  <si>
    <t>Prestar servicios profesionales para gestionar las actividades de cooperación técnica interinstitucional con las Entidades del sector a nivel nacional e internacional -OAP-.</t>
  </si>
  <si>
    <t>Prestar servicios profesionales para apoyar la gestión de las actividades de cooperación técnica interinstitucional con las Entidades del sector a nivel nacional e internacional -OAP-.</t>
  </si>
  <si>
    <t xml:space="preserve">Prestar servicios profesionales para hacer seguimiento administrativo y financiero a los contratos en los cuales la Oficina Asesora de Planeación ejerce la supervisión. -OAP- </t>
  </si>
  <si>
    <t>Prestar servicios de apoyo técnico a la gestión para llevar a cabo la ejecución de actividades logísticas y administrativas que sea requieran para el fortalecimiento de la Planeación y Gestión en la UAE Cuerpo Oficial Bomberos de Bogotá.</t>
  </si>
  <si>
    <t>Prestar servicios como conductor a la UAECOB, en especial en el transporte de recursos que le sean indicados en la Dirección General en el marco sus funciones.</t>
  </si>
  <si>
    <t>Prestar servicios profesionales a la Dirección General en actividades de articulación interinstitucional entre las diferentes dependencias, entidades del sector, y demás que estén relacionadas con la misionalidad de la UAECOB.</t>
  </si>
  <si>
    <t>Prestar servicios profesionales para asesorar a la Dirección General en las estrategias de fortalecimiento de los procesos y procedimientos, de sostenibilidad, planes y programas que sean requeridos en el marco de la misionalidad de la UAECOB.</t>
  </si>
  <si>
    <t>Prestar servicios profesionales a la Dirección General, con el fin de asesorar el seguimiento y manejo de la ejecución y procesos  presupuestales que coadyuven al cumplimiento de las metas establecidas en el plan de desarrollo y el plan anual de adquisiciones de la UAECOB.</t>
  </si>
  <si>
    <t>Prestación de servicios profesionales jurídicos en virtud de las funciones asignadas a la Dirección General de la UAECOB, para apoyar los procesos contractuales y actividades administrativas requeridas.</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</si>
  <si>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</si>
  <si>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de apoyo a la gestión en la UAECOB, en asuntos administrativos y asistenciales requeridos, especificamente en el seguimiento de la información.</t>
  </si>
  <si>
    <t>Prestar servicios profesionales en asuntos relacionados con temas administrativos y asuntos propios requeridos por la Dirección General de la UAECOB</t>
  </si>
  <si>
    <t>Prestación de servicios profesionales a la Subdirección Logística, para el seguimiento, control y reporte de la información referente al impacto ambiental en desarrollo de los procesos de parque automotor y equipo menor - SBLG</t>
  </si>
  <si>
    <t>224-Implementar al 100% un programa de formación, modernización y sostenibilidad de la Unidad Administrativa Especial Cuerpo Oficial de Bomberos - UAECOB, para la respuesta efectiva en la atención de emergencias y desastres.</t>
  </si>
  <si>
    <t>Prestar servicios profesionales en la Dirección General de la UAECOB en actividades de articulación y seguimiento a los procesos de planeación institucional y gestión estratégica, así como el fortalecimiento transversal del proceso de Academia.</t>
  </si>
  <si>
    <t xml:space="preserve">Prestación de Servicios Profesionales para realizar el acompañamiento y seguimiento del cumplimiento y ejecución de las metas en aspectos presupuestales y financieros de la Entidad </t>
  </si>
  <si>
    <t>Prestar servicios profesionales especializados en la Dirección General de la UAECOB en la organización y liderazgo de los asuntos relacionados con comunicaciones de conformidad a la misionalidad de la entidad.</t>
  </si>
  <si>
    <t>Prestación de servicios profesionales especializados en la Dirección General,  en asuntos de comunicaciones y prensa para generar estrategias que contribuyan a la socialización y divulgación  interna y externa de la información relacionada con la misionalidad de la  UAECOB.</t>
  </si>
  <si>
    <t>Prestación de servicios profesionales en la Dirección, para apoyar  asuntos de comunicaciones y prensa, con el fin de generar acciones que contribuyan a la divulgación de la información interna de la misionalidad de la UAECOB.</t>
  </si>
  <si>
    <t>Prestación de servicios profesionales en la Dirección en asuntos de comunicaciones, para apoyar la difusión y organización de la información y notas de prensa que sean generadas por la UAECOB, en especial, en el cubrimiento de incidentes.</t>
  </si>
  <si>
    <t>Prestar apoyo en la Dirección en asuntos de comunicaciones y prensa, para apoyar la divulgación de la información generada por la UAECOB.</t>
  </si>
  <si>
    <t>Prestación de servicios profesionales en la Dirección en comunicaciones y prensa, para apoyar la difusión de la información al público interno de la UAECOB.</t>
  </si>
  <si>
    <t>Prestar servicios profesionales en la Dirección General, para diseñar piezas gráficas comunicacionales que sean requeridas en el marco de la estrategia de Comunicaciones y Prensa de la UAECOB.</t>
  </si>
  <si>
    <t>Prestar servicios profesionales en la Dirección en asuntos de comunicaciones y prensa, para apoyar la administración de contenidos digitales en la página web y la Intranet de la UAECOB.</t>
  </si>
  <si>
    <t xml:space="preserve">Prestación de servicios de apoyo técnico en procesos y procedimientos que se lleven a cabo en la Dirección General, en asuntos de comunicaciones y prensa; y demás acciones encaminadas al cumplimiento de las estrategias comunicacionales de la UAECOB. </t>
  </si>
  <si>
    <t>Prestar apoyo técnico en la Dirección, en asuntos de comunicaciones y prensa, para la producción, diseño y edición de material audiovisual de la UAECOB.</t>
  </si>
  <si>
    <t>Prestar servicios profesionales para apoyar asuntos de comunicaciones y prensa en la Dirección General, y demás acciones encaminadas al cumplimiento de las estrategias comunicacionales de la UAECOB.</t>
  </si>
  <si>
    <t>Prestación de servicios profesionales en la Dirección General en asuntos de comunicaciones y prensa, para asesorar los planes, programas y proyectos enmarcados en la misionalidad de la UAECOB.</t>
  </si>
  <si>
    <t>Prestación de servicios profesionales para articular los procesos y procedimientos del Área de infraestructura, así como en el apoyo a la supervisión de los contratos que le sean asignados-SGC</t>
  </si>
  <si>
    <t>5-Implementar 100% de un programa de mantenimiento a las estaciones de bomberos de Bogotá</t>
  </si>
  <si>
    <t>Prestar servicios profesionales para acompañar jurídicamente los procesos y procedimientos del  areá de infraestructura de la  Subdirección de Gestión Corporativa.SGC</t>
  </si>
  <si>
    <t xml:space="preserve">Prestar los servicios como conductor del area de infraestructura de la Subdireccion de Gestion Corporativa-SGC </t>
  </si>
  <si>
    <t xml:space="preserve">Prestación de servicios profesionales para apoyar las actividades técnicas del Área de Infraestructura de la Subdirección de Gestión Corporativa-SGC
</t>
  </si>
  <si>
    <t>Prestación de servicios profesionales para apoyar las actividades técnicas del Área de Infraestructura de la Subdirección de Gestión Corporativa-SGC</t>
  </si>
  <si>
    <t>Prestación de servicios profesionales especializados para apoyar las actividades técnicas del Área de Infraestructura de la Subdirección de Gestión Corporativa-SGC</t>
  </si>
  <si>
    <t>Prestación de servicios profesionales para adelantar  actividades tecnicas  y tramites administrativos  del Área de Infraestructura de la Subdirección de Gestión Corporativa-SGC</t>
  </si>
  <si>
    <t>Prestación de servicios de apoyo a la gestión, en la Subdirección de Gestión Corporativa en temas de infraestructura –SGC</t>
  </si>
  <si>
    <t>Prestación de Servicios Profesionales en temas financieros, administrativas y misionales para apoyar los proyectos de infraestructura de la Subdirección de Gestión Corporativa.-SGC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</si>
  <si>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</si>
  <si>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Prestación de servicios profesionales para adelantar actividades técnicas programas y proyectos relacionados temas de infraestructura de la Subdirección de Gestión Corporativa-SGC</t>
  </si>
  <si>
    <t>72121400;
72151700;
95121700;</t>
  </si>
  <si>
    <t>Mantenimiento preventivo y correctivo, suministro e instalación de los equipos gasodomésticos y solares, adecuación de las redes de gas natural y repuestos para las Estaciones de Bomberos de UAE Cuerpo Oficial de Bomberos SGC</t>
  </si>
  <si>
    <t>O23202020088715999_Servicio de mantenimiento y reparación de otros equipos n.c.p.</t>
  </si>
  <si>
    <t>72151800;
72151505;
73152108;</t>
  </si>
  <si>
    <t>Mantenimiento preventivo y correctivo, que incluye el suministro de insumos y repuestos de las plantas eléctricas ubicadas en los diferentes edificios de la Unidad Administrativa Especial del Cuerpo Oficial de Bomberos Bogotá D.C -SGC</t>
  </si>
  <si>
    <t>72121400;
72151700;
72154109;
95121700;</t>
  </si>
  <si>
    <t>Realizar el mantenimiento preventivo, correctivo de puertas automatizadas para las salas de máquinas de las estaciones de la UAE Cuerpo Oficial de Bomberos -SGC</t>
  </si>
  <si>
    <t>81101500;
80101600</t>
  </si>
  <si>
    <t>Elaboración de estudios y diseños técnicos para la construcción de la estación de bomberos de Caobos Salazar B-13 de la UAE Cuerpo Oficial de Bomberos de Bogotá – SGC</t>
  </si>
  <si>
    <t>O2320202005040554590-Otros servicios especializados de la construcción</t>
  </si>
  <si>
    <t>80101600;
81101500;
72101500;
72121400;</t>
  </si>
  <si>
    <t>Interventoría técnica, administrativa, financiera, contable, jurídica y ambiental para la elaboración de estudios y diseños técnicos para la construcción de la estación de Bomberos de Caobos Salazar B-13  de la UAE Cuerpo Oficial de Bomberos de Bogotá – SGC</t>
  </si>
  <si>
    <t>72102900
72121400;
72151700;
56101500;
56111900;</t>
  </si>
  <si>
    <t>Mantenimiento correctivo y/o preventivo, suministros y repuestos de los equipos hidroneumáticos, motobombas eléctricas, bombas sumergibles, tableros de control y fuerza y demás equipos de bombeo instalados en las estaciones de bomberos de la UAECOB-SGC</t>
  </si>
  <si>
    <t>72121400;
72151700;</t>
  </si>
  <si>
    <t xml:space="preserve">Realizar el mantenimiento predictivo, preventivo, correctivo, mejoras y dotación a las instalaciones de las dependencias de la Unidad Administrativa Especial Cuerpo Oficial de Bomberos De Bogotá D.C. - SGC </t>
  </si>
  <si>
    <t>80101600;81101500;
72101500;72121400;</t>
  </si>
  <si>
    <t>Interventoría técnica, administrativa, financiera, contable, jurídica, sst y ambiental al mantenimiento predictivo, preventivo, correctivo, adecuaciones, mejoras y dotación a las instalaciones de las dependencias de la Unidad Administrativa Especial Cuerpo Oficial de Bomberos De Bogotá D.C - SGC.</t>
  </si>
  <si>
    <t>56101500;
56111900</t>
  </si>
  <si>
    <t>Adquisición e instalación del mobiliario para la estación de Marichuela B10 -SGC</t>
  </si>
  <si>
    <t>O23201010030208_Otra maquinaria para usos especiales y sus partes y piezas</t>
  </si>
  <si>
    <t xml:space="preserve">Reconocimiento y pago Pasivo Exigible contrato de prestación servicios No 675 de 2020 suscrito con WILLIAM ALFONSO LAGUNA VARGAS, para el suministro de materiales, equipo y herramientas para el mejoramiento integral de las instalaciones de la UEA Cuerpo Oficial de Bomberos de Bogotá. Reconoce el valor de $46´155.118 según factura No. CR 20530 del 03 de septiembre de 2021. Resolución 562 de 2022. </t>
  </si>
  <si>
    <t>92121500;
92121700;
32151800;</t>
  </si>
  <si>
    <t>Prestar el servicio de vigilancia y seguridad privada en la modalidad de vigilancia fija, según especificaciones técnicas, en las instalaciones que la UAE especial cuerpo oficial de bomberos requiera-SGC</t>
  </si>
  <si>
    <t>O232020200885250_Servicios de protección (guardas de
seguridad)</t>
  </si>
  <si>
    <t>44121700;
44111500;
44122000;
44122100;
14111500;</t>
  </si>
  <si>
    <t xml:space="preserve"> Adición y prórroga No. 1 al contrato 422 de 2022 que tiene como objeto "  Contratar la prestación del servicio de aseo y cafetería incluído insumos para la UAE Cuerpo Oficial de Bomberos-SGC</t>
  </si>
  <si>
    <t>O232020200885330_Servicios de limpieza general</t>
  </si>
  <si>
    <t>Contratar la prestación del servicio de aseo y cafetería incluído insumos para la UAE Cuerpo Oficial de Bomberos-SGC</t>
  </si>
  <si>
    <t>Realizar la adecuación y mejoramiento de las instalaciones de las estaciones de Bomberos de la UAE Cuerpo oficial de Bomberos Bogotá-SGC</t>
  </si>
  <si>
    <t>Realizar la interventoría técnica, administrativa, legal, financiera, contable, seguridad y salud en el trabajo, social y ambiental del contrato con objeto "realizar la adecuacion y mejoramiento de las instalaciones de las estaciones de Bomberos de la UAE Cuerpo oficial de Bomberos Bogotá"-SGC</t>
  </si>
  <si>
    <t>72102900;72121400;72151700;
56101500;72121400;72151700;
95121700;56111900;</t>
  </si>
  <si>
    <t>Realizar el mejoramiento y dotación de las instalaciones del predio la Alemana para  la academia de la U.A.E Cuerpo Oficial de Bomberos Bogotá D.C-SGC</t>
  </si>
  <si>
    <t>225-Poner en funcionamiento tres (3) nuevos espacios para la gestión integral de riesgos, incendios, incidentes con materiales peligrosos y rescates en todas sus modalidades.</t>
  </si>
  <si>
    <t>SGH - Prestar sus servicios profesionales en la Subdirección de Gestión Humana, en los procesos contractuales y demás actividades relacionadas con el proceso de Academia.</t>
  </si>
  <si>
    <t>SGH - Prestar servicios de apoyo a la gestión en la Subdirección de Gestión Humana en las diferentes actividades logísticas relacionadas con  el proceso de Academia.</t>
  </si>
  <si>
    <t>SGH - Prestar servicios profesionales en la Subdirección de Gestión Humana, en lo relacionado con el fortalecimiento e implementación de la escuela de formación bomberil.</t>
  </si>
  <si>
    <t>SGH - Prestar servicios de apoyo a la gestión en la Subdirección de Gestión Humana, para las diferentes actividades administrativas, operativas y externas relacionadas con el proceso de Academia.</t>
  </si>
  <si>
    <t>SGH - SGH - Prestar servicios profesionales en la Subdirección de Gestión Humana, para el fortalecimiento trasversal del proceso de Academia.</t>
  </si>
  <si>
    <t>SGH - Prestar sus servicios profesionales a la Subdirección de Gestión Humana para fortalecer el proceso de Academia e implementar la escuela de formación Bomberil.</t>
  </si>
  <si>
    <t>SGH - Prestar servicios profesionales en la Subdirección de Gestión Humana, para el análisis económico de las actividades desarrolladas por la escuela de formación bomberil.</t>
  </si>
  <si>
    <t>SGH - Prestar servicios de apoyo para el transporte de recursos de la UAE-Cuerpo Oficial de Bomberos de Bogotá desde la Subdirección de Gestión Humana.</t>
  </si>
  <si>
    <t>SGH - Prestar sus servicios profesionales para la construcción y ejecución de proyectos estratégicos en la Subdirección de Gestión Humana de la UAE Cuerpo Oficial de Bomberos de Bogotá D.C.</t>
  </si>
  <si>
    <t>SGH - Prestar de servicios profesionales para desarrollar actividades jurídicas relacionadas con la academia bomberil, recobro de incapacidades y procesos administrativos de la Subdirección de Gestión Humana.</t>
  </si>
  <si>
    <t>SGH - Prestar sus servicios profesionales a la Subdirección de Gestión Humana para fortalecer el proceso de Academia en normas técnicas.</t>
  </si>
  <si>
    <t>SGH - Prestar servicios profesionales para la gestión de los diferentes procesos de la Subdirección de Gestión Humana.</t>
  </si>
  <si>
    <t>SGH - Prestar sus servicios profesionales en la gestión contractual y presupuestal de la Subdirección de Gestión Humana de la UAE Cuerpo Oficial de Bomberos.</t>
  </si>
  <si>
    <t xml:space="preserve">23101512, 23241629, 27111508, 27111559, 46161707, 46191605, 46191609, 27111604, 46191605, 46191603, 30191501, 46191614, 46191603, 27111702, 46191620, 27111702, 46201002, 41114408, 46191510, 46191511, 42171610, 46161715, 42171612, 46191620, 27112813, 27112120, 30102409, 26121634, 41113630, 25173107, 25173108
52161518, 46181504, 46181537, 46181504, 46181537, 46191603, 46161715, 46161714, 41114501
</t>
  </si>
  <si>
    <t xml:space="preserve">SGH - Adquisición de Equipos y Herramientas para los procesos de Capacitación </t>
  </si>
  <si>
    <t>86101600; 86101700; 86101800; 86111600; 86141500; 86121800</t>
  </si>
  <si>
    <t>SGH - Prestar los servicios de capacitación, formación y entrenamiento en cursos especializados, entrenamiento misional, capacitación en el puesto de trabajo y apoyo logístico necesario para el desarrollo de estos procesos para el personal operativo y administrativo de la Unidad Administrativa Especial Cuerpo Oficial de Bomberos en el marco de los programas de capacitación, formación y entrenamiento.</t>
  </si>
  <si>
    <t>46201000
46201002</t>
  </si>
  <si>
    <t>SGH - Suministro de un sistema de simulación de entrenamiento en manejo de desastres.</t>
  </si>
  <si>
    <t>SGH - Garantizar los recursos para viáticos y tiquetes del personal</t>
  </si>
  <si>
    <t>SGH - Garantizar los Recursos para movilización del Personal para emergencias</t>
  </si>
  <si>
    <t>SGH - Prestar servicios para soportar las actividades de la dependencia.</t>
  </si>
  <si>
    <t>25101700;
25101900;
92101601;
92101603;
92101604</t>
  </si>
  <si>
    <t>Adquisición de vehículos operativos para la atención de emergencias - Subdirección Operativa</t>
  </si>
  <si>
    <t>46181500;
46181600;
48181700;
46181800;
46181900;
46182000;
46182100;
46182200;
46182300;
46182400;
46182500;
46191500;
46191600</t>
  </si>
  <si>
    <t>Adquisición de elementos de protección personal (E.P.P.) para la atención de emergencias. - Subdirección Operativa</t>
  </si>
  <si>
    <t>6-Implementar 100% de un programa de renovación de equipo menor, herramientas, accesorios y elementos de protección personal en la UAECOB</t>
  </si>
  <si>
    <t>viabilidad 11 de mayo de 2022</t>
  </si>
  <si>
    <t xml:space="preserve">46191500;
46191600;
25111500;
26101500 </t>
  </si>
  <si>
    <t>Adquisición de equipos, herramientas y accesorios (E.H.A.´s) para la atención de emergencias. - Subdirección Operativa</t>
  </si>
  <si>
    <t>25130000; 25131600; 25131605; 46191600;</t>
  </si>
  <si>
    <t>Adquisición de U.A.S. para el fortalecimiento institucional  del grupo S.A.R.T.- Subdirección Operativa</t>
  </si>
  <si>
    <t>Prestación de servicios de apoyo a la gestión en actividades asistenciales derivadas de la estación de bomberos asignada, a cargo de la Subdirección Operativa.</t>
  </si>
  <si>
    <t>Prestación de servicios de apoyo para brindar soporte en el proceso de comunicaciones en emergencias del Centro de Coordinación y Comunicaciones (C.C.C.) a cargo de la Subdirección Operativa de la  UAE Cuerpo Oficial de Bomberos de Bogotá.</t>
  </si>
  <si>
    <t>Prestación de servicios de apoyo a la gestión en la consolidación, proyección y acompañamiento de la información del nuevo sistema misional y de los trámites que permitan el logro de los objetivos de la Subdirección Operativa.</t>
  </si>
  <si>
    <t>Prestación de servicios de apoyo a la gestión en las actividades asistenciales que demanda la Subdirección Operativa</t>
  </si>
  <si>
    <t>Prestación de servicios de apoyo a la gestión en las actividades administrativas que demanda la Subdirección Operativa</t>
  </si>
  <si>
    <t>Prestación de servicios de apoyo a la gestión en las actividades asistenciales que demandan las Compañías de la Subdirección Operativa.</t>
  </si>
  <si>
    <t>Prestación de servicios técnicos para atender la definición de necesidades técnicas de la Subdirección Operativa y servir de enlace con las diferentes dependencias de la UAECOB.</t>
  </si>
  <si>
    <t>Prestación de servicios técnicos para dar soporte a los procedimientos misionales y servir de enlace entre la Subdirección de Gestión del Riesgo y la Subdirección Operativa.</t>
  </si>
  <si>
    <t>Prestación de servicios profesionales para atender las actividades de bienestar y aprovechamiento animal para el programa BRAE de la Subdirección Operativa.</t>
  </si>
  <si>
    <t>Prestación de servicios profesionales para desarrollar actividades de tratamiento y análisis de la información geográfica, georreferenciación y generación de alertas a través de las herramientas, medios o sistemas de información dispuestos.- Subdirección Operativa.</t>
  </si>
  <si>
    <t>Prestación de servicios profesionales para realizar  seguimiento y verificación a las necesidades de recursos del personal operativo de la Subdirección Operativa articulando con las áreas correspondientes lo pertinente.</t>
  </si>
  <si>
    <t>Prestación de servicios profesionales para realizar la consolidación, seguimiento, verificación y control a los reportes de disponibilidad del personal uniformado de la Subdirección Operativa.</t>
  </si>
  <si>
    <t>Prestación de servicios profesionales apoyando tecnológicamente al Centro de Coordinación y Comunicaciones y servir de enlace en lo relacionado con sistemas de telecomunicaciones entre  el C4 del Distrito Capital y la UAECOB.- Subdirección Operativa</t>
  </si>
  <si>
    <t>Prestación de servicios profesionales en la elaboración de diseños y diagramación de piezas para los programas, proyectos y procedimientos requeridos por la Subdirección Operativa</t>
  </si>
  <si>
    <t>Prestación de servicios profesionales para realizar el seguimiento, consolidación y reporte de las actividades derivadas del plan de fortalecimiento operativo de la Subdirección Operativa.</t>
  </si>
  <si>
    <t>Prestación de servicios profesionales para realizar la estructuración y desarrollar la estandarización de especificaciones técnicas de las necesidades  de la Subdirección Operativa y  realizar el manejo y procesamiento de información estadística a cargo de la dependencia.</t>
  </si>
  <si>
    <t>Prestación de servicios profesionales para realizar el seguimiento, consolidación, reporte  y mejoramiento de las actividades derivadas de la formulación de planes y programas institucionales que correspondan a los procesos misionales de la Subdirección Operativa.</t>
  </si>
  <si>
    <t>Prestación de servicios profesionales para realizar las actividades de seguimiento, consolidación, control y reporte de los programas,  proyectos de inversión e indicadores de la Subdirección Operativa.</t>
  </si>
  <si>
    <t>Prestación de los servicios profesionales para  la coordinación y la optimización de los procedimientos de preparativos para el fortalecimiento en la atención de emergencias de la Subdirección Operativa de la UAECOB.</t>
  </si>
  <si>
    <t>Prestación de servicios profesionales para realizar la estructuración y desarrollar la estandarización de especificaciones técnicas de las necesidades  de la Subdirección Operativa y apoyar la contratación de la dependencia.</t>
  </si>
  <si>
    <t>Prestación de servicios profesionales para gestionar los temas de contratación, legales y jurídicos que requiera la Subdirección Operativa</t>
  </si>
  <si>
    <t>Prestación de servicios profesionales para gestionar los temas de contratación, legales y jurídicos que requiera la Subdirección Operativa.</t>
  </si>
  <si>
    <t>78121600 
78131800 
92111600 
72141500</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</si>
  <si>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</si>
  <si>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</si>
  <si>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</si>
  <si>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ADICION Y PRORROGA  Contrato de Prestación de Servicios 543 de 2021.  Contratar los servicios de recolección, manipulación, almacenamiento temporal, transporte y disposición final (destrucción o devolución) de pólvora, fuegos artificiales, globos y demás artículos pirotécnicos incautados por las autoridades competentes en el Distrito Capital".</t>
  </si>
  <si>
    <t>11161700;  53101600;  53102500 ; 53102700 ; 53103000 ;   73141700;
73141500; 73151500</t>
  </si>
  <si>
    <t>Adquisición de elementos de identificación institucional para el programa de Bomberitos_SGR.</t>
  </si>
  <si>
    <t xml:space="preserve">viabilidad mayo 3 de 2022 </t>
  </si>
  <si>
    <t>80141900
90111500
90111600
80141900</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</si>
  <si>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</si>
  <si>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 xml:space="preserve">76122304 
76122404 
76122203 
76121502 
76121901 
76131701 
76121902 </t>
  </si>
  <si>
    <t>Prestación de servicio para la recolección y disposición final de residuos huérfanos para la UAE Cuerpo Oficial de Bomberos_SGR</t>
  </si>
  <si>
    <t>60121104
60121708
44111515
24121503
24112404
31201512
12352104</t>
  </si>
  <si>
    <t>Adquisición de insumos y materias primas para la producción de impresos de artes gráficas_ SGR.</t>
  </si>
  <si>
    <t>39111600; 39111700; 3911900</t>
  </si>
  <si>
    <t>Adquisicion de equipos de iluminacion para la investigacion de incendios_SGR</t>
  </si>
  <si>
    <t>Prestar servicios profesionales para el desarrollo de actividades de planeación y desarrollo de programas y proyectos para la Subdirección de Gestión del Riesgo._SGR</t>
  </si>
  <si>
    <t>Apoyar profesionalmente la coordinación y establecimiento de los planes intersectoriales en materia de prevención y atención de incendios e incidentes con materiales peligrosos._SGR</t>
  </si>
  <si>
    <t>Prestar servicios profesionales para la estructuración y seguimiento de los procesos contractuales y demás aspectos jurídicos de la Subdirección de Gestión del Riesgo._SGR</t>
  </si>
  <si>
    <t>Prestar servicios profesionales para la estructuracion y seguimiento de los procesos contractuales y demas aspectos juridicos de la Subdirección de Gestión del riesgo._SGR</t>
  </si>
  <si>
    <t>SI - 25-07-2022</t>
  </si>
  <si>
    <t>Prestar servicios profesionales en las actividades del MIPG de la Subdirección de Gestión del riesgo.</t>
  </si>
  <si>
    <t>Prestar servicios profesionales para el desarrollo de los contenidos graficos, piezas comunicativa y de imagen institucional para la Subdirección de Gestión del riesgo._SGR</t>
  </si>
  <si>
    <t>Prestar los servicios profesionales especializados para la coordinación del componente técnico, financiero y de planificación de la subdirección de gestión de riesgo._SGR</t>
  </si>
  <si>
    <t>Prestar servicios profesionales para el apoyo en la gestión administrativa y análisis financiero de la subdirección de gestión del riesgo._SGR</t>
  </si>
  <si>
    <t>Prestar servicios profesionales en las actividades de proyeccion e innovacion para la Subdirección de Gestión del Riesgo._SGR</t>
  </si>
  <si>
    <t>Apoyar las actividades de la Subdireccion de Gestion del Riesgo relacionadas con la gestion de los aspectos tecnologicos e informaticos._SGR</t>
  </si>
  <si>
    <t>Prestar servicios profesionales en la estructuración y seguimiento de  los componentes técnicos y administrativos  que se requieran en las diferentes etapas de los procesos contractuales y estratégicos que adelante la subdirección de gestión del riesgo._SGR</t>
  </si>
  <si>
    <t>SI - 26-07-2022</t>
  </si>
  <si>
    <t>Prestar servicios de apoyo a la gestión como conductor en la Subdirección de Gestión del Riesgo._SGR</t>
  </si>
  <si>
    <t xml:space="preserve">Apoyar las actividades de la Subdirección de Gestión del Riesgo relacionadas con el seguimiento y control de sus solicitudes y peticiones._SGR 
</t>
  </si>
  <si>
    <t>Prestar servicios profesionales  en las actividades de soporte operacional de la UAECOB._SGR</t>
  </si>
  <si>
    <t>Prestar servicios de apoyo a la gestión en las actividades de soporte operacional de la UAECOB._SGR</t>
  </si>
  <si>
    <t>Prestar servicios profesionales en las actividades de monitoreo del riesgo para la Subdirección de Gestión del Riesgo._SGR</t>
  </si>
  <si>
    <t>Prestar servicios de apoyo a la gestion en las actividades de monitoreo del riesgo para la Subdirección de Gestión del Riesgo._SGR</t>
  </si>
  <si>
    <t>Prestar servicios profesionales especializados en las actividades de identificacion de escenarios a cargo de la Subdirección de Gestión del Riesgo._SGR</t>
  </si>
  <si>
    <t>Prestar servicios profesionales en las actividades de identificacion de escenarios a cargo de la Subdirección de Gestión del Riesgo._SGR</t>
  </si>
  <si>
    <t>Prestar servicios profesionales en las actividades de análisis de información de escenarios a cargo de la Subdirección de Gestión del Riesgo.._SGR</t>
  </si>
  <si>
    <t>Prestar  servicios profesionales en las actividades de proyeccion e innovacion para la Subdirección de Gestión del Riesgo._SGR</t>
  </si>
  <si>
    <t>Prestar los servicios profesionales en las actividades de proyeccion e innovacion para la Subdirección de Gestión del Riesgo._SGR</t>
  </si>
  <si>
    <t>Prestar sus servicios profesionales en las actividades relacionadas con la emision de conceptos a cargo de la Subdirección de Gestión del Riesgo._SGR</t>
  </si>
  <si>
    <t>Prestar sus servicios de apoyo a la gestion en las actividades relacionadas con la emision de conceptos a cargo de la Subdirección de Gestión del Riesgo._SGR</t>
  </si>
  <si>
    <t>Prestar sus servicios profesionales en los procesos de formacion y capacitacion de la Subdirección de Gestión del Riesgo para las acciones derivadas de la plataforma virtual._SGR</t>
  </si>
  <si>
    <t>Prestar servicios profesionales en la Subdirección de Gestión del riesgo relacionadas con el proceso de reducción del riesgo, en lo relacionado con las actividades de aglomeraciones de público y Eventos con Pirotecnia  desarrollados en el Distrito._SGR</t>
  </si>
  <si>
    <t>Apoyar las actividades de la Subdirección de Gestión del riesgo relacionadas con las aglomeraciones de público  y Eventos con Pirotecnia  desarrollados en el Distrito._SGR</t>
  </si>
  <si>
    <t>Apoyar las actividades de la Subdirección de Gestión del riesgo relacionadas con los procesos de Reducción del Riesgo._SGR</t>
  </si>
  <si>
    <t>Prestar servicios profesionales en las actividades de Programas y Campañas de Prevención para la Subdirección de Gestión del Riesgo._SGR</t>
  </si>
  <si>
    <t>Prestar servicios profesionales en los procesos de formacion y capacitacion de la subdirección de gestión del riesgo._SGR</t>
  </si>
  <si>
    <t>Prestar servicios profesionales en la Subdireccion de Gestion del Riesgo para el fortalecimiento de la capacidad predictiva relacionada con los riesgos misionales de la Entidad._SGR</t>
  </si>
  <si>
    <t>Prestar servicios profesionales para las actividades misionales de la Subdireccion de Getsion del Riesgo._SGR</t>
  </si>
  <si>
    <t>70122002;70122005;70122006;70122007;70122008;70122009;70122010; 10101500;
10121800</t>
  </si>
  <si>
    <t>Prestación de servicios médicos veterinarios, de hospitalización, con suministro de medicamentos, insumos veterinarios y alimentos para los caninos del grupo BRAE de la UAE Cuerpo Oficial de Bomberos.</t>
  </si>
  <si>
    <t>42141501;42141502;42141503;42142101;42142103;42142105;42142108;42172010;42172013;42172016;42172201;42281502;42291902</t>
  </si>
  <si>
    <t>Proveer el suministro de elementos de bioseguridad, trauma kit e insumos médicos básicos para la atención de emergencias.</t>
  </si>
  <si>
    <t>90101600; 90101700; 90101800; 90101802; 50192700</t>
  </si>
  <si>
    <t>Suministro de alimentación e hidratación para la atención de emergencias, entrenamientos, capacitaciones y actividades de prevención.</t>
  </si>
  <si>
    <t>39121321;
31162800;
39121700</t>
  </si>
  <si>
    <t>Suministrar herramientas, utensilios y materiales de hierro, otros metales y plásticos para soporte en la atención de emergencias de la UAECOB.</t>
  </si>
  <si>
    <t>Prestar el servicio de mantenimiento preventivo y correctivo, de latonería y pintura, incluyendo el suministro de repuestos, insumos y mano de obra especializada para los vehículos pertenecientes al parque automotor de la U.A.E. Cuerpo Oficial de Bomberos de Bogotá D.C</t>
  </si>
  <si>
    <t>Adición al contrato 444 de 2021  “Mantenimiento preventivo y correctivo, incluyendo el suministro de repuestos, insumos y mano de obra especializada para los vehículos pesados pertenecientes al parque automotor de la Unidad Administrativa Especial Cuerpo Oficial de Bomberos de Bogotá D.C.”</t>
  </si>
  <si>
    <t>Adición al contrato 445 de 2021  “Mantenimiento preventivo y correctivo, incluyendo el suministro de repuestos, insumos y mano de obra especializada para los vehículos livianos pertenecientes al parque automotor de la Unidad Administrativa Especial Cuerpo Oficial de Bomberos de Bogotá D.C.”</t>
  </si>
  <si>
    <t>El Suministro e instalación de llantas y otros servicios,  para los vehículos del parque automotor de la UAECOB</t>
  </si>
  <si>
    <t>Disponer el servicio de suministro de combustibles para vehículos, máquinas y equipos especializados dentro y fuera de Bogotá.</t>
  </si>
  <si>
    <t>72101509;72101517;72151511;72154109;72154300</t>
  </si>
  <si>
    <t>Mantenimiento Correctivo y Preventivo de los Equipos Menores con suministro, repuestos, accesorios e insumo</t>
  </si>
  <si>
    <t>Prestar el servicio de mantenimiento preventivo y correctivo, incluido el suministro de repuestos e insumos y mano de obra especializada para los equipos de detección multigases marca Dräger, propiedad de la UAECOB</t>
  </si>
  <si>
    <t>72101509
46191600</t>
  </si>
  <si>
    <t>Mantenimiento y Suministro de repuestos, accesorios e insumos de Equipos de Rescate Vehicular Liviano y Pesado.</t>
  </si>
  <si>
    <t>Prestación del servicio de mantenimiento preventivo y correctivo de los equipos de respiración autónoma INTERSPIRO propiedad de la UAECOB, incluido el suministro de repuestos, insumos y mano de obra especializada.</t>
  </si>
  <si>
    <t>Suministro de espuma y concentrado de espuma y adquisición, mantenimiento y recarga de extintores, cilindros y tanques de las maquinas extintoras.</t>
  </si>
  <si>
    <t>Contratar el servicio de Transporte Especial Terrestre, para la ejecución de actividades inherentes a la misionalidad de la Unidad Administrativa Especial Cuerpo Oficial de Bomberos de Bogotá.</t>
  </si>
  <si>
    <t>Pago de pasivos exigibles</t>
  </si>
  <si>
    <t>Prestación de servicios profesionales para acompañar a la Subdirección Logística en la estructuración y definición de aspectos técnicos y financieros en  los diferentes procesos de contratación de bienes y servicios en las etapas precontractual, contractual y postcontractual adelantados por la Subdirección Logística - SBLG</t>
  </si>
  <si>
    <t>Prestación de servicios profesionales para coordinar, controlar y ejercer seguimiento al proceso de equipo menor a cargo de la Subdirección Logística - SBLG</t>
  </si>
  <si>
    <t>Prestación de servicios profesionales para acompañar a la Subdirección Logística en la estructuración y definición de aspectos jurídicos y contractuales en  los diferentes procesos de contratación de bienes y servicios adelantados por la Subdirección Logística - SBLG</t>
  </si>
  <si>
    <t>Prestar por sus propios medios con plena autonomía técnica y administrativa los servicios profesionales para el desarrollo y soporte de aplicativos para el funcionamiento de la Subdirección Logística - SBLG</t>
  </si>
  <si>
    <t>Prestación de servicios profesionales para acompañar a la Suddirección Logística en el seguimiento  técnico referente al mantenimiento de los vehículos del parque automotor de la UAECOB - SBLG</t>
  </si>
  <si>
    <t>Prestación de servicios profesionales para realizar el seguimiento administrativo, operativo, control y monitoreo a los vehículos  del parque automotor, que se encuentren o sean objeto de mantenimiento a cargo de la Subdirección Logística - SBLG</t>
  </si>
  <si>
    <t>Prestación de servicios como conductor en los diferentes recorridos de carácter operativo que se requieran en la Subdirección Logística - SBLG</t>
  </si>
  <si>
    <t>Prestación de servicios de apoyo a la gestión en el seguimiento y control de las actuaciones administrativas necesarias para suministros consumibles a cargo de la Subdirección Logística - SBLG</t>
  </si>
  <si>
    <t>Prestación de servicios profesionales para acompañar a la Subdirección Logística, en el diseño, implementación, reporte y monitoreo de los diferentes procedimientos que competen a esta Subdirección - SBLG</t>
  </si>
  <si>
    <t>Prestación de servicios profesionales para acompañar a la Subdirección Logística, en el diligenciamiento y  seguimiento de las herramientas de planificación y  gestión de los procedimientos a cargo de esta Subdirección - SBLG</t>
  </si>
  <si>
    <t>Prestación de servicios profesionales para apoyar a la subdirección logística en el seguimiento a indicadores, contratos, proyectos de inversión y desarrollo de actividades presupuestales a cargo de esta dependencia. - SBLG</t>
  </si>
  <si>
    <t>Prestación de servicios profesionales para acompañar a la Subdirección Logística, en el diligenciamiento y  seguimiento de las herramientas de planificación y  gestión de los procedimientos a cargo de esta Subdirección.  - SBLG</t>
  </si>
  <si>
    <t>Prestación de servicios de apoyo a la gestión para realizar la revisión, verificación y mantenimiento preventivo al equipo menor con el que cuenta la Subdirección Logística - SBLG</t>
  </si>
  <si>
    <t>Prestación de servicios de apoyo a la gestión en el seguimiento y control de los contratos de suministros y consumibles a cargo de la Subdirección Logística - SBLG</t>
  </si>
  <si>
    <t>Prestación de servicios de apoyo a la gestión para la Subdirección Logística en las actividades relacionadas con el componente administrativo de los procesos relacionados con consumibles y suministros y equipo menor a cargo de esta Subdirección.  - SBLG</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</si>
  <si>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Logistica - SBLG</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</si>
  <si>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Logística - SBLG</t>
  </si>
  <si>
    <t>Prestación de servicios profesionales para la Subdirección Logística en el seguimiento y control del componente ambiental, así como, la gestión de solicitudes de mesa logística en relación con  parque automotor, equipo menor y suministros consumibles - SBLG</t>
  </si>
  <si>
    <t>Prestación de servicios profesionales para realizar el acompañamiento y apoyo en el seguimiento y control a los diferentes procesos y procedimientos del equipo menor a cargo de la Subdirección Logística - SBLG</t>
  </si>
  <si>
    <t>Prestación de servicios profesionales para acompañar a la Subdirección Logística, en la estructuración y definición de aspectos jurídicos en las etapas precontractuales, contractuales y postcontractuales  en el marco de los procesos y procedimientos a cargo de la dependencia.  - SBLG</t>
  </si>
  <si>
    <t>Prestación de servicios de apoyo a la gestión para realizar la revisión, verificación y mantenimiento preventivo y correctivo al equipo menora cargo de la Subdirección Logística - SBLG</t>
  </si>
  <si>
    <t>Prestación de servicios profesionales para acompañar a la Subdirección Logística en el seguimiento técnico del mantenimiento de los vehículos del parque automotor de la UAECOB - SBLG</t>
  </si>
  <si>
    <t>Prestación de servicios de apoyo a la gestión para realizar transcripción, digitación y redacción de actas de reunión y demás actividades administrativas a cargo de la Subdirección Logística - SBLG</t>
  </si>
  <si>
    <t>Prestación de servicios de apoyo a la gestión para realizar el seguimiento y control de las bases de datos y actualización de hojas de vida del equipo menor a cargo de la Subdirección Logística - SBLG</t>
  </si>
  <si>
    <t>Prestación de servicios profesionales para realizar el seguimiento operativo, monitoreo,  programación  de los mantenimientos preventivos y correctivos del equipo menor  a cargo de la Subdirección Logística - SBLG</t>
  </si>
  <si>
    <t xml:space="preserve">Prestación de servicios profesionales para apoyar a la Subdirección Logística en el desarrollo de actividades presupuestales y de seguimiento a los contratos y proyectos a cargo de esta dependencia. - SBLG </t>
  </si>
  <si>
    <t>Prestación de servicios profesionales para realizar el procesos de socialización, capacitación y manejo de la herramienta e  implementación de los aplicativos implementados por la Subdirección Logística - SBLG</t>
  </si>
  <si>
    <t>Prestación de servicios profesionales para la elaboración de informes referentes a los procesos a cargo de la Subdirección Logística - SBLG</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</si>
  <si>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Logística. - SBLG</t>
  </si>
  <si>
    <t>Prestación de servicios profesionales para acompañar a la Subdirección Logística, en la estructuración y definición de aspectos jurídicos en las etapas precontractuales, contractuales y postcontractuales  en el marco de los procesos y procedimientos a cargo de la dependencia - SBLG</t>
  </si>
  <si>
    <t>Prestación de servicios de apoyo a la gestión para la Subdirección Logística en las actividades relacionadas con el componente administrativo de los procesos a cargo de esta Subdirección - SBLG</t>
  </si>
  <si>
    <t>Prestación de servicios profesionales en actividades, administrativas, operativas y documentales del parque automotor con el cual cuenta la Subdirección Logística - SBLG</t>
  </si>
  <si>
    <t>Prestación de servicios profesionales a la Subdirección Logistica de la UAECOB para generar información de valor e instrumentos de seguimiento a partir de los datos asociados a la ejecución y seguimiento de los procesos, planes y proyectos adelantados y ejecutados por la dependencia. SBLG</t>
  </si>
  <si>
    <t>Prestación de servicios profesionales de carácter administrativo y financiero en el marco de los procesos y procedimientos a cargo de la Subdirección Logística - SBLG</t>
  </si>
  <si>
    <t>Prestación de servicios profesionales a la Subdirección Logística, para apoyar la implementación y la generación de reportes del proceso de equipo menor a cargo de está dependencia - SBLG</t>
  </si>
  <si>
    <t>Prestación de servicios de apoyo a la gestión de carácter administrativo y documental para la atención de requerimientos, solicitudes y tramites documentales del personal operativo Logística - SBLG</t>
  </si>
  <si>
    <t>Prestación de servicios de apoyo a la gestión para realizar la revisión, verificación y mantenimiento preventivo y correctivo al equipo menor cargo de la Subdirección Logística - SBLG</t>
  </si>
  <si>
    <t>44121700;
44121800;
44121900;
44122000</t>
  </si>
  <si>
    <t xml:space="preserve"> Adición y prórroga al contrato No. 609 de 2021 con objeto"Suministro de implementos de papelería y oficina para las dependencias de la UAE Cuerpo Oficial de Bomberos SGC</t>
  </si>
  <si>
    <t>Suministro  de implementos  de  papelería y oficina para las dependencias de la UAE Cuerpo  Oficial de Bomberos-SGC</t>
  </si>
  <si>
    <t>Adición y prórroga al contrato No. 079 de 2021 con objeto"Contratar la prestación del servicio de aseo y cafetería incluido insumos para la UAE Cuerpo Oficial de Bomberos-SGC</t>
  </si>
  <si>
    <t>Contratar la prestación del servicio de aseo y cafetería incluído insumos para la UAE Cuerpo Oficial de Bomberos -SGC</t>
  </si>
  <si>
    <t>Suministro  de implementos  de  papelería y oficina   para las dependencias de la UAE Cuerpo  Oficial de Bomberos -SGC</t>
  </si>
  <si>
    <t>44103100;
44103101;
44103103;
44103105;
44103106;
44103108;
44103110;
44103111;</t>
  </si>
  <si>
    <t>Suministro de insumos para computador e impresoras para las dependenciasde la UAE Cuerpo Oficial de Bomberos.-SGC</t>
  </si>
  <si>
    <t>Suministro de insumos para las impresoras de las estaciones de la UAE Cuerpo Oficial de Bomberos -SGC</t>
  </si>
  <si>
    <t>Suministro  de implementos  de  papelería y oficina   para las dependencias de la UAE Cuerpo  Oficial de Bomberos-SGC</t>
  </si>
  <si>
    <t>Adición y prórroga al contrato No. 609 de 2021 con objeto"Suministro de implementos de papelería y oficina para las dependencias de la UAE Cuerpo Oficial de Bomberos SGC</t>
  </si>
  <si>
    <t>78102206;</t>
  </si>
  <si>
    <t>Prestar a la UAECOB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</si>
  <si>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Adición y prórroga al contrato No. 464 de 2021 con objeto" Prestar a la UAECOB los servicios postales, la radicación ,digitalizaciónde correspondencia, el servicio de alistamiento básico, elaboración de guías,recolección,transporte y entrega de correo (sobres y/o paquetes) a nivel urbano, nacional e internacional, así como la administración delpunto de correspondencia, con personal idóneo, equipos periféricos y motorizados, conforme lo establecido en la Ley 1369 del 2009 y demás normas concordantes y complementarios.-SGC</t>
  </si>
  <si>
    <t>84131600; 
84131500;
84131600;</t>
  </si>
  <si>
    <t>Contratar el programa integral de seguros-SGC</t>
  </si>
  <si>
    <t>80131502;</t>
  </si>
  <si>
    <t>Arrendamiento de instalaciones estación Marichuela -SGC</t>
  </si>
  <si>
    <t>Arrendamiento de instalaciones estación Ferias--SGC</t>
  </si>
  <si>
    <t>Contratar la prestación de servicios profesionales y Técnicos  a cargo de la Subdirección de Gestión Corporativa a fin de garantizar la continuidad del servicios-SGC</t>
  </si>
  <si>
    <t>Prestar el servicio de vigilancia y seguridad privada en la modalidad de vigilancia fija, según especificaciones técnicas, en las instalaciones donde la UAE Especial Cuerpo Oficial de Bomberos requiera-SGC</t>
  </si>
  <si>
    <t>72154010;
72101506;</t>
  </si>
  <si>
    <t>Mantenimiento ascensor nueva Estación de Bomberos de Fontibón-SGC</t>
  </si>
  <si>
    <t>72101506;</t>
  </si>
  <si>
    <t>Adición y prórroga al contrato No. 304 de 2021 con objeto "Mantenimiento correctivo y preventivo con suministro de repuestos para los Ascensores Edificio Comando. -SGC"</t>
  </si>
  <si>
    <t>Mantenimiento correctivo y preventivo con suministro de repuestos para los Ascensores Edificio Comando-SGC</t>
  </si>
  <si>
    <t>Contratar el servicio de saneamiento ambiental y el servicio de poda y jardinería para las áreas verdes en las 18 sedes de la UAECOB-SGC</t>
  </si>
  <si>
    <t>Prestar los servicios profesionales jurídicos especializados en el desarrollo de las funciones de la Oficina Asesora Jurídica.</t>
  </si>
  <si>
    <t>Prestar los servicios los servicios profesionales jurídicos para apoyar las actuaciones procesales y procedimentales de la Oficina Asesora Jurídica.</t>
  </si>
  <si>
    <t>Prestar los servicios profesionales jurídicos especializados para la verificación de la legalidad contractual en el desarrollo de las funciones de la Oficina Asesora Jurídica.</t>
  </si>
  <si>
    <t>78181505;</t>
  </si>
  <si>
    <t>CONTRATAR EL SERVICIO DE REVISION TÉCNICO MECÁNICA Y DE EMISION DE GASES CONTAMINANTES PARA LOS VEHICULOS QUE FORMAN PARTE DEL PARQUE AUTOMOTOR DE LA UNIDAD ADMINISTRATIVA ESPECIAL CUERPO OFICIAL DE BOMBEROS DE BOGOTÁ - UAECOB-SBLG</t>
  </si>
  <si>
    <t>53102700;53111601; 3111602;</t>
  </si>
  <si>
    <t>Adquisición de uniformes para el personal operativo</t>
  </si>
  <si>
    <t>901016; 
901116; 
901417; 
901517</t>
  </si>
  <si>
    <t>Contratar la Prestación de Servicios para desarrollar el Plan de Bienestar de la UAE Cuerpo Oficial de Bomberos para la Vigencia 2022.</t>
  </si>
  <si>
    <t>no requiere</t>
  </si>
  <si>
    <t>Incentivos</t>
  </si>
  <si>
    <t>NA</t>
  </si>
  <si>
    <t>85121503; 
85121603; 
85121604; 
85121608; 
85121610; 
85121611; 
85121612; 
85121702;
 85122201;</t>
  </si>
  <si>
    <t>Realizar los exámenes Médicos Ocupacionales para el personal de la UAECOB</t>
  </si>
  <si>
    <t>46181900;
46181901;</t>
  </si>
  <si>
    <t>Realizar compra de insumos y elementos de emergencia, elementos para dotación de botiquines, capacitación y formacion en temas relacionados con SST ( medicina preventiva, Seguridad industrial, psicologia), semana de la salud, actividades preventivas como campañas auditivas y visuales).</t>
  </si>
  <si>
    <t>Servicios de consultoría en administración y servicios de gestión; servicios de tecnología de la información, para efecto Concurso Nacional del empleo Bombero, código 475, Grado 15, a través de la Comisión Nacional del Servicio Civil.</t>
  </si>
  <si>
    <t>43233205;</t>
  </si>
  <si>
    <t>Contratar la adquisición de los certificados digitales de seguridad SSL para los portales web de la U.A.E Cuerpo Oficial de Bomberos de Bogotá – TIC</t>
  </si>
  <si>
    <t xml:space="preserve">Contratar la adquisición de certificado de firma digital función pública, con su respectivo dispositivo criptográfico de almacenamiento del certificado digital. </t>
  </si>
  <si>
    <t>81112213; 
81112501;</t>
  </si>
  <si>
    <t>Adición y prórroga contrato 455 de 2021 cuyo objeto es "Prestar los servicios de mantenimiento, soporte técnico, mejoras y actualizaciones del aplicativo PCT utilizado por la UEACOB."</t>
  </si>
  <si>
    <t xml:space="preserve">81112213; 
81112501; </t>
  </si>
  <si>
    <t>Contratar el servicio de soporte técnico a distancia del aplicativo PCT, utilizado por la U.A.E Cuerpo Oficial de Bomberos Bogota - TIC</t>
  </si>
  <si>
    <t>81112222;</t>
  </si>
  <si>
    <t>Prestar los servicios de mantenimiento, soporte técnico, mejoras y actualizaciones de Aranda utilizado por la UEACOB.</t>
  </si>
  <si>
    <t>81112501; 
43232102; 
43232103; 
43231512;</t>
  </si>
  <si>
    <t>"Contratar  la suscripción de licencias Suite Adobe para la U.A.E Cuerpo Oficial de Bomberos de Bogotá"</t>
  </si>
  <si>
    <t>81111811;</t>
  </si>
  <si>
    <t>Soporte técnico en Sitio y mantenimiento correctivo con suministro de repuestos para la infraestructura tecnológica de la UAE Cuerpo Oficial de Bomberos, ubicada en las estaciones de Bomberos,  sus sedes administrativas y sus puntos de atención ciudadana en los SUPERCADES de Bogotá, D.C</t>
  </si>
  <si>
    <t>81112000;</t>
  </si>
  <si>
    <t>Adición y prórroga contrato 084 de 2021 cuyo objeto es "Contratar los servicios de canales de datos dedicados para la infraestructura LAN de Internet para la UAE Cuerpo Oficial de Bomberos de Bogotá."</t>
  </si>
  <si>
    <t>81112100;</t>
  </si>
  <si>
    <t>Contratar los servicios de canales de datos dedicados para la infraestructura LAN de Internet para la UAE Cuerpo Oficial de Bomberos de Bogotá.</t>
  </si>
  <si>
    <t xml:space="preserve">Pago de Pasivos cto 338  de 2019 </t>
  </si>
  <si>
    <t>pago de pasivos cto 193 de 2018</t>
  </si>
  <si>
    <t>Adición y prórroga del Cto 673 de 2021 " PRESTAR LOS SERVICIOS PROFESIONALES PARA DESARROLLAR ACTIVIDADES RELACIONADAS CON EL ANÁLISIS, DISEÑO, CONSTRUCCIÓN, ACTUALIZACIÓN, DESPLIEGUE EN PRODUCCIÓN, MONITOREO, EJECUCIÓN, SEGUIMIENTO E INTEGRACIÓN DE APLICATIVOS, HERRAMIENTAS Y SISTEMAS DE INFORMACIÓN, CONFORME A LOS REQUERIMIENTOS DE LA ENTIDAD." -TIC-</t>
  </si>
  <si>
    <t>Prestar sus servicios profesionales para apoyar a la Unidad Administrativa Especial Cuerpo Oficial de Bomberos – UAECOB en la identificación, captura y consolidación de la información que permita aportar elementos a la dimensión de gestión del conocimiento del MIPG asociados a la estrategia de preparativos para la entidad. -OAP-</t>
  </si>
  <si>
    <t>Prestar los servicios de apoyo para las gestiones documentales y administrativas requerida por la Oficina Asesora Jurídica</t>
  </si>
  <si>
    <t>Prestar servicios profesionales para apoyar a la oficina asesora de planeación en la formulación, seguimiento y control presupuestal y estratégico de los proyectos de inversión de la Entidad.-OAP-</t>
  </si>
  <si>
    <t>Prestar los servicios de apoyo administrativo a la Unidad Administrativa, para atender respuestas a requerimientos, consolidacion de la informacion y articulacion de la informacion entre las dependencias.</t>
  </si>
  <si>
    <t>84131500;
84131600</t>
  </si>
  <si>
    <t>Seleccionar un intermediario de seguros, legalmente establecido en Colombia para que preste a la UNIDAD ADMINISTRATIVA ESPECIALCUERPO OFICIAL DE BOMBEROS – UAECOB sus servicios profesionales    de asesoría, administración y manejo del programa de seguros, destinado a proteger a las personas, bienes e intereses patrimoniales de la entidad y aquellos por los que sea o fuere legalmente responsable</t>
  </si>
  <si>
    <t>Prestar servicios profesionales para llevar acabo el soporte de primer nivel a los recursos tecnológicos de la Entidad.-TIC-</t>
  </si>
  <si>
    <t>43232300; 
43232500;
43233700;
86141500;
81111800;
81112500;
86141700;
86111500;</t>
  </si>
  <si>
    <t>Contratar un servicio de acceso a la herramienta LMS E-learning, que permita el desarrollo de las capacitaciones virtuales programadas en la UAECOB._SGR</t>
  </si>
  <si>
    <t>Adicion y prorroga del Cto No. 529 de 2021 con orden de compra No.75448 , cuyo objeto es "Contratar el mantenimiento preventivo y correctivo con suministro de repuestos y soporte en sitio para la infraestructura tecnológica de la UAE Cuerpo Oficial de Bomberos, ubicada en las estaciones de Bomberos, sus sedes administrativas y sus puntos de atención ciudadana en los SUPERCADES de Bogotá, D.C  "</t>
  </si>
  <si>
    <t>OTROS SERVICIO DE COMIDAS CONTRATADAS (Pasivos Exigibles)</t>
  </si>
  <si>
    <t xml:space="preserve">OTROS EQUIPOS  (Pasivos Exigibles)
</t>
  </si>
  <si>
    <t>SERVICIO DE MANTENIMIENTO Y REPARACIÓN DE OTROS EQUIPOS  (Pasivos Exigibles)</t>
  </si>
  <si>
    <t>ALIMENTOS PARA PERROS  (Pasivos Exigibles)</t>
  </si>
  <si>
    <t>Adicionar y prorrogar el contrato 681 de 2021 cuyo objeto es "PRESTACIÓN DEL SERVICIO DE MANTENIMIENTO PREVENTIVO Y CORRECTIVO DE LOS EQUIPOS DE RESPIRACIÓN AUTÓNOMA INTERSPIRO PROPIEDAD DE LA UAECOB, INCLUIDO EL SUMINISTRO DE REPUESTOS, INSUMOS Y MANO DE OBRA ESPECIALIZADA".</t>
  </si>
  <si>
    <t>Formar competencias básicas y prácticas ante situaciones de emergencias y desastres en primeros auxilios psicológicos a servidores de la UAECOB y cumplir con las especificaciones de la ficha técnica</t>
  </si>
  <si>
    <t>81111508
81111809
81161501
43230000
43231500
43231513</t>
  </si>
  <si>
    <t>"Contratar el servicio para el control de acceso de visitantes del edificio  comando de la UAECOB"</t>
  </si>
  <si>
    <t>72154101;72154106</t>
  </si>
  <si>
    <t>Adicionar y prorrogar el contrato 698 de 2021 cuyo objeto es "Prestar el servicio de mantenimiento preventivo y correctivo, incluyendo el suministro de repuestos, insumos y mano de obra especializada para los compresores BAUER, propiedad de la Unidad Administrativa Especial Cuerpo Oficial de Bomberos de Bogotá D.C. (UAECOB)"</t>
  </si>
  <si>
    <t xml:space="preserve"> 46181900;
 46181901</t>
  </si>
  <si>
    <t>Adquirir elementos de protección personal para prevenir la aparición de enfermedades ocupacionales en el oido en el personal de la UAE cuerpo oficial de bomberos.</t>
  </si>
  <si>
    <t>56101500;561217</t>
  </si>
  <si>
    <t>Adquisición de mobiliario para las diferentes estaciones de la UAE Cuerpo Oficial de Bomberos – SGC</t>
  </si>
  <si>
    <t xml:space="preserve">49201501;
49201503;
49201516;
49201603;
49201605;
49201611 </t>
  </si>
  <si>
    <t>Suministro de equipos y elementos de gimnasio para las diferentes estaciones de la UAE Cuerpo Oficial de Bomberos-SGC</t>
  </si>
  <si>
    <t>Contratar la renovación de la membresia en LACNIC para mantener la disponibilidad del bloque de direcciones IPV6 para la U.A.E. Cuerpo Oficial de Bomberos de Bogotá</t>
  </si>
  <si>
    <t>Adquisición de un equipo de montacargas para la bogeda forestal de la estación de Bomberos Bellavista B9-SGC</t>
  </si>
  <si>
    <t>Adición y prórroga al Contrato 393 de 2021 cuyo objeto es " Contratar el alquiler de equipos tecnológicos, periféricos y servicios complementarios para la UAECOB"</t>
  </si>
  <si>
    <t xml:space="preserve">viabilidad 21 de abril 2022 </t>
  </si>
  <si>
    <t>Adición y prórroga al Contrato 394 de 2021 cuyo objeto es "  Contratar el alquiler de equipos tecnológicos, periféricos y servicios complementarios para la UAECOB"</t>
  </si>
  <si>
    <t>viabilidad mayo 11 por menor valor 363.521.602</t>
  </si>
  <si>
    <t>“AUTECO MOBILITY SAS (COMODANTE) hace entrega real a la UAE-CUERPO OFICIAL DE BOMBEROS DE BOGOTA (COMODATARIO), en préstamo de uso (COMODATO) a título gratuito y con cargo a restituir los bienes descritos que se relacionan en el Capítulo II Anexo Técnico del presente documento con el fin de Implementar un piloto de movilidad sostenible que permita establecer el potencial existente en el uso de medios de transporte alternativos en la prestación de los servicios misionales de las estaciones de bomberos y el Cuerpo Oficial de Bomberos de Bogotá.</t>
  </si>
  <si>
    <t xml:space="preserve">“CELSIA COLOMBIA S.A. E.S.P. como mandatario de P.A MUVERANG (COMODANTE) hace entrega real a la UAE-CUERPO OFICIAL DE BOMBEROS DE BOGOTA (COMODATARIO), en préstamo de uso (COMODATO) a título gratuito y con cargo a restituir los bienes descritos que se relacionan en el Capítulo II Anexo Técnico del presente documento con el fin de Implementar un piloto de movilidad sostenible que permita establecer el potencial existente en el uso de medios de transporte alternativos en la prestación de los servicios misionales de las estaciones de bomberos y el Cuerpo Oficial de Bomberos de Bogotá. </t>
  </si>
  <si>
    <t>70122002;70122005;70122006;70122007;70122008;70122009;70122010</t>
  </si>
  <si>
    <t>Prestar los servicios médicos veterinarios, incluida la hospitalización y el suministro de medicamentos e insumos veterinarios para los caninos del grupo especial de Búsqueda y Rescate Animal en Emergencias (BRAE) de la UAE Cuerpo Oficial de Bomberos</t>
  </si>
  <si>
    <t>Adición al contrato No. 470 de 2021, cuyo objeto es "Prestar servicios profesionales en la Subdirección de Gestión Humana, en las actividades con el proceso de Academia".</t>
  </si>
  <si>
    <t>ADICION Y PRORROGA  Contrato de Prestación de Servicios 543 de 2021.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</si>
  <si>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Contratar la adquisición y actualización tecnológica de los equipos activos y accesorios en la U.A.E Cuerpo Oficial de Bomberos de Bogota. - TIC</t>
  </si>
  <si>
    <t xml:space="preserve">viabilidad mayo 9 de 2022 </t>
  </si>
  <si>
    <t>ADICION Y PRORROGA CTO 082 "Prestar servicios profesionales en la estructuración y seguimiento de  los componentes técnicos y administrativos  que se requieran en las diferentes etapas de los procesos contractuales y estratégicos que adelante la subdirección de gestión del riesgo._SGR"</t>
  </si>
  <si>
    <t xml:space="preserve">viabilidad mayo 16 de 2022 </t>
  </si>
  <si>
    <t>Prestar sus servicios a la Subdirección de Gestión del Riesgo en las actividades de Caracterización y Análisis de Escenarios de Riesgo._SGR</t>
  </si>
  <si>
    <t>Prestar sus servicios de apoyo tecnico para realizar las inspecciones relacionadas con la emision de conceptos a cargo de la Subdirección de Gestión del Riesgo._SGR</t>
  </si>
  <si>
    <t>ADICION Y PRORROGA CTO 178 "Apoyar las actividades de la Subdirección de Gestión del riesgo relacionadas con los procesos de Reducción del Riesgo._SGR"</t>
  </si>
  <si>
    <t xml:space="preserve">viabilidad 16 de mayo de 2022 </t>
  </si>
  <si>
    <t>Adición y Prórroga al contrato 598 de 2021 que tiene como objeto" Contratar el paquete integral de seguros-SGC"</t>
  </si>
  <si>
    <t xml:space="preserve">91111602;
47101568;
49241712;
</t>
  </si>
  <si>
    <r>
      <t xml:space="preserve">
</t>
    </r>
    <r>
      <rPr>
        <sz val="12"/>
        <rFont val="Arial"/>
        <family val="2"/>
      </rPr>
      <t>Prestar los servicios de mantenimiento de la piscina construida en la Estación de Bomberos de Kennedy "Alejandro Lince" B5, como escenario para el acondicionamiento físico y entrenamiento del personal del Cuerpo Oficial de Bomberos de Bogotá para el cumplimiento de su misionalidad-SGC</t>
    </r>
  </si>
  <si>
    <t>56101500;
56121500; 
48101900;
52152100;
56101700;
52131520;
52161500; 
56101500; 
11121600; 
56101900;</t>
  </si>
  <si>
    <t>Suministro de Muebles, Enseres, Maquinaria, Equipo y demás elementos que sean requeridos por las diferentes estaciones y edificio comando de la UAE Cuerpo Oficial de Bomberos Bogotá- SGC</t>
  </si>
  <si>
    <t>431707;
40101601;
73171507;
23201202;</t>
  </si>
  <si>
    <t xml:space="preserve">Compra e instalación de secadores eléctricos para manos requeridos en el Edificio Comando de la Entidad--SGC
</t>
  </si>
  <si>
    <t>60141000
60141100
60141200
60141400
73101500
73151500</t>
  </si>
  <si>
    <t>Adquisición de elementos de apoyo didáctico y pedagógico para actividades, programas y campañas requeridas en la Subdirección de Gestión del Riesgo_SGR</t>
  </si>
  <si>
    <t>Suministro de raciones de campaña para la U.A.E. Cuerpo Oficial de Bomberos de Bogotá D.C.</t>
  </si>
  <si>
    <t>Prestación de servicios de apoyo a la gestión de carácter administrativo y documental para la atención de requerimientos y solicitudes y realización de trámites relacionados con los procesos y procedimientos a cargo de la Subdirección Logística - SBLG</t>
  </si>
  <si>
    <t>Adición y prórroga al Contrato 394 de 2021 cuyo objeto es " Contratar el alquiler de equipos tecnológicos, periféricos y servicios complementarios para la UAECOB"</t>
  </si>
  <si>
    <t>32131023
39121011
43232300</t>
  </si>
  <si>
    <t>Adición y prórroga al Contrato 519 de 2021 cuyo objeto es "Contratar el servicio de mantenimiento para el sistema de atención de turnos"</t>
  </si>
  <si>
    <t>Contratar la adquisición de un (1) equipo de aire acondicionado para la U.A.E. Cuerpo Oficial de Bomberos de Bogotá</t>
  </si>
  <si>
    <t>Prestar servicios profesionales para el desarrollo de programas, campañas y proyectos para la Subdirección de Gestión del Riesgo._SGR</t>
  </si>
  <si>
    <t>viabilidad 28 de junio de 2022</t>
  </si>
  <si>
    <t xml:space="preserve">Adición y prórroga al Contrato 264 de 2022 cuyo objeto es " Prestar servicios profesionales para la gestión de proyectos y administración de Bases de Datos garantizando la sostenibilidad de la información en la UAECOB. –TIC" </t>
  </si>
  <si>
    <t>Adición y prórroga al Contrato 274 de 2022 cuyo objeto es " Prestar los servicios profesionales para apoyar la implementación y control de las políticas de Seguridad de la Información y Gobierno Digital, así como hacer seguimiento a los Planes Institucionales asociados a TIC . –TIC"</t>
  </si>
  <si>
    <t>Contratar la instalación y puesta en funcionamiento de las radiobases Motorola en las estaciones de bomberos Marichuela y Bellavista de la U.A.E. Cuerpo Oficial de Bomberos de Bogotá - TIC</t>
  </si>
  <si>
    <t>81112001;
81112002; 
32101656; 
25173107;</t>
  </si>
  <si>
    <t>Adición y prórroga al Contrato 672 de 2021 cuyo objeto es "Prestar el servicio de monitoreo, control y seguimiento satelital a los vehículos de propiedad de la UAECOB"</t>
  </si>
  <si>
    <t>81111500
43233200
43233700</t>
  </si>
  <si>
    <t>Contratar la Aquisición de un software de  analisis de vulnerabilidades para la U.A.E Cuerpo Oficial de Bomberos de Bogotá. - TIC-</t>
  </si>
  <si>
    <t>SGH - Prestar sus servicios profesionales en la Subdirección de Gestión Humana.</t>
  </si>
  <si>
    <t>Prestación de servicios profesionales para la estructuración de procesos de selección, requeridos por  la Subdirección Operativa.</t>
  </si>
  <si>
    <t>Prestación de servicios de apoyo a la gestión en las actividades que demanda la Subdirección Operativa.</t>
  </si>
  <si>
    <t>Prestación de servicios profesionales en temas de sostenibilidad, desarrollo social ambiental y económico de los diferentes procesos y procedimientos de la UAE Cuerpo Oficial de Bomberos._SGR</t>
  </si>
  <si>
    <t>Contratar la adquisición de video proyectores para las estaciones de Bicentenario, Fontibon y Kennedy de la UAE Cuerpo Oficial de Bomberos.</t>
  </si>
  <si>
    <t>Prestar servicios de apoyo a la gestión en la UAECOB, en asuntos administrativos y asistenciales requeridos, especificamente en el seguimiento de la información</t>
  </si>
  <si>
    <t>Adicion y prorroga del contrato 127 de 2022 cuyo objeto es: "Prestar servicios de apoyo técnico a la gestión para llevar a cabo la ejecución de actividades logísticas y administrativas que sea requieran para el fortalecimiento de la Planeación y Gestión en la UAE Cuerpo Oficial Bomberos de Bogotá"</t>
  </si>
  <si>
    <t>Prestar el servicio de mantenimiento preventivo y correctivo de las motobombas forestales FOX propiedad de la UAECOB, incluido el suministro de repuestos, insumos y mano de obra especializada.  SBLG</t>
  </si>
  <si>
    <t>40151601; 40151802</t>
  </si>
  <si>
    <t>Prestar el servicio de mantenimiento preventivo y correctivo de los equipos Br Jr. Y Oceanus propiedad de la UAECOB, incluido el suministro de repuestos, insumos y mano de obra especializada.  SBLG</t>
  </si>
  <si>
    <t>Prestar el servicio de mantenimiento preventivo y correctivo de los Equipos de Rescate Vehicular  Holamatro propiedad de la UAECOB, incluido el suministro de repuestos, insumos y mano de obra especializada.  SBLG</t>
  </si>
  <si>
    <t>Prestar el servicio de mantenimiento preventivo y correctivo de los equipos de respiración autónoma Dragüer propiedad de la UAECOB, incluido el suministro de repuestos, insumos y mano de obra especializada.</t>
  </si>
  <si>
    <t>Prestación de servicios de apoyo a la gestión para la recepción, trámite, seguimiento, diligenciamiento de bases de datos y control de las solicitudes o requerimientos relacionados con los procesos a cargo de la Subdirección Logística de la UAE Cuerpo Oficial de Bomberos de Bogotá D.C., así como, la gestión documental de las mismas tanto físicas como digitales.</t>
  </si>
  <si>
    <t>Prestar por sus propios medios con plena autonomía técnica y administrativa, sus servicios profesionales a la Subdirección Logistica de la UAE Cuerpo Oficial de Bomberos de Bogota D.C., generando información de valor, recomendaciones, alertas e instrumentos de seguimiento teniendo como insumo los datos y cifras asociadas a la ejecución y al seguimiento de los planes y proyectos adelantados y ejecutados por la Subdirección.</t>
  </si>
  <si>
    <t xml:space="preserve">Prestación de servicios profesionales especializados para articular y revisar los procesos y procedimientos del área de infraestructura, así como en el apoyo a la supervisión de los contratos que le sean asignados-SGC. 
 </t>
  </si>
  <si>
    <t>Prestar los servicios profesionales en asuntos de derecho administrativo, contratación estatal y procedimiento administrativo sancionatorio en materia contractual a la subdirección de gestión corporativa- SGC</t>
  </si>
  <si>
    <t>72121400;72151700;95121700</t>
  </si>
  <si>
    <t>Adición y Prórroga No. 1 al contrato 683 de 2021 que tiene como objeto"Construcción de la Ampliación y Reforzamiento Estructural de la Estaciónde Bomberos de Marichuela.-SGC</t>
  </si>
  <si>
    <t>Prestar los servicios como conductor de  la Subdireccion de Gestion Corporativa -SGC</t>
  </si>
  <si>
    <t>SI - 27-05-2022</t>
  </si>
  <si>
    <t>46171619
43230000
43233700
43233201</t>
  </si>
  <si>
    <t>Contratar la adquisición, configuración, instalación y puesta en funcionamiento de una solución de control de acceso con reconocimiento facial para la U.A.E. Cuerpo Oficial Bomberos de Bogotá</t>
  </si>
  <si>
    <t>43210000
43212100</t>
  </si>
  <si>
    <t>Contratar la adquisición de equipo de impresión de rótulos, lectorde código de barras y consumibles para la Subdirección Logística de acuerdo a las condiciones técnicas exigibles.</t>
  </si>
  <si>
    <t>Adición y prórroga al contrato 276 de 2022 que tiene como objeto " Prestación de servicios de apoyo a la gestión a la Subdirección de Gestión Corporativa para el cumplimiento de las funciones asignadas a esta dependencia, especialmente las tareas de tipo administrativo relacionadas con asuntos disciplinarios.-SGC</t>
  </si>
  <si>
    <t>Adición y prórroga al contrato 240 de 2022 que tiene como objeto " Prestar servicios profesionales para la actualización en el aplicativo PCT de los bienes devolutivos de la entidad SGC</t>
  </si>
  <si>
    <t>Contratar la adquisición de los elementos de seguridad Electronica para la UAECOB. - TIC</t>
  </si>
  <si>
    <t xml:space="preserve">Adición y prórroga al Contrato 412 de 2022 cuyo objeto es " Prestar servicios profesionales para apoyar en la consolidación y cumplimiento de las dimensiones y políticas MIPG en las dependencias de la UAECOB -OAP- ", con un valor total estimado $13.500.000 y duración estimada de tres (3) meses. </t>
  </si>
  <si>
    <t>Prestar por sus propios medios, con autonomía técnica y administrativa sus servicios profesionales para brindar acompañamiento jurídico a la Subdirección Logística, en la proyección de solicitudes dirigidas a autoridades administrativas y en la sustanciación de respuestas a PQR´S y requerimientos efectuados por los entes de control y autoridades administrativas, en el marco de los procesos y procedimientos a cargo de la dependencia.</t>
  </si>
  <si>
    <t>Adición y prórroga al contrato 399-2022: Prestar los servicios de apoyo administrativo a la Unidad Administrativa, para atender respuestas a requerimientos, consolidacion de la informacion y articulacion de la informacion entre las dependencias</t>
  </si>
  <si>
    <t>SI - 22-07-2022</t>
  </si>
  <si>
    <t>Prestar los servicios profesionales para apoyar las actividades técnicas del área de infraestructura de la Subdireccion de Gestión Corporativa-SGC</t>
  </si>
  <si>
    <t xml:space="preserve"> Adición y prórroga al contrato 429 de 2022 que tiene como objeto "Suministro de insumos para las impresoras de las estaciones de la UAE Cuerpo Oficial de Bomberos -SGC</t>
  </si>
  <si>
    <t>Adición y Prórroga No. 2 al contrato 598 de 2021 que tiene como objeto" Contratar el paquete integral de seguros-SGC"</t>
  </si>
  <si>
    <t>1.5</t>
  </si>
  <si>
    <t>Adición al Contrato 614 de 2021 cuyo objeto es "Contratar el Mantenimiento de UPS en la UAECOB" - TIC</t>
  </si>
  <si>
    <t>Prestar servicios de apoyo a la gestión para actualizar y depurar el inventario de los elementos tecnológicos adquiridos por la Oficina Asesora de Planeación UAECOB -OAP-</t>
  </si>
  <si>
    <t>Prestar servicios de apoyo a la gestión para realizar actividades de soporte de primer nivel a los recursos tecnológicos y la administración al sistema de gestión de servicios utilizados por la UAE Cuerpo Oficial de Bomberos- TIC</t>
  </si>
  <si>
    <t xml:space="preserve">72153612 
56121902 
56121903 
82141602 
72153603 
93141713 </t>
  </si>
  <si>
    <t>Realizar las actividades necesarias para la creación del pabellón del conocimiento de la entidad en el marco de la implementación y sostenibilidad de la política de la gestión del conocimiento y la innovación para la UAE Cuerpo Oficial de Bomberos de Bogotá -OAP-</t>
  </si>
  <si>
    <t>Prestar por sus propios medios con plena autonomía técnica y administrativa, sus servicios profesionales a la Subdirección Logistica de la UAE Cuerpo Oficial de Bomberos de Bogota D.C., para la generación de informes técnicos a partir de las fallas presentadas en los vehículos que hacen parte del parque automotor de la entidad y de las intervenciones efectuadas por los proveedores que les prestan el servicio de mantenimiento preventivo y correctivo a la UAE Cuerpo Oficial de Bomberos de Bogota D.C.</t>
  </si>
  <si>
    <t>SGH - Prestar servicios profesionales en la Subdirección de Gestión Humana, para el fortalecimiento trasversal del proceso de Academia.</t>
  </si>
  <si>
    <t xml:space="preserve"> Adición y prórroga al contrato No. 322 de 2022, cuyo objeto es "SGH - Prestar servicios profesionales para la gestión de los diferentes procesos de la Subdirección de Gestión Humana".</t>
  </si>
  <si>
    <t>Adición al contrato No. 032 de 2022, cuyo objeto es "SGH - Prestar sus servicios profesionales en los procesos de contratación y calidad de la Subdirección de Gestión Humana de la UAE Cuerpo Oficial de Bomberos de Bogotá D.C."</t>
  </si>
  <si>
    <t>Adición al contrato No. 145 de 2022, cuyo objeto es "SGH - Prestar servicios profesionales para apoyar el programa de vigilancia epidemiológico al riesgo psicosocial y actividades de seguridad y salud en el trabajo en la Subdirección de Gestión Humana."</t>
  </si>
  <si>
    <t>Adición al contrato No. 154 de 2022, cuyo objeto es "SGH - Ejecutar actividades de apoyo a la gestión en  la Subdirección de Gestión Humana de la UAE Cuerpo Oficial de Bomberos de Bogotá D.C. en lo relacionado con los procesos de actualización, custodia y manejo del archivo de gestión de la Subdirección.</t>
  </si>
  <si>
    <t>Prestación de servicios profesionales en la Subdirección de Gestión Corporativa adelantando las actividades necesarias para la ejecución del programa y los procesos de seguros de la Entidad. - SGC</t>
  </si>
  <si>
    <t>Prestación de servicios de apoyo a la gestión a la Subdirección de Gestión Corporativa para el cumplimiento de las funciones asignadas a esta dependencia, especialmente las tareas de tipo administrativo relacionadas con asuntos disciplinarios. - SGC"</t>
  </si>
  <si>
    <t>Prestación de servicios profesionales para apoyar a la Subdirección de Gestión Corporativa en las actividades administrativas, seguros, compras e inventarios-SGC</t>
  </si>
  <si>
    <t>Prestación de servicios profesionales jurídicos para apoyar la gestión de los procesos disciplinarios que se adelanten en la UAECOB y que se encuentran a cargo de la Subdirección de Gestión Corporativa - SGC</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</si>
  <si>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t>
  </si>
  <si>
    <t>Adición y prórroga No. 2 al contrato 276 de 2022 que tiene como objeto " Prestación de servicios de apoyo a la gestión a la Subdirección de Gestión Corporativa para el cumplimiento de las funciones asignadas aesta dependencia, especialmente las tareas de tipo administrativo relacionadas con asuntos disciplinarios. -SGC</t>
  </si>
  <si>
    <t xml:space="preserve"> Adición y prórroga al Contrato 273 de 2022 cuyo objeto es " Prestar los servicios profesionales para liderar jurídicamente la gestión derivada de sus procesos y el trámite de la actividad contractual, relacionados con las funciones de la Oficina Asesora de Planeación -OAP-"</t>
  </si>
  <si>
    <t>Adición y prórroga al Contrato 374 de 2022 cuyo objeto es " Prestar servicios profesionales para apoyar la articulación de las dependencias con la planeación institucional y la gestión estratégica definida por la Alta Dirección en la UAECOB -OAP- "</t>
  </si>
  <si>
    <t>Adición y prórroga al Contrato 267 de 2022 cuyo objeto es " Prestar servicios profesionales para el diseño de las estrategias audiovisuales que permitan el uso y apropiación del MIPG en la UAECOB -OAP- “</t>
  </si>
  <si>
    <t>Adición y prórroga al Contrato 420 de 2022 cuyo objeto es " Prestar servicios profesionales para apoyar a la oficina asesora de planeación en la formulación, seguimiento y control presupuestal y estratégico de los proyectos de inversión de la Entidad.-OAP</t>
  </si>
  <si>
    <t>Adición y prórroga al Contrato 271 de 2022 cuyo objeto es " Prestar servicios profesionales en la Oficina Asesora de Planeación para apoyar a las dependencias en el fortalecimiento a la sostenibilidad y mejoramiento del Sistema de Gestión de Calidad en lo relacionado con el cumplimiento de las dimensiones y políticas MIPG -OAP"</t>
  </si>
  <si>
    <t>Adición y prórroga al Contrato 102 de 2022 cuyo objeto es " Prestar servicios profesionales para apoyar a la Oficina Asesora de Planeación en la estructuración, seguimiento y reporte de los Proyectos, Planes y Programas de la entidad -OAP "</t>
  </si>
  <si>
    <t>Adición y prórroga al Contrato 419 de 2022 cuyo objeto es " Prestar los servicios profesionales para la administración, procesamiento y análisis de la información estadística generada por la entidad en lo relacionado con las funciones asignadas a la Oficina Asesora de Planeación -OAP- “</t>
  </si>
  <si>
    <t>Adicion y prorroga al contrato 079 de 2022 "Prestar servicios de apoyo a la gestión como técnico en la Oficina de Control Interno para ejecutar procesos y procedimientos administrativos y asistenciales teniendo en cuenta el Plan Anual de Auditorías"</t>
  </si>
  <si>
    <t>Adicion y prorroga al contrato 130 de 2022 "Prestar los servicios profesionales en la Oficina de Control Interno para el desarrollo del Plan Anual de Auditorias"</t>
  </si>
  <si>
    <t>Adicion y prorroga al contrato 060 de 2022"Prestar los servicios profesionales en la Oficina de Control Interno para el desarrollo del Plan Anual de Auditorias"</t>
  </si>
  <si>
    <t>Adicion y prorroga al contrato 131 de 2022 "Prestar los servicios profesionales en la Oficina de Control Interno para el desarrollo del Plan Anual de Auditorias"</t>
  </si>
  <si>
    <t>Adicion y prorroga al contrato  132 de 2022" Prestar los servicios profesionales en la Oficina de Control Interno para el desarrollo del Plan Anual de Auditorias"</t>
  </si>
  <si>
    <t>Adición y prórroga al contrato No. 146 de 2022, cuyo objeto es "SGH - Prestar sus servicios profesionales en los procesos de la Subdirección de Gestión Humana de la UAE Cuerpo Oficial de Bomberos."</t>
  </si>
  <si>
    <t>24112800
30101804
56101500
72152909
95131600
30101715
30265801
30102315
31111510
76122309
95131503
30241602 
30241603
30191502</t>
  </si>
  <si>
    <t>Suministro, adecuación y montaje de un escenario para capacitación y entrenamiento de los procesos misionales de la Subdirección de Gestión del Riesgo. _SGR</t>
  </si>
  <si>
    <t>ADICION Y PRORROGA CTO 062 "Prestar servicios profesionales para el desarrollo de actividades de planeación y desarrollo de programas y proyectos para la Subdirección de Gestión del Riesgo._SGR"</t>
  </si>
  <si>
    <t>ADICION Y PRORROGA CTO 176 "Prestar servicios profesionales en las actividades del MIPG de la Subdirección de Gestión del riesgo."_SGR</t>
  </si>
  <si>
    <t>ADICION Y PRORROGA CTO 334 "Prestar servicios de apoyo a la gestión en las actividades de soporte operacional de la UAECOB."_SGR</t>
  </si>
  <si>
    <t>Prestar servicios asistenciales y de apoyo a la gestión para el desarrollo de actividades administrativas y procesos de gestión documental de la Oficina Asesora de Planeación- TIC</t>
  </si>
  <si>
    <t>Prestar servicios profesionales para apoyar en la estructuración de la segunda (II) etapa relacionada con la elaboración de la estrategia de preparación de respuesta institucional a largo plazo y su articulación con los instrumentos de planeación de la U.A.E. Cuerpo Oficial de Bomberos Bogotá</t>
  </si>
  <si>
    <t>Adición y prórroga al Contrato 375 de 2022 cuyo objeto es " Prestar Servicios Profesionales como administrador de los sistemas de información de la UAECOB -TIC-"</t>
  </si>
  <si>
    <t>-</t>
  </si>
  <si>
    <t>Insumos y medicamentos veterinarios e intervenciones quirurgicas para el grupo brae- pago de pasivo</t>
  </si>
  <si>
    <t>Prestar servicios de apoyo a la gestion en la subdireccion logistica en el marco de los procesos y rocedimientos a cargo de la dependencia-pago de pasivo</t>
  </si>
  <si>
    <t>Suministro de herramientas, utensilios y materiales de hierro, otros metales y lastico para soporte en la atencion de emergencias - pago de pasivo</t>
  </si>
  <si>
    <t>Adición y prórroga al Contrato 416 de 2022 cuyo objeto es " Prestar servicios profesionales como Gestor de la Seguridad Informática para administrar y salvaguardar el cumplimiento de los controles tecnológicos, comunicaciones y de seguridad y privacidad de la información en la UAECOB –TIC</t>
  </si>
  <si>
    <t>Adición y prórroga al Contrato 041 de 2022 cuyo objeto es " Prestación de servicios profesionales como Oficial de Seguridad de la Información en la UAECOB -</t>
  </si>
  <si>
    <t>Adición y prórroga al Contrato 373 de 2022 cuyo objeto es " Prestación de Servicios Profesionales como gestor de la Política de Gobierno Digital y Transformación Digital en la UAECOB -TIC-</t>
  </si>
  <si>
    <t>Adición y prórroga al Contrato 413 de 2022 cuyo objeto es " Prestar servicios profesionales para la administración y almacenamiento de los servidores en la UAECOB -TIC</t>
  </si>
  <si>
    <t>Adición y prórroga al Contrato 377 de 2022 cuyo objeto es " Prestar los servicios profesionales para el desarrollo de los procesos contractuales y administrativos de carácter jurídico que se desarrollen en la Oficina Asesora de Planeación#. -TIC-,</t>
  </si>
  <si>
    <t xml:space="preserve">Adición y prórroga al Contrato 049 de 2022 cuyo objeto es " Prestar los servicios profesionales administrativos y financieros en el apoyo a las actividades precontractuales, contractuales y poscontractuales relacionados con los procesos de la OAP -TIC"- </t>
  </si>
  <si>
    <t xml:space="preserve">Adición y prórroga al Contrato 076 de 2022 cuyo objeto es " Prestar Servicios de apoyo a la gestión como técnico en infraestructura tecnológica para la gestión de los servicios tecnológicos de la UAECOB que le sean designados. -TIC- </t>
  </si>
  <si>
    <t>Adición y prórroga al Contrato 386 de 2022 cuyo objeto es " Prestar Servicios Profesionales para coordinar y gestionar los servicios de los sistemas de información con los que cuenta la UAECOB -TIC- “</t>
  </si>
  <si>
    <t>Prestar servicios profesionales en la revisión, edición y generación de contenidos digitales y audiovisuales suministrados por las diferentes oficinas y dependencias en las plataformas digitales de la entidad-TIC</t>
  </si>
  <si>
    <t>Adecuacion de pista de entrenamiento del grupo canino BRAE de la UAE Cuerpo Oficial de Bomberos de Bogotá_SGR</t>
  </si>
  <si>
    <t>Prestación de servicios para calcular la huella de emisión de carbono de conformidad con los requisitos técnicos establecidos por la UAE Cuerpo Oficial de Bomberos de Bogotá_SGR</t>
  </si>
  <si>
    <t>Prestar servicios profesionales para apoyar el analisis y construcción de procesos y procedimientos necesarios para la gestión y servicios TIC´S</t>
  </si>
  <si>
    <t>Adición y prórroga al contrato No. 020 de 2022, cuyo objeto es "SGH - Prestar servicios de apoyo en la Subdirección de Gestión Humana de la UAE Cuerpo Oficial de Bomberos en el proceso de ausentismos del personal"</t>
  </si>
  <si>
    <t>Adición y prórroga al contrato No. 030 de 2022, cuyo objeto es "SGH - Prestar servicios profesionales en la Subdirección de Gestión Humana de la UAE Cuerpo Oficial de Bomberos en temas de Administración de Personal"</t>
  </si>
  <si>
    <t>Adición y prórroga al contrato No. 072 de 2022, cuyo objeto es "SGH - Prestar servicios profesionales para apoyar el programa de vigilancia epidemiológico al riesgo psicosocial y actividades de seguridad y salud en el trabajo en la Subdirección de Gestión Humana"</t>
  </si>
  <si>
    <t>Adición y prórroga al contrato No. 043 de 2022, cuyo objeto es "SGH - Prestar de servicios profesionales para desarrollar actividades jurídicas en atención a los distintos requerimientos de la Subdirección de Gestión Humana"</t>
  </si>
  <si>
    <t>Adición y prórroga al contrato No. 070 de 2022, cuyo objeto es "SGH - Prestar servicios profesionales para la implementación y seguimiento del sistema de gestión de seguridad y salud en el trabajo en la Subdirección de Gestión Humana.</t>
  </si>
  <si>
    <t xml:space="preserve">Adición y prórroga al contrato No. 092 de 2022, cuyo objeto es "SGH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
</t>
  </si>
  <si>
    <t>Adición y prórroga al contrato No. 170 de 2022, cuyo objeto es "SGH - Prestar servicios profesionales en la Subdirección de Gestión Humana de la UAE Cuerpo Oficial de Bomberos en temas de liquidación de demandas y conciliaciones"</t>
  </si>
  <si>
    <t>Adición y prórroga al contrato No. 346 de 2022, cuyo objeto es "SGH - Prestar servicios profesionales en la Subdirección de Gestión Humana de la UAE Cuerpo Oficial de Bomberos en temas de Administración de Personal"</t>
  </si>
  <si>
    <t>SGH - Prestar servicios de apoyo en el seguimiento del sistema de gestión de seguridad y salud en el trabajo en la Subdirección de Gestión Humana de la UAE Cuerpo Oficial de Bomberos.</t>
  </si>
  <si>
    <t>Adición y prórroga al contrato No. 175 de 2022, cuyo objeto es "SGH - Prestar servicios de apoyo a la gestión en la Subdirección de Gestión Humana en las diferentes actividades logísticas relacionadas con  el proceso de Academia"</t>
  </si>
  <si>
    <t>Adición y prórroga al contrato No. 155 de 2022, cuyo objeto es "SGH - Prestar sus servicios profesionales en la gestión contractual y presupuestal de la Subdirección de Gestión Humana de la UAE Cuerpo Oficial de Bomberos"</t>
  </si>
  <si>
    <t>SGH - Prestar servicios de apoyo en la Subdirección de Gestión Humana de la UAE Cuerpo Oficial de Bomberos.</t>
  </si>
  <si>
    <t>Prestar servicios profesionales especializados a la Subdireccion de Gestión Corporativa y Dirección General de la UAECOB en la construcción, acompañamiento, seguimiento y fortalecimiento de las estrategias de comunicación que adelante la entidad dentro del Distrito Capital- SGC</t>
  </si>
  <si>
    <t>Adición y prórroga al Contrato No. 439 de 2022, cuyo objeto es "Soporte técnico en Sitio y mantenimiento correctivo con suministro de repuestos para la infraestructura tecnológica de la UAE Cuerpo Oficial de Bomberos, ubicada en las estaciones de Bomberos,  sus sedes administrativas y sus puntos de atención ciudadana en los SUPERCADES de Bogotá, D.C"</t>
  </si>
  <si>
    <t>Prestación de servicios profesionales jurídicos para orientar y apoyar el trámite y la gestión de los procesos disciplinarios que se adelanten en la Oficina Jurídica de la Unidad Administrativa Especial Cuerpo Oficial de Bomberos Bogotá</t>
  </si>
  <si>
    <t>Prestación de servicios profesionales especializados de carácter jurídico que contribuya al fortalecimiento de la misionalidad de la UAE Cuerpo Oficial de Bomberos</t>
  </si>
  <si>
    <t>Contratar los seguros de casco aviación aeronaves no tripuladas (drones) de propiedad y de aquellos por los cuales es legalmente responsable la Unidad Administrativa Especial del Cuerpo Oficial de Bomberos de Bogotá-SGC</t>
  </si>
  <si>
    <t>Prestación de servicios de apoyo a la gestión para realizar actividades de tipo administrativo, en especial las relacionadas con las gestiones que se adelanten en temas de Infraestructura a cargo de la Subdirección de Gestión Corporativa - SGC.</t>
  </si>
  <si>
    <t>Adición y prórroga al contrato No. 022 de 2022, cuyo objeto es "SGH - Prestar servicios profesionales en la Subdirección de Gestión Humana de la UAE Cuerpo Oficial de Bomberos en temas de liquidación de demandas y conciliaciones."</t>
  </si>
  <si>
    <t>Adición y prórroga al contrato No. 021 de 2022, cuyo objeto es "SGH - Prestar sus servicios profesionales en el proceso de liquidación de demandas y conciliaciones administrativas para la Subdirección de Gestión Humana de la UAE Cuerpo Oficial de Bomberos"</t>
  </si>
  <si>
    <t>Adición y prórroga al contrato No. 143 de 2022, cuyo objeto es "SGH - Prestar sus servicios profesionales en la Subdirección de Gestión Humana en temas de desarrollo organizacional"</t>
  </si>
  <si>
    <t>Prestar servicios profesionales para la administración de las bases de datos de la U.A.E Cuerpo Oficial de Bomberos de Bogota</t>
  </si>
  <si>
    <t>Adición y prórroga al contrato de prestación de servicios No. 384 de 2022, cuyo objeto es: Prestación de los servicios profesionales para la coordinación y la optimización de los procedimientos de preparativos para el fortalecimiento en la atención de emergencias de la Subdirección Operativa de la UAECOB.</t>
  </si>
  <si>
    <t xml:space="preserve"> Adición y prórroga No. 3 al contrato 276 de 2022 que tiene como objeto " Prestación de servicios de apoyo a la gestión a la Subdirección de Gestión Corporativa para el cumplimiento de las funciones asignadas aesta dependencia, especialmente las tareas de tipo administrativo relacionadas con asuntos disciplinarios. -SGC</t>
  </si>
  <si>
    <t>LAVADO Y POLICHADO DE VEHÍCULOS Y MANTENIMIENTO DE COMPRESORES  (Pasivos Exigibles)</t>
  </si>
  <si>
    <t>Adición y prórroga al contrato de prestación de serviciós #185/2022, cuyo objeto es "Prestación de servicios profesionales en la elaboración de diseños y diagramación de piezas para los programas, proyectos y procedimientos requeridos por la Subdirección Operativa".</t>
  </si>
  <si>
    <t>Adición y prórroga al contrato de prestación de serviciós #200/2022, cuyo objeto es "Prestación de servicios de apoyo a la gestión en las actividades asistenciales que demandan las Compañías de la Subdirección Operativa".</t>
  </si>
  <si>
    <t>Adición y prórroga al contrato de prestación de serviciós #326/2022, cuyo objeto es: Prestación de servicios profesionales para realizar el seguimiento, consolidación y reporte de las actividades derivadas del plan de fortalecimiento operativo de la Subdirección Operativa</t>
  </si>
  <si>
    <t>Prestación de servicios profesionales especializados en asuntos de comunicaciones y prensa para apoyar la divulgación y socialización de la información relacionada con la misionalidad de la UAECOB.</t>
  </si>
  <si>
    <t>25/09/2022</t>
  </si>
  <si>
    <t>Prestar los servicios profesionales jurídicos especializados en la Oficina de Control Disciplinario Interno de la entidad relacionados con los procesos disciplinarios que se deban tramitar en esa dependencia en etapa de instrucción- SGC</t>
  </si>
  <si>
    <t>Prestación de servicios de apoyo a la gestión a la Oficina de Control Disciplinario Interno de la UAECOB  para el cumplimiento de las funciones asignadas a esta dependencia, especialmente en las que se requieran tareas de carácter administrativo-SGC</t>
  </si>
  <si>
    <t>Mantenimiento correctivo y preventivo con suministro de repuestos ascensor nueva Estación de Bomberos BELLAVISTA- SGC</t>
  </si>
  <si>
    <t xml:space="preserve">Mantenimiento correctivo y preventivo con suministro de repuestos para los ascensores edificio Comando - SGC </t>
  </si>
  <si>
    <t xml:space="preserve"> Adición al contrato 446 de 2022 que tiene como objeto "Suministro de implementos de papelería y oficina para las dependencias de la UAE Cuerpo Oficial de Bomberos-SGC</t>
  </si>
  <si>
    <t xml:space="preserve">	80101600
81101500
72101500
72121400 </t>
  </si>
  <si>
    <t>Interventoría técnica, administrativa, financiera, contable, jurídica, SST y ambiental para realizar el mejoramiento y dotación de las instalaciones del predio la Alemana para la academia de la U.A.E Cuerpo Oficial de Bomberos Bogotá D.C-SGC.</t>
  </si>
  <si>
    <t>43211900
43211903</t>
  </si>
  <si>
    <t>Contratar la adquisición de una (1) pantalla interactiva para el pabellón del conocimiento y la innovación de la U.A.E. Cuerpo Oficial de Bomberos Bogotá</t>
  </si>
  <si>
    <t>Adición y prórroga al contrato No. 546 de 2022, cuyo objeto es "SGH - Prestar servicios profesionales en la Subdirección de Gestión Humana, en lo relacionado con el fortalecimiento e implementación de la escuela de formación bomberil".</t>
  </si>
  <si>
    <t>Adición y prórroga al contrato No. 536 de 2022, cuyo objeto es "SGH - Prestar servicios profesionales en la Subdirección de Gestión Humana, para el fortalecimiento trasversal del proceso de Academia".</t>
  </si>
  <si>
    <t>Adición y prórroga al contrato No. 472 de 2022, cuyo objeto es "SGH - Prestar sus servicios profesionales en la Subdirección de Gestión Humana, en los procesos contractuales y demás actividades relacionadas con el proceso de Academia".</t>
  </si>
  <si>
    <t>Adición y prórroga al contrato No. 450 de 2022, cuyo objeto es "SGH - Prestar sus servicios profesionales a la Subdirección de Gestión Humana para fortalecer el proceso de Academia en normas técnicas".</t>
  </si>
  <si>
    <t>SGH - CONTRATAR ELEMENTOS DE MATERIAL PEDAGÓGICO PARA EL CENTRO DE ENTRENAMIENTO DE LA ESCUELA.</t>
  </si>
  <si>
    <t>Adición y prórroga al contrato No. 033 de 2022, cuyo objeto es "SGH - Prestar servicios profesionales en el desarrollo de las actividades y de los diferentes procesos que tiene a cargo la Subdirección de Gestión Humana de la UAE Cuerpo Oficial de Bomberos de Bogotá".</t>
  </si>
  <si>
    <t>Adición y prórroga al contrato No. 044 de 2022, cuyo objeto es "SGH - Prestar de servicios profesionales para desarrollar actividades jurídicas en atención a los distintos requerimientos de la Subdirección de Gestión Humana".</t>
  </si>
  <si>
    <t>Adición y prórroga al contrato No. 526 de 2022, cuyo objeto es "SGH - Prestar sus servicios profesionales en la Subdirección de Gestión Humana de la UAE-Cuerpo Oficial de Bomberos".</t>
  </si>
  <si>
    <t>Adición y prórroga al contrato No. 475 de 2022, cuyo objeto es "SGH - Prestar sus servicios profesionales en comunicación para la Subdirección de Gestión Humana de la UAE Cuerpo Oficial de Bomberos".</t>
  </si>
  <si>
    <t>Adición y prórroga al contrato No. 559 de 2022, cuyo objeto es "SGH - Prestar de servicios profesionales para desarrollar actividades jurídicas en atención a los distintos requerimientos de la Subdirección de Gestión Humana.</t>
  </si>
  <si>
    <t>Adición y prórroga al contrato No. 442 de 2022, cuyo objeto es "Contratar la Prestación de Servicios para desarrollar el Plan de Bienestar de la UAE Cuerpo Oficial de Bomberos para la Vigencia 2022".</t>
  </si>
  <si>
    <t>Adquirir Elementos de Protección Personal básicos para las labores de logística y acompañamiento en la Escuela de Formación Bomberil de la UAE Cuerpo Oficial de Bomberos Bogotá.</t>
  </si>
  <si>
    <t>PAGOS REALIZADOS DE PASIVOS EXIGIBLES</t>
  </si>
  <si>
    <t xml:space="preserve">1-601-F001  PAS-Otros distrito </t>
  </si>
  <si>
    <t>30101804
72152909
95131600
24112800</t>
  </si>
  <si>
    <t>Adquisición de contenedores para la UAE Cuerpo Oficial de Bomberos_SGR</t>
  </si>
  <si>
    <t>30101804
72152909
95131600
72121100
95141700
72102900
72121400
95141800
95141600
30191800</t>
  </si>
  <si>
    <t>Adquisición, instalación y adecuacion de la Villa  Habitacional en estructura liviana no convencional para la UAE Cuerpo Oficial de Bomberos._SGR</t>
  </si>
  <si>
    <t>ADICION Y PRORROGA CTO  63 Apoyar profesionalmente la coordinación y establecimiento de los planes intersectoriales en materia de prevención y atención de incendios e incidentes con materiales peligrosos._SGR</t>
  </si>
  <si>
    <t>ADICION Y PRORROGA CTO  507 Prestar servicios profesionales para la estructuración y seguimiento de los procesos contractuales y demás aspectos jurídicos de la Subdirección de Gestión del Riesgo._SGR</t>
  </si>
  <si>
    <t>ADICION Y PRORROGA CTO  492 Prestar servicios profesionales para la estructuracion y seguimiento de los procesos contractuales y demas aspectos juridicos de la Subdirección de Gestión del riesgo._SGR</t>
  </si>
  <si>
    <t>ADICION Y PRORROGA CTO  109 Prestar servicios profesionales para el desarrollo de los contenidos graficos, piezas comunicativa y de imagen institucional para la Subdirección de Gestión del riesgo._SGR</t>
  </si>
  <si>
    <t>ADICION Y PRORROGA CTO  66 Prestar los servicios profesionales especializados para la coordinación del componente técnico, financiero y de planificación de la subdirección de gestión de riesgo._SGR</t>
  </si>
  <si>
    <t>ADICION Y PRORROGA CTO  84 Prestar servicios profesionales para el apoyo en la gestión administrativa y análisis financiero de la subdirección de gestión del riesgo._SGR</t>
  </si>
  <si>
    <t>ADICION Y PRORROGA CTO  208 Prestar servicios de apoyo a la gestión como conductor en la Subdirección de Gestión del Riesgo._SGR</t>
  </si>
  <si>
    <t xml:space="preserve">ADICION Y PRORROGA CTO  86 Apoyar las actividades de la Subdirección de Gestión del Riesgo relacionadas con el seguimiento y control de sus solicitudes y peticiones._SGR 
</t>
  </si>
  <si>
    <t>ADICION Y PRORROGA CTO  335 Prestar servicios profesionales  en las actividades de soporte operacional de la UAECOB._SGR</t>
  </si>
  <si>
    <t>ADICION Y PRORROGA CTO  209 Prestar servicios de apoyo a la gestión en las actividades de soporte operacional de la UAECOB._SGR</t>
  </si>
  <si>
    <t>ADICION Y PRORROGA CTO  310 Prestar servicios de apoyo a la gestión en las actividades de soporte operacional de la UAECOB._SGR</t>
  </si>
  <si>
    <t>ADICION Y PRORROGA CTO  226 Prestar servicios de apoyo a la gestión en las actividades de soporte operacional de la UAECOB._SGR</t>
  </si>
  <si>
    <t>ADICION Y PRORROGA CTO  210 Prestar servicios de apoyo a la gestión como conductor en la Subdirección de Gestión del Riesgo._SGR</t>
  </si>
  <si>
    <t>ADICION Y PRORROGA CTO  313 Prestar servicios de apoyo a la gestión como conductor en la Subdirección de Gestión del Riesgo._SGR</t>
  </si>
  <si>
    <t>ADICION Y PRORROGA CTO  247 Prestar servicios profesionales en las actividades de monitoreo del riesgo para la Subdirección de Gestión del Riesgo._SGR</t>
  </si>
  <si>
    <t>ADICION Y PRORROGA CTO  181 Prestar servicios de apoyo a la gestion en las actividades de monitoreo del riesgo para la Subdirección de Gestión del Riesgo._SGR</t>
  </si>
  <si>
    <t>ADICION Y PRORROGA CTO  177 Prestar servicios de apoyo a la gestion en las actividades de monitoreo del riesgo para la Subdirección de Gestión del Riesgo._SGR</t>
  </si>
  <si>
    <t>ADICION Y PRORROGA CTO  211 Prestar servicios de apoyo a la gestion en las actividades de monitoreo del riesgo para la Subdirección de Gestión del Riesgo._SGR</t>
  </si>
  <si>
    <t>ADICION Y PRORROGA CTO  110 Prestar servicios de apoyo a la gestion en las actividades de monitoreo del riesgo para la Subdirección de Gestión del Riesgo._SGR</t>
  </si>
  <si>
    <t>ADICION Y PRORROGA CTO  331 Prestar servicios de apoyo a la gestion en las actividades de monitoreo del riesgo para la Subdirección de Gestión del Riesgo._SGR</t>
  </si>
  <si>
    <t>ADICION Y PRORROGA CTO  183 Prestar servicios de apoyo a la gestion en las actividades de monitoreo del riesgo para la Subdirección de Gestión del Riesgo._SGR</t>
  </si>
  <si>
    <t>ADICION Y PRORROGA CTO  250 Prestar servicios profesionales en las actividades de identificacion de escenarios a cargo de la Subdirección de Gestión del Riesgo._SGR</t>
  </si>
  <si>
    <t>ADICION Y PRORROGA CTO  227 Prestar servicios profesionales en las actividades de identificacion de escenarios a cargo de la Subdirección de Gestión del Riesgo._SGR</t>
  </si>
  <si>
    <t>ADICION Y PRORROGA CTO  253 Prestar  servicios profesionales en las actividades de proyeccion e innovacion para la Subdirección de Gestión del Riesgo._SGR</t>
  </si>
  <si>
    <t>ADICION Y PRORROGA CTO  251 Prestar  servicios profesionales en las actividades de proyeccion e innovacion para la Subdirección de Gestión del Riesgo._SGR</t>
  </si>
  <si>
    <t>ADICION Y PRORROGA CTO  254 Prestar  servicios profesionales en las actividades de proyeccion e innovacion para la Subdirección de Gestión del Riesgo._SGR</t>
  </si>
  <si>
    <t>ADICION Y PRORROGA CTO  228 Prestar sus servicios profesionales en las actividades relacionadas con la emision de conceptos a cargo de la Subdirección de Gestión del Riesgo._SGR</t>
  </si>
  <si>
    <t>ADICION Y PRORROGA CTO  256 Prestar sus servicios profesionales en las actividades relacionadas con la emision de conceptos a cargo de la Subdirección de Gestión del Riesgo._SGR</t>
  </si>
  <si>
    <t>ADICION Y PRORROGA CTO  332 Prestar sus servicios profesionales en las actividades relacionadas con la emision de conceptos a cargo de la Subdirección de Gestión del Riesgo._SGR</t>
  </si>
  <si>
    <t>ADICION Y PRORROGA CTO  312 Prestar sus servicios profesionales en las actividades relacionadas con la emision de conceptos a cargo de la Subdirección de Gestión del Riesgo._SGR</t>
  </si>
  <si>
    <t>ADICION Y PRORROGA CTO  111 Prestar servicios profesionales en la Subdirección de Gestión del riesgo relacionadas con el proceso de reducción del riesgo, en lo relacionado con las actividades de aglomeraciones de público y Eventos con Pirotecnia  desarrollados en el Distrito._SGR</t>
  </si>
  <si>
    <t>ADICION Y PRORROGA CTO  119 Apoyar las actividades de la Subdirección de Gestión del riesgo relacionadas con las aglomeraciones de público  y Eventos con Pirotecnia  desarrollados en el Distrito._SGR</t>
  </si>
  <si>
    <t>ADICION Y PRORROGA CTO  502 Prestar servicios profesionales en las actividades de Programas y Campañas de Prevención para la Subdirección de Gestión del Riesgo._SGR</t>
  </si>
  <si>
    <t>ADICION Y PRORROGA CTO  179 Prestar servicios profesionales en los procesos de formacion y capacitacion de la subdirección de gestión del riesgo._SGR</t>
  </si>
  <si>
    <t>ADICION Y PRORROGA CTO  112 Prestar servicios profesionales en los procesos de formacion y capacitacion de la subdirección de gestión del riesgo._SGR</t>
  </si>
  <si>
    <t>ADICION Y PRORROGA CTO  456 Prestar sus servicios de apoyo tecnico para realizar las inspecciones relacionadas con la emision de conceptos a cargo de la Subdirección de Gestión del Riesgo._SGR</t>
  </si>
  <si>
    <t>ADICION Y PRORROGA CTO  469 Prestar sus servicios de apoyo tecnico para realizar las inspecciones relacionadas con la emision de conceptos a cargo de la Subdirección de Gestión del Riesgo._SGR</t>
  </si>
  <si>
    <t>ADICION Y PRORROGA CTO  471 Prestar servicios profesionales para el desarrollo de programas, campañas y proyectos para la Subdirección de Gestión del Riesgo._SGR</t>
  </si>
  <si>
    <t>ADICION Y PRORROGA CTO  466 Prestar servicios de apoyo a la gestión en las actividades de soporte operacional de la UAECOB._SGR</t>
  </si>
  <si>
    <t>ADICION Y PRORROGA CTO  505 Prestar servicios de apoyo a la gestión en las actividades de soporte operacional de la UAECOB._SGR</t>
  </si>
  <si>
    <t>ADICION Y PRORROGA CTO  497 Prestar servicios de apoyo a la gestión en las actividades de soporte operacional de la UAECOB._SGR</t>
  </si>
  <si>
    <t>ADICION Y PRORROGA CTO  498 Prestar los servicios profesionales en las actividades de proyeccion e innovacion para la Subdirección de Gestión del Riesgo._SGR</t>
  </si>
  <si>
    <t>ADICION Y PRORROGA CTO  493 Prestar los servicios profesionales en las actividades de proyeccion e innovacion para la Subdirección de Gestión del Riesgo._SGR</t>
  </si>
  <si>
    <t>ADICION Y PRORROGA CTO  495 Prestar servicios profesionales para las actividades misionales de la Subdireccion de Getsion del Riesgo._SGR</t>
  </si>
  <si>
    <t>ADICION Y PRORROGA CTO  83  Prestar servicios profesionales a la Subdirección de Gestión del Riesgo coordinando las actividades del proceso de Conocimiento del Riesgo._SGR</t>
  </si>
  <si>
    <t>72121400;
72151700;
95121700</t>
  </si>
  <si>
    <t>Adición y prórroga al contrato 564-2021 con objeto"Mantenimiento y/o rehabilitación de sala de máquinas y área de acceso de las instalaciones de la UAE Cuerpo Oficial de Bomberos de Bogotá.-SGC</t>
  </si>
  <si>
    <t>SGH - Prestar servicios profesionales en la Subdirección de Gestión Humana de la UAE Cuerpo Oficial de Bomberos</t>
  </si>
  <si>
    <t>70122002;70122005;
70122006;70122007;
70122008;70122009;
70122010; 10101500;
10121800</t>
  </si>
  <si>
    <t xml:space="preserve">Adición al contrato 428 de 2022, “Prestación de servicios médicos veterinarios, de hospitalización, con suministro de medicamentos, insumos veterinarios y alimentos para los caninos que hacen parte del grupo especial de búsqueda y rescate animal en emergencias (brae)de la uae cuerpo oficial de bomberos. (lote ii-alimentos para los caninos)”
</t>
  </si>
  <si>
    <t>O232020200883590_Otros servicios veterinarios</t>
  </si>
  <si>
    <t xml:space="preserve">90101600; 90101700;
90101800; 90101802;
50192700
</t>
  </si>
  <si>
    <t>Adición del contrato 434 DE 2022 "Suministro de alimentación e hidratación para la atención de emergencias, entrenamientos, capacitaciones y actividades de prevención."</t>
  </si>
  <si>
    <t>O232020200663393_Otros servicios de comidas contratadas</t>
  </si>
  <si>
    <t>ADICION Y PRORROGA CTO  212 Prestar servicios profesionales en los procesos de formacion y capacitacion de la subdirección de gestión del riesgo._SGR</t>
  </si>
  <si>
    <t>43232400
43232000
43232200
43232100</t>
  </si>
  <si>
    <t>Diseño y desarrollo de escenarios de realidad virtual para el proceso de capacitación y formación de la subdirección de gestión del riesgo_SGR</t>
  </si>
  <si>
    <t>Prestar los servicios profesionales jurídicos especializados en el desarrollo de las funciones de la Oficina Jurídica</t>
  </si>
  <si>
    <t>Prestar los servicios profesionales como abogado para adelantar las gestiones contractuales y demás trámites que le sean asignados en la Oficina Jurídica</t>
  </si>
  <si>
    <t>Prestar servicios profesionales para apoyar las diferentes actuaciones jurídicas que adelanta la UAECOB</t>
  </si>
  <si>
    <t>SGH - Prestar servicios profesionales para el seguimiento del sistema de gestión de seguridad y salud en el trabajo en la Subdirección de Gestión Humana de la UAE Cuerpo Oficial de Bomberos.</t>
  </si>
  <si>
    <t>Adición y prórroga al contrato No. 533 de 2022, cuyo objeto es "SGH - Prestar servicios profesionales en la Subdirección de Gestión Humana de la UAE Cuerpo Oficial de Bomberos en temas de liquidación de demandas y conciliaciones"</t>
  </si>
  <si>
    <t>Prestar Servicios Profesionales para administrar, capacitar y desarrollar los sistemas de información que le sean asignados en la UAECOB -TIC- “</t>
  </si>
  <si>
    <t xml:space="preserve"> O23011605560000007637 - Fortalecimiento de la
infraestructura de
tecnología
informática y de
comunicaciones de la
UAECOB </t>
  </si>
  <si>
    <t>Adición y prórroga contrato de Prestación de Servicios No. 075 de 2022 "Prestar Servicios Profesionales para  administrar la infraestructura y gestionar los procesos relacionados con la capacidad, continuidad, disponibilidad, operatividad y seguridad de la  UAECOB -TIC-"</t>
  </si>
  <si>
    <t>Adición y prórroga contrato de Prestación de Servicios No. 047 de 2022, "Prestar Servicios profesionales como adminsitrador de los procesos y actividades derivados de la mesa de ayuda e infraestructura en la UAECOB -TIC-"</t>
  </si>
  <si>
    <t xml:space="preserve">
Adición y prórroga al Contrato 270 de 2022 cuyo objeto es " Prestar servicios profesionales en la Oficina Asesora de Planeación para liderar el fortalecimiento y cumplimiento de la Gestión Estratégica y la mejora continua en la entidad -OAP-"</t>
  </si>
  <si>
    <t>Adición y prórroga al Contrato 374 de 2022 cuyo objeto es "Prestar servicios profesionales para apoyar la articulación de las dependencias con la planeación institucional y la gestión estratégica definida por la Alta Dirección en la UAECOB -OAP-"</t>
  </si>
  <si>
    <t>Adición y prórroga al Contrato 073 de 2022 cuyo objeto es "Prestar servicios profesionales a la Oficina Asesora de Planeación en la articulación, seguimiento y mejoramiento de las actividades desarrolladas por las dependencias en cumplimiento del Modelo Integrado de Planeación y Gestión - MIPG en la UAECOB -OAP-"</t>
  </si>
  <si>
    <t>Adición y prórroga al Contrato 074 de 2022 cuyo objeto es"Prestar servicios profesionales a la Oficina Asesora de Planeación para apoyar, gestionar la sostenibilidad y el mejoramiento continuo del Sistema de Gestión de Calidad y del Sistema de Control Interno de la UAECOB. -OAP-"</t>
  </si>
  <si>
    <t>Adición y prórroga al Contrato 273 de 2022 cuyo objeto es"Prestar los servicios profesionales para liderar jurídicamente la gestión derivada de sus procesos y el trámite de la actividad contractual, relacionados con las funciones de la Oficina Asesora de Planeación -OAP-"</t>
  </si>
  <si>
    <t>Adición y prórroga al Contrato 272 de 2022 cuyo objeto es "Prestar los servicios profesionales para apoyar jurídicamente a la Oficina Asesora de Planeación, en lo relacionado con los trámites administrativos y contractuales -OAP-"</t>
  </si>
  <si>
    <t>Adición y prórroga al Contrato 420 de 2022 cuyo objeto es "Prestar servicios profesionales para apoyar a la oficina asesora de planeación en la formulación, seguimiento y control presupuestal y estratégico de los proyectos de inversión de la Entidad.-OAP-"</t>
  </si>
  <si>
    <t>Adición y prórroga al Contrato 077 de 2022 cuyo objeto es "Prestar servicios profesionales para llevar a cabo las actividades administrativas que se desarrollan en la Oficina Asesora de Planeación -OAP-"</t>
  </si>
  <si>
    <t>Adición al contrato 440 de 2022  cuyo objeto es "Prestar el servicio de mantenimiento preventivo y correctivo, de latonería y pintura, incluyendo el suministro de repuestos, insumos y mano de obra especializada para los vehículos pertenecientes al parque automotor de la U.A.E. cuerpo oficial de bomberos de bogotá d.c. grupo i (vehículos pesados)"</t>
  </si>
  <si>
    <t>O23202020088714199_Servicio de mantenimiento y reparación de vehículos automotores n.c.p.</t>
  </si>
  <si>
    <t>Adición al contrato 441 de 2022  cuyo objeto es "Prestar el servicio de mantenimiento preventivo y correctivo, de latonería y pintura, incluyendo el suministro de repuestos, insumos y mano de obra especializada para los vehículos pertenecientes al parque automotor de la U.A.E. Cuerpo Oficial de Bomberos de Bogotá D.C. GRUPO II (VEHÍCULOS LIVIANOS)</t>
  </si>
  <si>
    <t>SGH - Prestar sus servicios profesionales en comunicación interna y externa referente a temas de la Escuela de formación Bomberil.</t>
  </si>
  <si>
    <t>Adicion y prorroga al contrato No. 138 de 2022, “Prestar servicios como conductor a la UAECOB, en especial en el transporte de recursos que le sean indicados en la Dirección General en el marco sus funciones”</t>
  </si>
  <si>
    <t>Adicion y prorroga al contrato No. 017 de 2022, “Prestación de servicios profesionales jurídicos en virtud de las funciones asignadas a la Dirección General de la UAECOB, para apoyar los procesos contractuales y actividades administrativas requerida”</t>
  </si>
  <si>
    <t>Adicion y prorroga al contrato No. 080 de 2022, “Prestar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</si>
  <si>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Adicion y prorroga al contrato No. 141 de 2022, “Prestar servicios profesionales en asuntos relacionados con temas administrativos y asuntos propios requeridos por la Dirección General de la UAECOB”</t>
  </si>
  <si>
    <t>Adición y prórroga del contrato No. 470 de 2022, cuyo objeto es: "Prestar servicios profesionales a la Dirección General en actividades de articulación interinstitucional entre las diferentes dependencias, entidades del sector, y demás que estén relacionadas con la misionalidad de la UAECOB.”</t>
  </si>
  <si>
    <t>Adición y prórroga del contrato No. 485 de 2022, cuyo objeto es: "Prestar servicios de apoyo a la gestión en la UAECOB, en asuntos administrativos y asistenciales requeridos, especificamente en el seguimiento de la información.”</t>
  </si>
  <si>
    <t>“Adición y prórroga No. 2 del contrato No. 127 de 2022, cuyo objeto es: "Prestar servicios de apoyo técnico a la gestión para llevar a cabo la ejecución de actividades logísticas y administrativas que sea requieran para el fortalecimiento de la Planeación y Gestión en la UAE Cuerpo Oficial Bomberos de Bogotá".</t>
  </si>
  <si>
    <t>Prestar los  servicios profesionales en la Subdirección de Gestión Corporativa a fin de adelantar las actividades correspondientes al proceso de gestión de pagos conforme a los lineamientos establecidos por la entidad; como tambien los requeridos por el Área Financiera  -SGC</t>
  </si>
  <si>
    <t>Prestación de servicios de apoyo en la Subdirección de Gestión Corporativa en  las actividades requeridas y generadas por el Área Financiera -SGC</t>
  </si>
  <si>
    <t>ACCE</t>
  </si>
  <si>
    <t>Prestación de servicios profesionales  a fin de adelanttar las actividades requeridas por el Área Financiera  de la Subdirección de Gestión Corporativa. -SGC.</t>
  </si>
  <si>
    <t>Prestar los servicios profesionales para apoyar jurídicamente en los trámites administrativos, contractuales, y prediales  de la Subdirección de Gestión Corporativa -SGC</t>
  </si>
  <si>
    <t xml:space="preserve"> Reconocimeinto y pago pasivo exigible contrato interadministrativo No 270 de 2020 suscrito con SERVICIOS POSTALES NACIONALES SA, para prestar a la UAE Cuerpo Oficial de Bomberos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 Reconoce el valor de $10´221.240 según factura No. 01-4916 del 17 de agosto de 2021. Resolución 1133 de 2022. </t>
  </si>
  <si>
    <t xml:space="preserve"> Reconocimiento y pago pasivo exigible contrato de prestación servicios No 738 de 2020 suscrito con MITSUBICHI ELECTRIC DE COLOMBIA LTAD, para el mantenimiento ascensor nueva estación de bomberos de Fontibon. Reconoce el valor de $2´679.516 según facturas No. T46095435 del 20 de diciembre de 2021 y No T46111590, T46111591 y T46111592 del 29 de abril de 2022. Resolución 1133 de 2022. </t>
  </si>
  <si>
    <t>Suministro de la señalización requerida por la Entidad en cumplimiento de las normas legales vigentes para la UAE Cuerpo Oficial de Bomberos-SGC</t>
  </si>
  <si>
    <t>Adicion y prorroga No. 2 al contrato 131 de 2022 "Prestar los servicios profesionales en la Oficina de Control Interno para el desarrollo del Plan Anual de Auditorias"</t>
  </si>
  <si>
    <t>Adición y prórroga No. 1 al contrato 034 de 2022 que tiene como objeto "Prestación de servicios profesionales, en temas jurídicos de la gestión administrativa a cargo de la Subdirección de Gestión Corporativa.- SGC</t>
  </si>
  <si>
    <t xml:space="preserve">Adición y prórroga No. 1 al contrato 088 de 2022 que tiene como objeto "Prestar los servicios profesionales especializados para acompañar las actividades jurídicas relacionadas con la gestión contractual en las etapas precontractual, contractual y postcontractual del área administrativa de la Subdirección de Gestión Corporativa -SGC </t>
  </si>
  <si>
    <t>Adición y prórroga No. 1 al contrato 037 de 2022 que tiene como objeto "Prestación de servicios profesionales en el acompañamiento y asistencia al proceso de gestión documental de la UAECOB, así como en el apoyo a la supervisión de los contratos que le sean asignados.-SGC</t>
  </si>
  <si>
    <t>Adición y prórroga No. 1 al contrato 040 de 2022 que tiene como objeto "Prestación de servicios profesionales para apoyar a la Subdirección de Gestión Corporativa en lo relacionado con los procesos de inventarios-SGC</t>
  </si>
  <si>
    <t>Adición y prórroga No. 1 al contrato 078 de 2022 que tiene como objeto "Prestación de Servicios Profesionales para la formulación, seguimiento y ejecución de procesos presupuestales y financieros a cargo de la Subdirección de Gestión Corporativa-SGC</t>
  </si>
  <si>
    <t>Adición y prórroga No. 1 al contrato 100 de 2022 que tiene como objeto "Prestación de servicios profesionales, para liderar el proceso de la gestión documental de la UAECOB.-SGC</t>
  </si>
  <si>
    <t>Adición y prórroga No. 1 al contrato 106 de 2022 que tiene como objeto "Prestar servicios profesionales en la Subdirección de Gestión Corporativa en el marco de las actividades administrativas de la Dependencia.SGC</t>
  </si>
  <si>
    <t>Adición y prórroga No. 1 al contrato 117 de 2022 que tiene como objeto "Prestación de servicios profesionales en la implementación,consolidación ,seguimiento y reporte de los lineamientos ambientales en cada una de las sedes de la UAE Cuerpo Oficial de Bomberos Bogotá-SGC</t>
  </si>
  <si>
    <t>Adición y prórroga No. 1 al contrato 122 de 2022 que tiene como objeto "Prestación de servicios de apoyo a la gestión de seguros de la Subdirección de Gestión Corporativa. –SGC</t>
  </si>
  <si>
    <t xml:space="preserve">Adición y prórroga No. 1 al contrato 196 de 2022 que tiene como objeto " Prestación de servicios de apoyo a la gestión en la Subdirección de Gestión Corporativa, en las actividades asociadas al proceso y procedimientos del almacén de la Entidad.-SGC </t>
  </si>
  <si>
    <t>Adición y prórroga No. 1 al contrato 199 de 2022 que tiene como objeto "Prestación de servicios de apoyo a la gestión documental de la Subdirección de Gestión Corporativa de la Unidad.-SGC</t>
  </si>
  <si>
    <t>Adición y prórroga No. 1 al contrato 235 de 2022 que tiene como objeto "Prestación de servicios de apoyo a la gestión de seguros de la Subdirección de Gestión Corporativa. –SGC</t>
  </si>
  <si>
    <t>Adición y prórroga No. 1 al contrato 193 de 2022 que tiene como objeto "Prestar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</si>
  <si>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Adición y prórroga No. 1 al contrato 523 de 2022 que tiene como objeto "Prestación de servicios profesionales en la Subdirección de Gestión Corporativa adelantando las actividades necesarias para la ejecución del programa y los procesos de seguros de la Entidad. - SGC</t>
  </si>
  <si>
    <t>Adición y prórroga No. 1 al contrato 549 de 2022 que tiene como objeto "Prestación de servicios profesionales para apoyar a la Subdirección de Gestión Corporativa en las actividades administrativas, seguros, compras e inventarios-SGC</t>
  </si>
  <si>
    <t>Adición al contrato No. 454 de 2022, cuyo objeto "Contratar los servicios de canales de datos dedicados para la infraestructura LAN de Internet para la UAE Cuerpo Oficial de Bomberos de Bogotá -OAP".</t>
  </si>
  <si>
    <t>O21202020080484290_Otros servicios de telecomunicaciones vía Internet</t>
  </si>
  <si>
    <t>reconocimiento y pago Pasivo Exigible contrato No. 424 del 2019 suscrito con GARAJES PREFABRICADOS S.A.S.NIT</t>
  </si>
  <si>
    <t>Adición y prórroga al contrato de prestación de serviciós #301/2022, cuyo objeto es "Prestación de servicios profesionales para atender las actividades de bienestar y aprovechamiento animal para el programa BRAE de la Subdirección Operativa".</t>
  </si>
  <si>
    <t>Adición y prórroga del Cto 597 de 2022 "Prestar servicios   profesionales para apoyar el análisis    y construcción de procesos  y    procedimientos necesarios  para la gestión y   servicios TIC ́S"</t>
  </si>
  <si>
    <t>ADICION Y PRORROGA CTO 443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</si>
  <si>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49121503
49121506
46191503</t>
  </si>
  <si>
    <t>Adquisición de elementos para el mantenimiento y reposición de piezas de los campamentos modulares_SGR</t>
  </si>
  <si>
    <t>SGH - Prestar servicios profesionales para apoyar el sistema de seguridad y salud en el trabajo en la Subdirección de Gestión Humana.</t>
  </si>
  <si>
    <t>SGH - Prestar servicios de apoyo a la gestión en actividades logisticas y administrativas de la Subdirección
de Gestión Humana de la UAE Cuerpo Oficial de Bomberos.</t>
  </si>
  <si>
    <t>Adición y Prórroga N°1 al contrato 002 de 2022 cuyo objeto es: "Prestar los servicios profesionales jurídicos para apoyar las actividades propias de la gestión contractual que adelanta la Oficina Asesora Jurídica"</t>
  </si>
  <si>
    <t>Adición y Prórroga N°1 al contrato 005 de 2022 cuyo objeto es: "Prestar los servicios profesionales jurídicos para apoyar las actividades propias de la gestión contractual que adelanta la Oficina Asesora Jurídica"</t>
  </si>
  <si>
    <t>Adición y Prórroga N°1 al contrato 626 de 2022 cuyo objeto es: "Prestar servicios profesionales para apoyar las diferentes actuaciones jurídicas que adelanta la UAECOB"</t>
  </si>
  <si>
    <t>Adición y Prórroga N°1 al contrato 009 de 2022 cuyo objeto es: "Prestar los servicios profesionales jurídicos para apoyar las actividades propias de la gestión contractual que adelanta la Oficina Asesora Jurídica."</t>
  </si>
  <si>
    <t>Adición y Prórroga N°1 al contrato 628 de 2022 cuyo objeto es: "Prestar los servicios profesionales como abogado para adelantar las gestiones contractuales y demás trámites que le sean asignados en la Oficina Jurídica"</t>
  </si>
  <si>
    <t>Adición y Prórroga N°1 al contrato 014 de 2022 cuyo objeto es: "Prestar servicios profesionales para apoyar en la estructuración de las acciones de mejora, seguimiento a la gestión contractual de la entidad y demás procedimientos, en el marco de las funciones de la Oficina Asesora Jurídica"</t>
  </si>
  <si>
    <t>Adición y Prórroga N°1 al contrato 630 de 2022 cuyo objeto es: "Prestar los servicios profesionales jurídicos especializados en el desarrollo de las funciones de la Oficina Jurídica"</t>
  </si>
  <si>
    <t>Prestar los servicios profesionales para realizar el acompañamiento administrativo y financiero en temas de liquidación y cierre de expedientes, como demás actuaciones administrativas requeridas de los procesos contractuales</t>
  </si>
  <si>
    <t>Adición y Prórroga N°1 al contrato 001 de 2022 cuyo objeto es: "Prestar servicios profesionales especializados desde el punto de vista jurídico para apoyar las actividades de defensa judicial y procesos penales que adelante la UAE Cuerpo Oficial de Bomberos"</t>
  </si>
  <si>
    <t>Adición y Prórroga N°1 al contrato 010 de 2022 cuyo objeto es: "Prestar los servicios profesionales jurídicos para apoyar las actividades propias de la gestión contractual que adelanta la Oficina Asesora Jurídica."</t>
  </si>
  <si>
    <t>Adición y Prórroga N°1 al contrato 036 de 2022 cuyo objeto es: "Prestar los servicios profesionales jurídicos para apoyar las actividades propias de la gestión contractual que adelanta la Oficina Asesora Jurídica"</t>
  </si>
  <si>
    <t>Adición y Prórroga N°1 al contrato 096 de 2022 cuyo objeto es: "Prestar los servicios de apoyo técnico para las gestiones administrativas requeridas en la Oficina Asesora Jurídica."</t>
  </si>
  <si>
    <t>Adición y Prórroga N°1 al contrato 101 de 2022 cuyo objeto es: "Prestar los servicios de apoyo para las gestiones documentales y administrativas requerida por la Oficina Asesora Jurídica."</t>
  </si>
  <si>
    <t>Adición y Prórroga N°1 al contrato 308 de 2022 cuyo objeto es: "Prestar los servicios de apoyo para las gestiones documentales y administrativas requerida por la Oficina Asesora Jurídica."</t>
  </si>
  <si>
    <t>Adición y Prórroga N°1 al contrato 564 de 2022 cuyo objeto es: "Prestación de servicios profesionales jurídicos para orientar y apoyar el trámite y la gestión de los procesos disciplinarios que se adelanten en la Oficina Jurídica de la Unidad Administrativa Especial Cuerpo Oficial de Bomberos Bogotá"</t>
  </si>
  <si>
    <t>43000000
43210000
43211500</t>
  </si>
  <si>
    <t>Contratar la adquisición de computadores para el Pabellón del Conocimiento y la Innovación de la U.A.E. Cuerpo Oficial de Bomberos de Bogotá</t>
  </si>
  <si>
    <t>Prestar los servicios de apoyo a la gestión en las actividades logísticas y de bienestar adelantadas por el grupo de apoyo operacional de la UAECOB.</t>
  </si>
  <si>
    <t>Adición al contrato 393-2022 Prestar servicios profesionales para acompañar a la subdirección logística en la planeación, seguimiento, actualización y gestión presupuestal en el marco de los procesos y procedimiento a cargo de la dependencia  - SBLG</t>
  </si>
  <si>
    <t>Adición al contrato 55-2022 Prestación de servicios profesionales para coordinar, controlar y ejercer seguimiento al proceso de equipo menor a cargo de la Subdirección Logística - SBLG</t>
  </si>
  <si>
    <t>Adición al contrato 53-2022 Prestación de servicios profesionales para acompañar a la Subdirección Logística, en el diseño, implementación, reporte y monitoreo de los diferentes procedimientos que competen a esta Subdirección - SBLG</t>
  </si>
  <si>
    <t>Adición al contrato 142-2022 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Logística - SBLG</t>
  </si>
  <si>
    <t>Adición al contrato 103-2022 Prestación de servicios profesionales para acompañar a la Subdirección Logística en la estructuración y definición de aspectos técnicos y financieros en  los diferentes procesos de contratación de bienes y servicios en las etapas precontractual, contractual y postcontractual adelantados por la Subdirección Logística - SBLG</t>
  </si>
  <si>
    <t>Adición al contrato 124-2022 Prestación de servicios profesionales para acompañar a la Subdirección Logística, en el diligenciamiento y  seguimiento de las herramientas de planificación y  gestión de los procedimientos a cargo de esta Subdirección.  - SBLG</t>
  </si>
  <si>
    <t>Adición al contrato 243-2022 Prestación de servicios profesionales para acompañar a la Subdirección Logística en la estructuración y definición de aspectos jurídicos y contractuales en  los diferentes procesos de contratación de bienes y servicios adelantados por la Subdirección Logística - SBLG</t>
  </si>
  <si>
    <t>Adición al contrato 241-2022 Prestación de servicios profesionales para acompañar a la Subdirección Logística, en la estructuración y definición de aspectos jurídicos en las etapas precontractuales, contractuales y postcontractuales  en el marco de los procesos y procedimientos a cargo de la dependencia - SBLG</t>
  </si>
  <si>
    <t>Adición al contrato 160-2022 Prestación de servicios de apoyo a la gestión para realizar la revisión, verificación y mantenimiento preventivo al equipo menor con el que cuenta la Subdirección Logística - SBLG</t>
  </si>
  <si>
    <t>Adición al contrato 104-2022 Prestación de servicios de apoyo a la gestión para realizar transcripción, digitación y redacción de actas de reunión y demás actividades administrativas a cargo de la Subdirección Logística - SBLG</t>
  </si>
  <si>
    <t>Adición al contrato 242-2022 Prestación de servicios profesionales para realizar el seguimiento administrativo, operativo, control y monitoreo a los vehículos  del parque automotor, que se encuentren o sean objeto de mantenimiento a cargo de la Subdirección Logística - SBLG</t>
  </si>
  <si>
    <t>Adición al contrato 213-2022 Prestación de servicios profesionales para la Subdirección Logística en el seguimiento y control del componente ambiental, así como, la gestión de solicitudes de mesa logística en relación con  parque automotor, equipo menor y suministros consumibles - SBLG</t>
  </si>
  <si>
    <t>Adición al contrato 318-2022 Prestación de servicios profesionales a la Subdirección Logística, para el seguimiento, control y reporte de la información referente al impacto ambiental en desarrollo de los procesos de parque automotor y equipo menor - SBLG</t>
  </si>
  <si>
    <t>Adición al contrato 348-2022 Prestación de servicios profesionales para realizar el seguimiento administrativo, operativo, control y monitoreo a los vehículos  del parque automotor, que se encuentren o sean objeto de mantenimiento a cargo de la Subdirección Logística - SBLG</t>
  </si>
  <si>
    <t>Adición al contrato 372/2022 Prestación de servicios profesionales para realizar el procesos de socialización, capacitación y manejo de la herramienta e  implementación de los aplicativos implementados por la Subdirección Logística - SBLG</t>
  </si>
  <si>
    <t>Adición al contrato 391-2022 Prestación de servicios profesionales en actividades, administrativas, operativas y documentales del parque automotor con el cual cuenta la Subdirección Logística - SBLG</t>
  </si>
  <si>
    <t>Adición del contrato No 579 de 2022 cuyo objeto es, "Prestar el servicio de mantenimiento preventivo y correctivo, incluido el suministro de repuestos e insumos y mano de obra especializada para los equipos de detección multigases marca Dräger, propiedad de la UAECOB." SBLG</t>
  </si>
  <si>
    <t>Adición y prórroga al Contrato No. 508 de 2022 cuyo objeto es "Contratar el alquiler de equipos tecnológicos, periféricos y servicios complementarios para la UAECOB. - TIC"</t>
  </si>
  <si>
    <t>Adición y prórroga al Contrato No. 501 de 2022 cuyo objeto es "Contratar el alquiler de equipos tecnológicos, periféricos y servicios complementarios para la UAECOB. - TIC"</t>
  </si>
  <si>
    <t>Adición y prórroga del Cto 562 de 2022 "Prestar servicios asistenciales y de apoyo a la gestión para el desarrollo de actividades administrativas y procesos de gestión documental de la Oficina Asesora de Planeación"</t>
  </si>
  <si>
    <t>Adición y prórroga del Cto 049 de 2022 cuyo objeto es “Prestar los servicios profesionales administrativos y financieros en el apoyo a las actividades precontractuales, contractuales y pos contractuales relacionados con los procesos de la OAP</t>
  </si>
  <si>
    <t>Adición y prórroga al contrato No. 584 de 2022, cuyo objeto es "SGH - Prestar servicios profesionales en la Subdirección de Gestión Humana, en lo relacionado con el fortalecimiento e implementación de la escuela de formación bomberil".</t>
  </si>
  <si>
    <t>Adición y prórroga al contrato No. 519 de 2022, cuyo objeto es "SGH - Prestar de servicios profesionales para desarrollar actividades jurídicas relacionadas con la academia bomberil, recobro de incapacidades y procesos administrativos de la Subdirección de Gestión Humana".</t>
  </si>
  <si>
    <t>Adición y prórroga al contrato No. 603 de 2022, cuyo objeto es "SGH - Prestar de servicios profesionales para desarrollar actividades jurídicas relacionados con los procesos contractuales a cargo de la Subdirección de Gestión Humana".</t>
  </si>
  <si>
    <t>Adición y prórroga al contrato No. 575 de 2022, cuyo objeto es "SGH - Prestar servicios profesionales para la implementación y seguimiento del sistema de gestión de seguridad y salud en el trabajo en la Subdirección de Gestión Humana".</t>
  </si>
  <si>
    <t>Adición y prórroga al contrato No. 558 de 2022, cuyo objeto es "SGH - Prestar de servicios profesionales para desarrollar actividades jurídicas relacionados con los procesos contractuales a cargo de la Subdirección de Gestión Humana".</t>
  </si>
  <si>
    <t>Adición y prórroga No. 1 al contrato 024 de 2022 que tiene como objeto "Prestar los servicios de tipo administrativo para cuadyuvar en las actividades propias de la Subdirección- SGC</t>
  </si>
  <si>
    <t>Adición y prórroga No. 1 al contrato 379 de 2022 que tiene como objeto" Prestar servicios profesionales como enlace con la oficina de comunicaciones para la correcta divulgación de las actividades desarrolladas por la Subdirección de Gestión Corporativa-SGC</t>
  </si>
  <si>
    <t>Adición y prórroga No. 1 al contrato 223 de 2022 que tiene como objeto " Prestación de servicios profesionales en la implementación ,consolidación, seguimiento y reporte de los lineamientos ambientales en cada una de las sedes de la UAE CUERPO OFICIAL DE BOMBEROS BOGOTÁ-SGC</t>
  </si>
  <si>
    <t xml:space="preserve"> Reconocimiento y Pago Pasivo Exigible contrato de prestación servicios No 42 de2019 suscrito con ORLANDO SILVA CALDERON cedido a CLAUDIA IOMARAAYALA BELTRAN, para prestación de servicios de apoyo a la gestión documental de la Subdirección de Gestión Corporativa de la Unidad. Reconoce $455.800 según cuenta de cobro del 16 diciembre del 2021. Resolución 290 de 2022. </t>
  </si>
  <si>
    <t>1-601-F001</t>
  </si>
  <si>
    <t xml:space="preserve"> Reconocimiento y pago pasivo exigible contrato de prestación servicios No 410 de 2019 suscrito con GLOBAL COLOMBIA CERTIFICACIÓN SAS, para prestación de servicios de auditoría de certificación y fortalecimiento de cultura de calidad para la certificación ISO 9001:2015. Reconoce el valor de $812.532 según factura No. FEG 280 del 08 de marzo de 2022. Resolución 1133 de 2022. </t>
  </si>
  <si>
    <t>Adición y prórroga No. 1 al contrato 067 de 2022 que tiene como objeto " Prestar servicios profesionales para acompañar jurídicamente los procesos y procedimientos del área de infraestructura de la Subdirección de Gestión Corporativa.SGC</t>
  </si>
  <si>
    <t>Prestar los servicios profesionales jurídicos para apoyar las actividades propias de la gestión contractual que adelanta la Oficina Jurídica.</t>
  </si>
  <si>
    <t>Adición y Prórroga N°1 al contrato 015 de 2022 cuyo objeto es: " Prestar los servicios profesionales jurídicos especializados para la verificación de la legalidad contractual en el desarrollo de las funciones de la Oficina Asesora Jurídica."</t>
  </si>
  <si>
    <t>SGH - Prestar sus servicios profesionales en comunicación interna y externa referente a temas de la Escuela de formación Bomberil y del sistema de gestión de seguridad y salud en el trabajo.</t>
  </si>
  <si>
    <t>45111700;45111500;45111900
52161500;39111500;72150000
72151600;72151603;30141601
72152100;72141115;81161700</t>
  </si>
  <si>
    <t>Adición y prórroga al Contrato 629 de 2022 cuyo objeto es  "Contratar la adecuación, instalación y puesta en funcionamiento del sistema acústico, audio y video del auditorio ubicado en las instalaciones del edificio comando de la UAE Cuerpo Oficial de Bomberos Bogotá - TIC"</t>
  </si>
  <si>
    <t>Adición y prórroga al Contrato 270 de 2022 cuyo objeto es "Prestar servicios profesionales en la Oficina Asesora de Planeación para liderar el fortalecimiento y cumplimiento de la Gestión Estratégica y la mejora continua en la entidad -OAP-"</t>
  </si>
  <si>
    <t>Adición y prórroga al Contrato 269 de 2022 cuyo objeto es "Prestar los servicios profesionales para apoyar las actividades administrativas y presupuestales que se desarrollan en la Oficina Asesora de Planeación -OAP-"</t>
  </si>
  <si>
    <t xml:space="preserve"> O23011605560000007655 - Fortalecimiento de la Planeación y Gestión de la UAECOB Bogotá </t>
  </si>
  <si>
    <t>Adición y prórroga al Contrato 260 de 2022 cuyo objeto es "Prestar servicios profesionales especializados a la Jefatura de la Oficina Asesora de Planeación en el fortalecimiento, articulación, seguimiento y gestión en el cumplimiento de las funciones asignadas a la dependencia. -OAP-"</t>
  </si>
  <si>
    <t>Adición y prórroga al Contrato 272 de 2022 cuyo objeto es  "Prestar los servicios profesionales para apoyar jurídicamente a la Oficina Asesora de Planeación, en lo relacionado con los trámites administrativos y contractuales -OAP-"</t>
  </si>
  <si>
    <t>Adición y prórroga al Contrato 074 de 2022 cuyo objeto es "Prestar servicios profesionales a la Oficina Asesora de Planeación para apoyar, gestionar la sostenibilidad y el mejoramiento continuo del Sistema de Gestión de Calidad y del Sistema de Control Interno de la UAECOB. -OAP-</t>
  </si>
  <si>
    <t>Adición y prórroga al Contrato 267 de 2022 cuyo objeto es "Prestar servicios profesionales para el diseño de las estrategias audiovisuales que permitan el uso y apropiación del MIPG en la UAECOB -OAP-"</t>
  </si>
  <si>
    <t>Adición y prórroga al Contrato 265 de 2022 cuyo objeto es "Prestar servicios profesionales para gestionar las actividades de cooperación técnica interinstitucional con las Entidades del sector a nivel nacional e internacional -OAP-."</t>
  </si>
  <si>
    <t>Adición y prórroga al Contrato 258 de 2022 cuyo objeto es "Prestar servicios profesionales para apoyar la gestión de las actividades de cooperación técnica interinstitucional con las Entidades del sector a nivel nacional e internacional -OAP-"</t>
  </si>
  <si>
    <t>Adición y prórroga al Contrato 566 de 2022 cuyo objeto es "Prestar servicios de apoyo a la gestión para actualizar y depurar el inventario de los elementos tecnológicos adquiridos por la Oficina Asesora de Planeación UAECOB -OAP-"</t>
  </si>
  <si>
    <t>"Prestar servicios profesionales, para apoyar las actividades institucionales de cooperación técnica y financiera de la Entidad “</t>
  </si>
  <si>
    <t>Adicion y prorroga al contrato No. 135 de 2022, cuyo objeto es: "Prestar servicios profesionales especializados en la Dirección General de la UAECOB en la organización y liderazgo de los asuntos relacionados con comunicaciones de conformidad a la misionalidad de la entidad"</t>
  </si>
  <si>
    <t>Adicion y prorroga al contrato No. 224 de 2022, cuyo objeto es: "Prestación de servicios profesionales en la Dirección en asuntos de comunicaciones, para apoyar la difusión y organización de la información y notas de prensa que sean generadas por la UAECOB, en especial, en el cubrimiento de incidentes”</t>
  </si>
  <si>
    <t>Adicion y prorroga al contrato No. 140 de 2022, cuyo objeto es: "Prestación de servicios profesionales en la Dirección en comunicaciones y prensa, para apoyar la difusión de la información al público interno de la UAECOB"</t>
  </si>
  <si>
    <t>Adicion y prorroga al contrato No. 137 de 2022, cuyo objeto es: "Prestar servicios profesionales en la Dirección General, para diseñar piezas gráficas comunicacionales que sean requeridas en el marco de la estrategia de Comunicaciones y Prensa de la UAECOB”</t>
  </si>
  <si>
    <t>Adicion y prorroga al contrato No. 136 de 2022, cuyo objeto es: "Prestar servicios profesionales en la Dirección en asuntos de comunicaciones y prensa, para apoyar la administración de contenidos digitales en la página web y la Intranet de la UAECOB”</t>
  </si>
  <si>
    <t>Adicion y prorroga al contrato No. 051 de 2022, cuyo objeto es: "Prestación de servicios de apoyo técnico en procesos y procedimientos que se lleven a cabo en la Dirección General, en asuntos de comunicaciones y prensa; y demás acciones encaminadas al cumplimiento de las estrategias comunicacionales de la UAECOB”</t>
  </si>
  <si>
    <t>Adicion y prorroga al contrato No. 225 de 2022, cuyo objeto es: "Prestar apoyo técnico en la Dirección, en asuntos de comunicaciones y prensa, para la producción, diseño y edición de material audiovisual de la UAECOB”</t>
  </si>
  <si>
    <t>Adicion y prorroga al contrato No. 139 de 2022, cuyo objeto es: "Prestar servicios profesionales para apoyar asuntos de comunicaciones y prensa en la Dirección General, y demás acciones encaminadas al cumplimiento de las estrategias comunicacionales de la UAECOB”</t>
  </si>
  <si>
    <t>Adicion y prorroga al contrato No. 206 de 2022, cuyo objeto es: "Prestación de servicios profesionales en la Dirección General en asuntos de comunicaciones y prensa, para asesorar los planes, programas y proyectos enmarcados en la misionalidad de la UAECOB</t>
  </si>
  <si>
    <t>Adicion y prorroga al contrato No. 600 de 2022, cuyo objeto es: "Prestación de servicios profesionales especializados en asuntos de comunicaciones y prensa para apoyar la divulgación y socialización de la información relacionada con la misionalidad de la UAECOB</t>
  </si>
  <si>
    <t>Adicion y prorroga No.2 al contrato No. 138 de 2022, cuyo objeto es: "Prestar servicios como conductor a la UAECOB, en especial en el transporte de recursos que le sean indicados en la Dirección General en el marco sus funciones”</t>
  </si>
  <si>
    <t>Adicion y prorroga  al contrato No. 018 de 2022, cuyo objeto es: "Prestar servicios profesionales para asesorar a la Dirección General en las estrategias de fortalecimiento de los procesos y procedimientos, de sostenibilidad, planes y programas que sean requeridos en el marco de la misionalidad de la UAECOB”</t>
  </si>
  <si>
    <t>Adicion y prorroga No.2 al contrato No. 017 de 2022, cuyo objeto es: "Prestación de servicios profesionales jurídicos en virtud de las funciones asignadas a la Dirección General de la UAECOB, para apoyar los procesos contractuales y actividades administrativas requeridas</t>
  </si>
  <si>
    <t>Adicion y prorroga No.2 al contrato No. 080 de 2022, cuyo objeto es: "Prestar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</si>
  <si>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Adicion y prorroga No.2  al contrato No. 141 de 2022, cuyo objeto es: "Prestar servicios profesionales en asuntos relacionados con temas administrativos y asuntos propios requeridos por la Dirección General de la UAECOB”</t>
  </si>
  <si>
    <t>Adicion y prorroga No.2 al contrato No. 485 de 2022, cuyo objeto es: "Prestar servicios de apoyo a la gestión en la UAECOB, en asuntos administrativos y asistenciales requeridos, especificamente en el seguimiento de la información”</t>
  </si>
  <si>
    <t>Adicion y prorroga No.3 al contrato No. 127 de 2022, cuyo objeto es: "Prestar servicios de apoyo técnico a la gestión para llevar a cabo la ejecución de actividades logísticas y administrativas que sea requieran para el fortalecimiento de la Planeación y Gestión en la UAE Cuerpo Oficial Bomberos de Bogotá”</t>
  </si>
  <si>
    <t>Prestación de servicios de apoyo a la gestión en la Dirección General, para la articulación y manejo de las herramientas tecnologícas, aplicativos y sistemas de información conforme a los requerimientos de las áreas de la UAECOB</t>
  </si>
  <si>
    <t>Adición al contrato 244 de 2022 Prestación de servicios profesionales para acompañar a la Subdirección Logística, en la estructuración y definición de aspectos jurídicos en las etapas precontractuales, contractuales y postcontractuales  en el marco de los procesos y procedimientos a cargo de la dependencia.  - SBLG</t>
  </si>
  <si>
    <t>Prestar los servicios profesionales para apoyar la depuración de la cartera de cobro coactivo, así como actividades propias de la defensa judicial de la Entidad y demas actiuaciones relacionadas que requiera la Oficina Jurídica</t>
  </si>
  <si>
    <t>Prestar los servicios de apoyo para las gestiones documentales y administrativas requerida por la Oficina Jurídica</t>
  </si>
  <si>
    <t>Prestar servicios profesionales para apoyar en las acciones de control y manejo de la información y la presentación de informes reglamentarios a los entes de control por parte de la Oficina Jurídica</t>
  </si>
  <si>
    <t>Prestar servicios profesionales para apoyar asuntos de comunicaciones y prensa en la Dirección General, y demás acciones encaminadas al cumplimiento de las estrategias comunicacionales de la UAECOB</t>
  </si>
  <si>
    <t>Adicion y prorroga al contrato No. 307 de 2022, cuyo objeto es: "Prestar apoyo en la Dirección en asuntos de comunicaciones y prensa, para apoyar la divulgación de la información generada por la UAECOB”</t>
  </si>
  <si>
    <t xml:space="preserve">Prestación de servicios profesionales especializados para atender las necesidades de mantenimiento de las instalaciones y las actividades técnicas de competencia del Área de Infraestructura de la Subdirección de Gestión Corporativa-SGC </t>
  </si>
  <si>
    <t xml:space="preserve">Prestación de servicios profesionales para atender las necesidades de mantenimiento de las instalaciones y las actividades técnicas y administrativas de competencia del Área de Infraestructura de la Subdirección de Gestión Corporativa-SGC </t>
  </si>
  <si>
    <t>Reconocimiento y pago Pasivo Exigible contrato No. 265 del 2019 suscrito con CONSTRUCCIONES MACOING
S.A.S.NIT. 900.773.996-1</t>
  </si>
  <si>
    <t xml:space="preserve">Adición y prórroga No. 1 al contrato 237 de 2022 que tiene como objeto "Prestar los servicios como conductor del área de infraestructura de la Subdirección de Gestión Corporativa-SGC </t>
  </si>
  <si>
    <t>Adición y prórroga No. 1 al contrato 234 de 2022 que tiene como objeto "Prestación de servicios profesionales para apoyar las actividades técnicas del Área de Infraestructura de la Subdirección de Gestión Corporativa-SGC</t>
  </si>
  <si>
    <t xml:space="preserve"> Adición y prórroga No. 1 al contrato 516 de 2022 que tiene como objeto "Prestación de servicios profesionales especializados para apoyar las actividades técnicas del Área de Infraestructura de la Subdirección de Gestión Corporativa-SGC</t>
  </si>
  <si>
    <t xml:space="preserve"> Adición y prórroga No. 1 al contrato 541 de 2022 que tiene como objeto "Prestación de servicios profesionales especializados para apoyar las actividades técnicas del Área de Infraestructura de la Subdirección de Gestión Corporativa-SGC </t>
  </si>
  <si>
    <t>Adición y prórroga No. 1 al contrato 500 de 2022 que tiene como objeto "Prestación de servicios profesionales especializados para articular y revisar los procesos y procedimientos del área de infraestructura, así como en el apoyo a la supervisión de los contratos que le sean asignados-SGC</t>
  </si>
  <si>
    <t xml:space="preserve"> Adición y prórroga No. 1 al contrato 233 de 2022 que tiene como objeto "Prestación de servicios profesionales para adelantar actividades técnicas y trámites administrativos del Área de Infraestructura de la Subdirección de Gestión Corporativa-SGC</t>
  </si>
  <si>
    <t xml:space="preserve"> Adición y prórroga No. 1 al contrato 087 de 2022 que tiene como objeto Prestación de Servicios Profesionales en temas financieros, administrativas y misionales para apoyar los proyectos de infraestructura de la Subdirección de Gestión Corporativa.-SGC  </t>
  </si>
  <si>
    <t>Adición y prórroga del Contrato 194-2022 "Prestación de servicios profesionales jurídicos para apoyar la gestión de los procesos disciplinarios que se adelanten en la UAECOB y que se encuentran a cargo de la Subdirección de Gestión Corporativa" – SGC</t>
  </si>
  <si>
    <t>Adición y prórroga del Contrato 98-2022 "Prestación de servicios profesionales jurídicos para apoyar la gestión de los procesos disciplinarios que se adelanten en la UAECOB y que se encuentran a cargo de la Subdirección de Gestión Corporativa – SGC"</t>
  </si>
  <si>
    <t>Adición y prórroga del Contrato 397-2022 "Prestación de servicios profesionales jurídicos para apoyar la gestión de los procesos disciplinarios que se adelanten en la UAECOB y que se encuentran a cargo de la Subdirección de Gestión Corporativa – SGC"</t>
  </si>
  <si>
    <t>Adición y prórroga del Contrato 058-2022 "Prestación de servicios profesionales jurídicos para apoyar la gestión de los procesos disciplinarios que se adelanten en la UAECOB y que se encuentran a cargo de la Subdirección de Gestión Corporativa – SGC"</t>
  </si>
  <si>
    <t>Adición y prórroga del Contrato 532-2022 "Prestación de servicios profesionales jurídicos para apoyar la gestión de los procesos disciplinarios que se adelanten en la UAECOB y que se encuentran a cargo de la Subdirección de Gestión Corporativa – SGC"</t>
  </si>
  <si>
    <t>Adición y prórroga del Contrato 543-2022 "Prestación de servicios profesionales jurídicos para apoyar la gestión de los procesos disciplinarios que se adelanten en la UAECOB y que se encuentran a cargo de la Subdirección de Gestión Corporativa – SGC"</t>
  </si>
  <si>
    <t>Adición y prórroga del Contrato 604-2022 "Prestar los servicios profesionales jurídicos especializados en la Oficina de Control Disciplinario Interno de la entidad relacionados con los procesos disciplinarios que se deban tramitar en esa dependencia en etapa de instrucción- SGC"</t>
  </si>
  <si>
    <t>Adición y prórroga del Contrato 291-2022 "Prestación de servicios de apoyo a la gestión a la Subdirección de Gestión Corporativa para el cumplimiento de las funciones asignadas a esta dependencia, especialmente las tareas de tipo administrativo relacionadas con asuntos disciplinarios.-SGC"</t>
  </si>
  <si>
    <t>Adición y prórroga del Contrato 576-2022 "Prestacion de servicios de apoyo a la gestion a la subdireccion de gestion corporativa para el cumplimiento de las funciones asignadas a esta dependencia, especialmente las tareas de tipo administrativo relacionadas con asuntos disciplinarios.-SGC"</t>
  </si>
  <si>
    <t>Adición y prórroga No. 1 al contrato 108 de 2022 que tiene como objeto "Prestación de servicios profesionales para la formulación, seguimiento, ejecución de los procesos contables y gestión de pagos que se desarrollan en el área Financiera de la UAE Cuerpo Oficial de Bomberos asignados. -SGC</t>
  </si>
  <si>
    <t>Adición y prórroga No. 1 al contrato 404 de 2022 que tiene como objeto "Prestación de servicios profesionales en la Subdirección de Gestión Corporativa en las actividades relacionadas con MIPG-SGC</t>
  </si>
  <si>
    <t>Adición y prórroga No. 1 al contrato 129 de 2022 que tiene como objeto "Prestación de servicios profesionales para articular la gestión en la ejecución de los planes y programas de servicio al ciudadano a cargo de la Subdirección de Gestión Corporativa.-SGC</t>
  </si>
  <si>
    <t>Prestar los servicios profesionales para la gestión administrativa y operativa de la Subdirección de Gestión Corporativa en el proceso de adquisición de bienes y servicios-sgc</t>
  </si>
  <si>
    <t>Adición y prórroga al contrato de prestación de servicios # 185/2022, cuyo objeto es "Prestación de servicios profesionales en la elaboración de diseños y diagramación de piezas para los programas, proyectos y procedimientos requeridos por la Subdirección Operativa."</t>
  </si>
  <si>
    <t>Adición y prórroga al contrato de prestación de servicios # 186/2022, cuyo objeto es: "Prestación de servicios profesionales apoyando tecnológicamente al Centro de Coordinación y Comunicaciones y servir de enlace en lo relacionado con sistemas de telecomunicaciones entre el C4 del Distrito Capital y la UAECOB.- Subdirección Operativa".</t>
  </si>
  <si>
    <t>Adición y prórroga al contrato de prestación de servicios # 187/2022, cuyo objeto es: "Prestación de servicios profesionales para realizar la estructuración y desarrollar la estandarización de especificaciones técnicas de las necesidades de la Subdirección Operativa y realizar el manejo y procesamiento de información estadística a cargo de la dependencia".</t>
  </si>
  <si>
    <t>Adición y prórroga al contrato de prestación de servicios # 188/2022, cuyo objeto es: "Prestación de servicios profesionales para desarrollar actividades de tratamiento y análisis de la información geográfica, georreferenciación y generación de alertas a través de las herramientas, medios o sistemas de información disponibles".</t>
  </si>
  <si>
    <t>Adición y prórroga al contrato de prestación de servicios # 205/2022, cuyo objeto es: "Prestación de servicios profesionales para realizar la consolidación, seguimiento, verificación y control a los reportes de disponibilidad del personal uniformado de la Subdirección Operativa".</t>
  </si>
  <si>
    <t>Adición y prórroga al contrato de prestación de servicios # 200/2022, cuyo objeto es: "Prestación de servicios de apoyo a la gestión en las actividades asistenciales que demandan las Compañías de la Subdirección Operativa".</t>
  </si>
  <si>
    <t>Adición y prórroga al contrato de prestación de servicios # 289/2022, cuyo objeto es: "Prestación de servicios profesionales para realizar las actividades de seguimiento, consolidación, control y reporte de los programas, proyectos de inversión e indicadores de la Subdirección Operativa".</t>
  </si>
  <si>
    <t>Adición y prórroga al contrato de prestación de servicios # 201/2022, cuyo objeto es: "Prestación de servicios técnicos para atender la definición de necesidades técnicas de la Subdirección Operativa y servir de enlace con las diferentes dependencias de la UAECOB".</t>
  </si>
  <si>
    <t>Adición y prórroga al contrato de prestación de servicios #  299/2022, cuyo objeto es:"Prestación de servicios de apoyo a la gestión en las actividades asistenciales que demanda la subdirección operativa".</t>
  </si>
  <si>
    <t xml:space="preserve">Adición y prórroga al contrato de prestación de servicios #  301/2022, cuyo objeto es: "Prestación de servicios profesionales para atender las actividades de bienestar y aprovechamiento animal para el programa BRAE de la Subdirección Operativa". </t>
  </si>
  <si>
    <t>Adición y prórroga al contrato de prestación de servicios #  303/2022, cuyo objeto es: "Prestación de servicios profesionales para gestionar los temas de contratación, legales y jurídicos que requiera la Subdirección Operativa".</t>
  </si>
  <si>
    <t>Adición y prórroga al contrato de prestación de servicios #  304/2022, cuyo objeto es: Prestación de servicios profesionales para atender las actividades de bienestar y aprovechamiento animal para el programa BRAE de la Subdirección Operativa.</t>
  </si>
  <si>
    <t>Adición y prórroga al contrato de prestación de servicios # 325/2022, cuyo objeto es: Prestación de servicios profesionales para realizar la estructuración y desarrollar la estandarización de especificaciones técnicas de las necesidades de la Subdirección Operativa y apoyar la contratación de la dependencia</t>
  </si>
  <si>
    <t>Adición y prórroga al contrato de prestación de servicios #  326/2022, cuyo objeto es: Prestación de servicios profesionales para realizar el seguimiento, consolidación y reporte de las actividades derivadas del plan de fortalecimiento operativo de la Subdirección Operativa.</t>
  </si>
  <si>
    <t>Adición y prórroga al contrato de prestación de servicios #  327/2022, cuyo objeto es: Prestación de servicios profesionales para realizar el seguimiento, consolidación, reporte y mejoramiento de las actividades derivadas de la formulación de planes y programas institucionales que correspondan a los procesos misionales de la Subdirección Operativa.</t>
  </si>
  <si>
    <t>Adición y prórroga al contrato de prestación de servicios # 329/2022, cuyo objeto es: Prestación de servicios de apoyo para brindar soporte en el proceso de comunicaciones en emergencias del Centro de Coordinación y Comunicaciones (C.C.C.) a cargo de la Subdirección Operativa de la UAE Cuerpo Oficial de Bomberos de Bogotá.</t>
  </si>
  <si>
    <t>Adición y prórroga al contrato de prestación de servicios # 339/2022, cuyo objeto es: Prestación de servicios de apoyo para brindar soporte en el proceso de comunicaciones en emergencias del Centro de Coordinación y Comunicaciones (CCC) a cargo de la Subdirección Operativa del UAE Cuerpo Oficial de Bomberos de Bogotá.</t>
  </si>
  <si>
    <t>Adición y prórroga al contrato de prestación de servicios # 340/2022, cuyo objeto es: Prestación de servicios de apoyo a la gestión en la consolidación, proyección y acompañamiento de la información del nuevo sistema misional y de los trámites que permitan el logro de los objetivos de la Subdirección Operativa.</t>
  </si>
  <si>
    <t>Adición y prórroga al contrato de prestación de servicios # 355/2022, cuyo objeto es: Prestación de servicios de apoyo para brindar soporte en el proceso de comunicaciones en emergencias del Centro de Coordinación y Comunicaciones (CCC) a cargo de la Subdirección Operativa del UAE Cuerpo Oficial de Bomberos de Bogotá.</t>
  </si>
  <si>
    <t>Adición y prórroga al contrato de prestación de servicios # 356/2022, cuyo objeto es: Prestación de servicios profesionales para atender las actividades de bienestar y aprovechamiento animal para el programa BRAE de la Subdirección Operativa.</t>
  </si>
  <si>
    <t>Adición y prórroga al contrato de prestación de servicios # 357/2022, cuyo objeto es: Prestación de servicios de apoyo para brindar soporte en el proceso de comunicaciones en emergencias del Centro de Coordinación y Comunicaciones (CCC) a cargo de la Subdirección Operativa del UAE Cuerpo Oficial de Bomberos de Bogotá.</t>
  </si>
  <si>
    <t xml:space="preserve">Adición y prórroga al contrato de prestación de servicios # 388/2022, cuyo objeto es: Prestación de servicios de apoyo para brindar soporte en el proceso de comunicaciones en emergencias del Centro de Coordinación y Comunicaciones (CCC) a cargo de la Subdirección Operativa del UAE Cuerpo Oficial de Bomberos de Bogotá. </t>
  </si>
  <si>
    <t>Adición y prórroga al contrato de prestación de servicios # 544/2022, cuyo objeto es: Prestación de servicios de apoyo a la gestión en las actividades que demanda la subdirección operativa.</t>
  </si>
  <si>
    <t>Adición y prórroga al contrato de prestación de servicios # 202/2022, cuyo objeto es: Prestación de servicios de apoyo a la gestión en actividades asistenciales derivadas de la estación de bomberos asignada, a cargo de la subdirección operativa.</t>
  </si>
  <si>
    <t>Adición y prórroga al contrato de prestación de servicios # 204/2022, cuyo objeto es: Prestación de servicios de apoyo a la gestión en actividades asistenciales derivadas de la estación de bomberos asignada, a cargo de la subdirección operativa.</t>
  </si>
  <si>
    <t>Adición y prórroga al contrato de prestación de servicios # 218/2022, cuyo objeto es: Prestación de servicios de apoyo a la gestión en actividades asistenciales derivadas de la estación de bomberos asignada, a cargo de la subdirección operativa.</t>
  </si>
  <si>
    <t>Adición y prórroga al contrato de prestación de servicios # 219/2022, cuyo objeto es: Prestación de servicios de apoyo a la gestión en actividades asistenciales derivadas de la estación de bomberos asignada, a cargo de la subdirección operativa.</t>
  </si>
  <si>
    <t>Adición y prórroga al contrato de prestación de servicios # 221/2022, cuyo objeto es: Prestación de servicios de apoyo a la gestión en actividades asistenciales derivadas de la estación de bomberos asignada, a cargo de la subdirección operativa.</t>
  </si>
  <si>
    <t>Adición y prórroga al contrato de prestación de servicios # 222/2022, cuyo objeto es: Prestación de servicios de apoyo a la gestión en actividades asistenciales derivadas de la estación de bomberos asignada, a cargo de la subdirección operativa.</t>
  </si>
  <si>
    <t>Adición y prórroga al contrato de prestación de servicios # 229/2022, cuyo objeto es: Prestación de servicios de apoyo a la gestión en actividades asistenciales derivadas de la estación de bomberos asignada, a cargo de la subdirección operativa.</t>
  </si>
  <si>
    <t>Adición y prórroga al contrato de prestación de servicios # 230/2022, cuyo objeto es: Prestación de servicios de apoyo a la gestión en actividades asistenciales derivadas de la estación de bomberos asignada, a cargo de la subdirección operativa.</t>
  </si>
  <si>
    <t>Adición y prórroga al contrato de prestación de servicios # 231/2022, cuyo objeto es: Prestación de servicios de apoyo a la gestión en actividades asistenciales derivadas de la estación de bomberos asignada, a cargo de la subdirección operativa.</t>
  </si>
  <si>
    <t>Adición y prórroga al contrato de prestación de servicios # 232/2022, cuyo objeto es: Prestación de servicios de apoyo a la gestión en actividades asistenciales derivadas de la estación de bomberos asignada, a cargo de la subdirección operativa.</t>
  </si>
  <si>
    <t>Adición y prórroga al contrato de prestación de servicios # 287/2022, cuyo objeto es:Prestación de servicios de apoyo a la gestión en actividades asistenciales derivadas de la estación de bomberos asignada, a cargo de la subdirección operativa.</t>
  </si>
  <si>
    <t>Adición y prórroga al contrato de prestación de servicios # 288/2022, cuyo objeto es: Prestación de servicios de apoyo a la gestión en actividades asistenciales derivadas de la estación de bomberos asignada, a cargo de la subdirección operativa.</t>
  </si>
  <si>
    <t>Adición y prórroga al contrato de prestación de servicios # 290/2022, cuyo objeto es: Prestación de servicios de apoyo a la gestión en actividades asistenciales derivadas de la estación de bomberos asignada, a cargo de la subdirección operativa.</t>
  </si>
  <si>
    <t>Adición y prórroga al contrato de prestación de servicios # 302/2022, cuyo objeto es: Prestación de servicios de apoyo a la gestión en actividades asistenciales derivadas de la estación de bomberos asignada, a cargo de la subdirección operativa.</t>
  </si>
  <si>
    <t>Adición y prórroga al contrato de prestación de servicios # 383/2022, cuyo objeto es: Prestación de servicios de apoyo a la gestión en actividades asistenciales derivadas de la estación de bomberos asignada, a cargo de la subdirección operativa.</t>
  </si>
  <si>
    <t>"Prestación de servicios profesionales jurídicos en la Dirección General de la UAECOB, para apoyar los procesos requeridos”</t>
  </si>
  <si>
    <t xml:space="preserve"> "Adición y prorroga al contrato No. 552 de 2022, cuyo objeto es: "Prestar servicios profesionales en la Dirección General de la UAECOB en actividades de articulación y seguimiento a los procesos de planeación institucional y gestión estratégica, así como el fortalecimiento transversal del proceso de Academia”.</t>
  </si>
  <si>
    <t>"Adición y prorroga al contrato No. 470 de 2022, cuyo objeto es: "Prestar servicios profesionales a la Dirección General en actividades de articulación interinstitucional entre las diferentes dependencias, entidades del sector, y demás que estén relacionadas con la misionalidad de la UAECOB”.</t>
  </si>
  <si>
    <t>"Adición y prorroga al contrato No. 483 de 2022, cuyo objeto es: "Prestación de Servicios Profesionales para realizar el acompañamiento y seguimiento del cumplimiento y ejecución de las metas en aspectos presupuestales y financieros de la Entidad ”.</t>
  </si>
  <si>
    <t>Adición y prórroga No. 1 al contrato 548 de 2022 que tiene como objeto " Prestar servicios profesionales especializados a la Subdirección de Gestión Corporativa y Dirección General de la UAECOB en la construcción ,acompañamiento, seguimiento y fortalecimiento de las estrategias de comunicación que adelante la entidad dentro del Distrito Capital- SGC</t>
  </si>
  <si>
    <t>ADICION Y PRORROGA CTO  254 "Prestar  servicios profesionales en las actividades de proyeccion e innovacion para la Subdirección de Gestión del Riesgo._SGR"</t>
  </si>
  <si>
    <t>ADICION Y PRORROGA CTO  499 "Prestar servicios profesionales en la Subdireccion de Gestion del Riesgo para el fortalecimiento de la capacidad predictiva relacionada con los riesgos misionales de la Entidad._SGR"</t>
  </si>
  <si>
    <t>Prestación de servicios de apoyo a la gestión en la ejecución de los porcesos contables a cargo de la Subdirección de Gestión Corporativa-SGC</t>
  </si>
  <si>
    <t xml:space="preserve"> Prestación de servicios profesionales en la implementación, consolidación ,seguimiento y reporte de los lineamientos ambientales en cada una de las sedes de la UAE Cuerpo Oficial de Bomberos Bogotá-SGC</t>
  </si>
  <si>
    <t>Adición y prórroga No. 1 al contrato 123 de 2022 que tiene como objeto " Prestación de servicios de apoyo a la gestión en la ejecución de los planes y programas de servicio al ciudadano a cargo de la Subdirección de Gestión Corporativa-SGC</t>
  </si>
  <si>
    <t>Adición y prórroga No. 1 al contrato 126 de 2022 que tiene como objeto " Prestación de servicios profesionales para brindar acompañamiento a la ejecución de los planes y programas de servicio al ciudadano a cargo de la Subdirección de Gestión Corporativa. -SGC</t>
  </si>
  <si>
    <t>Adición y prórroga No. 1 al contrato 133 de 2022 que tiene como objeto " Prestación de servicios de apoyo a la gestión en la ejecución de los planes y programas de servicio al ciudadano a cargo de la Subdirección de Gestión Corporativa-SGC</t>
  </si>
  <si>
    <t>Adición y prórroga No. 1 al contrato 134 de 2022 que tiene como objeto " Prestación de servicios de apoyo a la gestión en la ejecución de los planes y programas de servicio al ciudadano a cargo de la Subdirección de Gestión Corporativa-SGC</t>
  </si>
  <si>
    <t>Adición y prórroga No. 1 al contrato 148 de 2022 que tiene como objeto " Prestación de servicios de apoyo a la gestión en la ejecución de los planes y programas de servicio al ciudadano a cargo de la Subdirección de Gestión Corporativa-SGC</t>
  </si>
  <si>
    <t>Adición y prórroga No. 1 al contrato 149 de 2022 que tiene como objeto " Prestación de servicios de apoyo a la gestión en la ejecución de los planes y programas de servicio al ciudadano a cargo de la Subdirección de Gestión Corporativa-SGC</t>
  </si>
  <si>
    <t>Adición y prórroga No. 1 al contrato 150 de 2022 que tiene como objeto " Prestación de servicios de apoyo a la gestión en la ejecución de los planes y programas de servicio al ciudadano a cargo de la Subdirección de Gestión Corporativa-SGC</t>
  </si>
  <si>
    <t>Adición y prórroga No. 1 al contrato 151 de 2022 que tiene como objeto " Prestación de servicios de apoyo a la gestión en la ejecución de los planes y programas de servicio al ciudadano a cargo de la Subdirección de Gestión Corporativa-SGC</t>
  </si>
  <si>
    <t>Adición y prórroga No. 1 al contrato 152 de 2022 que tiene como objeto " Prestación de servicios de apoyo a la gestión en la ejecución de los planes y programas de servicio al ciudadano a cargo de la Subdirección de Gestión Corporativa-SGC</t>
  </si>
  <si>
    <t>Adición y prórroga No. 1 al contrato 164 de 2022 que tiene como objeto " Prestación de servicios de apoyo a la gestión en la ejecución de los planes y programas de servicio al ciudadano a cargo de la Subdirección de Gestión Corporativa-SGC</t>
  </si>
  <si>
    <t>Adición y prórroga No. 1 al contrato 165 de 2022 que tiene como objeto " Prestación de servicios de apoyo a la gestión en la ejecución de los planes y programas de servicio al ciudadano a cargo de la Subdirección de Gestión Corporativa.-SGC</t>
  </si>
  <si>
    <t>Adición y prórroga No. 1 al contrato 166 de 2022 que tiene como objeto "  Prestación de servicios de apoyo a la gestión en la ejecución de los planes y programas de servicio al ciudadano a cargo de la Subdirección de Gestión Corporativa.-SGC</t>
  </si>
  <si>
    <t>Adición y prórroga No. 1 al contrato 167 de 2022 que tiene como objeto " Prestación de servicios de apoyo a la gestión en la ejecución de los planes y programas de servicio al ciudadano a cargo de la Subdirección de Gestión Corporativa-SGC</t>
  </si>
  <si>
    <t>Adición y prórroga No. 1 al contrato 153 de 2022 que tiene como objeto " Prestación de servicios de apoyo a la gestión en la ejecución de los planes y programas de servicio al ciudadano a cargo de la Subdirección de Gestión Corporativa-SGC</t>
  </si>
  <si>
    <t>Adición y prórroga No. 1 al contrato 246 de 2022 que tiene como objeto " Prestación de servicios de apoyo a la gestión en la ejecución de los planes y programas de servicio al ciudadano a cargo de la Subdirección de Gestión Corporativa-SGC</t>
  </si>
  <si>
    <t>Adición y prórroga No. 1 al contrato 305 de 2022 que tiene como objeto " Prestación de servicios de apoyo a la gestión en la ejecución de los planes y programas de servicio al ciudadano a cargo de la Subdirección de Gestión Corporativa-SGC</t>
  </si>
  <si>
    <t>Adición y prórroga No. 1 al contrato 296 de 2022 que tiene como objeto "  Prestación de servicios de apoyo a la gestión en la ejecución de los planes y programas de servicio al ciudadano a cargo de la Subdirección de Gestión Corporativa.-SGC</t>
  </si>
  <si>
    <t>Adición y prórroga No. 1 al contrato 344 de 2022 que tiene como objeto "  Prestación de servicios de apoyo a la gestión en la ejecución de los planes y programas de servicio al ciudadano a cargo de la Subdirección de Gestión Corporativa.-SGC</t>
  </si>
  <si>
    <t>Adición y prórroga No. 1 al contrato 099 de 2022 que tiene como objeto "Prestación de servicios profesionales al Área Financiera de la Subdirección de Gestión Corporativa-SGC</t>
  </si>
  <si>
    <t xml:space="preserve">Adición y prórroga No. 1 al contrato 410 de 2022 que tiene como objeto " Prestar servicios profesionales para desarrollar e implementar sistemas de información  que permitan generar interoperabilidad con los sistemas de información financiera correspondientes a la Subdirección de Gestión Corporativa- SGC </t>
  </si>
  <si>
    <t>Adición y prórroga No. 1 al contrato 547 de 2022 que tiene como objeto "Prestación de servicios profesionales especializados para apoyar las actividades técnicas del Área de Infraestructura de la Subdirección de Gestión Corporativa-SGC</t>
  </si>
  <si>
    <t>Adición y prórroga No. 1 al contrato 195 de 2022 que tiene como objeto "Prestación de servicios profesionales para apoyar las actividades técnicas del Área de Infraestructura de la Subdirección de Gestión Corporativa-SGC</t>
  </si>
  <si>
    <t xml:space="preserve">Adición y prórroga No. 1 al contrato 297 de 2022 que tiene como objeto " Prestación de servicios de apoyo a la gestión, en la Subdirección de Gestión Corporativa en temas de infraestructura para el sostenimiento y mejoramiento de los equipamientos de la Unidad Administrativa Especial Cuerpo Oficial de Bomberos de Bogotá-SGC  </t>
  </si>
  <si>
    <t xml:space="preserve">Adición y prórroga No. 1 al contrato 236 de 2022 que tiene como objeto " Prestación de servicios de apoyo a la gestión, en la Subdirección de Gestión Corporativa en temas de infraestructura –SGC </t>
  </si>
  <si>
    <t>Adición y prórroga No. 1 al contrato 690 de 2021 que tiene como objeto "Interventoría técnica, administrativa, financiera, contable, jurídica yambiental para la Construcción de la ampliación y reforzamientoestructural de la estación de bomberos de Marichuela.-SGC</t>
  </si>
  <si>
    <t xml:space="preserve">Adición y prórroga al contrato No. 474 de 2022, cuyo objeto es "SGH - Prestar servicios de apoyo a los procesos de la Subdirección de Gestión Humana de la UAE Cuerpo Oficial de Bomberos </t>
  </si>
  <si>
    <t>Adición y prórroga al contrato No. 147 de 2022, cuyo objeto es " SGH - Ejecutar actividades de apoyo a la gestión en  la Subdirección de Gestión Humana de la UAE Cuerpo Oficial de Bomberos de Bogotá D.C. en lo relacionado con los procesos de actualización, custodia y manejo del archivo de gestión de la Subdirección. "</t>
  </si>
  <si>
    <t>SGH - Prestar servicios profesionales en lo relacionado con la implementación estratégica de gestión humana.</t>
  </si>
  <si>
    <t>SGH - Prestar servicios profesionales para apoyar el programa de vigilancia epidemiologico al riesgo psicosocial en la Subdirección de Gestión Humana.</t>
  </si>
  <si>
    <t>"Prestación de servicios profesionales para apoyar actividades de gestión contractual y administrativas de la Dirección”</t>
  </si>
  <si>
    <t>ADICION Y PRORROGA CONTRATO 555 "Prestar servicios de apoyo a la gestion en las actividades de monitoreo del riesgo para la Subdirección de Gestión del Riesgo._SGR"</t>
  </si>
  <si>
    <t>ADICION Y PRORROGA CONTRATO 577 "Prestar servicios profesionales en las actividades de Programas y Campañas de Prevención para la Subdirección de Gestión del Riesgo._SGR"</t>
  </si>
  <si>
    <t>Adición y prórroga al Contrato 259 de 2022 cuyo objeto es "Prestar servicios profesionales como Administrador de las Redes LAN y WAN y gestionar su infraestructura en el edificio comando, estaciones, cades y supercades. -TIC-"</t>
  </si>
  <si>
    <t>Adición y prórroga No. 1 al contrato 378 de 2022 que tiene como objeto " Prestación de servicios de apoyo a la gestión en la ejecución de los planes y programas de servicio al ciudadano a cargo de la Subdirección Gestión Corporativa-SGC</t>
  </si>
  <si>
    <t>Adición y prórroga No. 1 al contrato 400 de 2022 que tiene como objeto " Prestación de servicios de apoyo a la gestión en la ejecución de los planes y programas de servicio al ciudadano a cargo de la Subdirección de Gestión Corporativa-SGC</t>
  </si>
  <si>
    <t>Adición y prórroga No. 1 al contrato 401 de 2022 que tiene como objeto " Prestación de servicios de apoyo a la gestión en la ejecución de los planes y programas de servicio al ciudadano a cargo de la Subdirección de Gestión Corporativa-SGC</t>
  </si>
  <si>
    <t>Adición y prórroga No. 1 al contrato 402 de 2022 que tiene como objeto " Prestación de servicios de apoyo a la gestión en la ejecución de los planes y programas de servicio al ciudadano a cargo de la Subdirección de Gestión Corporativa-SGC</t>
  </si>
  <si>
    <t>Adición y prórroga No. 1 al contrato 403 de 2022 que tiene como objeto " Prestación de servicios de apoyo a la gestión en la ejecución de los planes y programas de servicio al ciudadano a cargo de la Subdirección de Gestión Corporativa-SGC</t>
  </si>
  <si>
    <t>Versión No. 4</t>
  </si>
  <si>
    <t>Fecha de Modificación   08/02/2022</t>
  </si>
  <si>
    <t>Duración estimada del contrato (meses)</t>
  </si>
  <si>
    <t>Meta Producto</t>
  </si>
  <si>
    <t>Fecha de Modificación</t>
  </si>
  <si>
    <t>VALOR RP</t>
  </si>
  <si>
    <t>Enero</t>
  </si>
  <si>
    <t xml:space="preserve"> CCE-16_Contratación directa - Sin Oferta </t>
  </si>
  <si>
    <t>Implementar al 100% una estrategia de fortalecimiento de los sistemas de información para optimizar la gestión del Cuerpo Oficial de Bomberos</t>
  </si>
  <si>
    <t>11 meses</t>
  </si>
  <si>
    <t>43000000, 43230000, 43232400.43232408, 43230000,43232400, 43232402, 43232400, 43232404</t>
  </si>
  <si>
    <t>Contratar el desarrollo de los sistemas de información que sean solicitados por las dependencias de la UAECOB - TIC</t>
  </si>
  <si>
    <t>Marzo</t>
  </si>
  <si>
    <t>Mayo</t>
  </si>
  <si>
    <t>CCE-06_Selección abreviada menor cuantía</t>
  </si>
  <si>
    <t>43231512, 81112501</t>
  </si>
  <si>
    <t>Febrero</t>
  </si>
  <si>
    <t>CCE-10_Acuerdo Marco</t>
  </si>
  <si>
    <t>72101511;72151605;72151500</t>
  </si>
  <si>
    <t>Contratar el Mantenimiento de UPS, cableado estructurado y aires acondicionados en la UAECOB. - TIC</t>
  </si>
  <si>
    <t>Junio</t>
  </si>
  <si>
    <t>Julio</t>
  </si>
  <si>
    <t>81112204
81112501</t>
  </si>
  <si>
    <t>CCE-10_Mínima cuantía</t>
  </si>
  <si>
    <t>43233000;
81112200</t>
  </si>
  <si>
    <t>Septiembre</t>
  </si>
  <si>
    <t>CCE-05_Contratación directa</t>
  </si>
  <si>
    <t>Contratar  y adquirir el servicio de custodia de cintas de backup, análisis de vulnerabilidades y la renovación de la membresia en LACNIC para mantener la disponibilidad del bloque de direcciones IPV6 para la UAECOB - TIC</t>
  </si>
  <si>
    <t>43000000, 43220000, 43222500, 43230000, 43233200</t>
  </si>
  <si>
    <t>CCE-07_Selección abreviada subasta inversa</t>
  </si>
  <si>
    <t>Contratar la renovación del soporte técnico, derecho a mejoras, actualizaciones, configuraciones y mantenimiento de la herramienta Pandora FMS Enterprise para 600 agentes de monitoreo para la UAECOB de acuerdo con el anexo técnico del proceso. - TIC</t>
  </si>
  <si>
    <t>Noviembre</t>
  </si>
  <si>
    <t xml:space="preserve">72151607;
72103302 </t>
  </si>
  <si>
    <t>Contratar el servicio de mantenimiento correctivo de los equipos y la infraestructura de Radiocomunicaciones existentes en la UAECOB. - TIC</t>
  </si>
  <si>
    <t>Renovación del licenciamiento Veam Backup - TIC</t>
  </si>
  <si>
    <t xml:space="preserve">Julio </t>
  </si>
  <si>
    <t>Agosto</t>
  </si>
  <si>
    <t>Contratar la prestación del servicio de monitoreo, control y seguimiento satelital a los vehículos de propiedad de la UAECOB - TIC</t>
  </si>
  <si>
    <t>81112200
81112201</t>
  </si>
  <si>
    <t xml:space="preserve">81112001;
81112002; 
25173107; </t>
  </si>
  <si>
    <t>Contratar la renovavión del soporte y garantia de los equipos Avaya propiedad de la UAECOB - TIC</t>
  </si>
  <si>
    <t>Contratar la adquisición de los elementos de seguridad Electronica para la UAECOB fase II. - TIC</t>
  </si>
  <si>
    <t>Contratar la actualización tecnológica de los equipos activos y accesorios en la UAECOB. - TIC</t>
  </si>
  <si>
    <t>43201500
43211500
43232300</t>
  </si>
  <si>
    <t>Contratar una solución de procesamiento de información para la UAECOB - TIC</t>
  </si>
  <si>
    <t>15 dias y 11 meses</t>
  </si>
  <si>
    <t>CCE-16_Contratación directa - Sin Oferta</t>
  </si>
  <si>
    <t>Gestionar el 100% de un (1) plan de adecuación y sostenibilidad de los sistemas de gestión de la Unidad Administrativa Especial Cuerpo Oficial de Bomberos</t>
  </si>
  <si>
    <t>6 meses</t>
  </si>
  <si>
    <t>7 meses</t>
  </si>
  <si>
    <t>Prestación de servicios de apoyo a la gestión en la Subdirección de Gestión Corporativa, en el almacén de la Entidad.-SGC</t>
  </si>
  <si>
    <t>55121700;
47121700;
76122300;</t>
  </si>
  <si>
    <t>Suministro de contenedores para garantizar la segregación de residuos aprovechables y no aprovechables en la fuente así como la señalización alusiva a los programas del PIGA-SGC</t>
  </si>
  <si>
    <t>4 meses</t>
  </si>
  <si>
    <t>10 meses</t>
  </si>
  <si>
    <t>Prestar el servicio de recolección, transporte, almacenamiento, tratamiento y disposición final de residuos de elementos de uso institucional utilizados por el personal operativo de la de la UAECOB de Bogotá.-SGC</t>
  </si>
  <si>
    <t>12 meses</t>
  </si>
  <si>
    <t>77101600;
77101700</t>
  </si>
  <si>
    <t>Prestar los servicios para adelantar los Trámites ambientales que requiera la Unidad Administrativa Especial cuerpo oficial de Bomberos de Bogota -SGC</t>
  </si>
  <si>
    <t xml:space="preserve">Resolución </t>
  </si>
  <si>
    <t>Prestación de Servicios Profesionales para acompañar el mejoramiento de los procesos de presupuestales y financieros a cargo de la Subdirección de Gestión Corporativa -SGC.</t>
  </si>
  <si>
    <t xml:space="preserve">PAGO PASIVOS EXIGIBLES Y ADICIONES CONTEMPLADAS EN EL MARCO DE GARANTIZAR LA CONTINUIDAD DE LAS ACTIVIDADES A CARGO DE LA  SUBDIRECCIÓN DE GESTIÓN CORPORATIVA </t>
  </si>
  <si>
    <t>8 meses</t>
  </si>
  <si>
    <t>5 meses</t>
  </si>
  <si>
    <t>Contratación directa</t>
  </si>
  <si>
    <t xml:space="preserve">Prestar servicios profesionales para apoyar a la UAECOB en el seguimiento de la construcción de la estrategia de preparativos para la entidad </t>
  </si>
  <si>
    <t>5 meses 15 días</t>
  </si>
  <si>
    <t>Oficina Asesora Jurídica</t>
  </si>
  <si>
    <t>11,5 meses</t>
  </si>
  <si>
    <t>9,3 meses</t>
  </si>
  <si>
    <t>3,5 meses</t>
  </si>
  <si>
    <t>11 meses y 15 días</t>
  </si>
  <si>
    <t>10 meses y 15 días</t>
  </si>
  <si>
    <t>9 meses y 15 días</t>
  </si>
  <si>
    <t>PASIVOS EXIGIBLES -OAP-</t>
  </si>
  <si>
    <t>11 MESES</t>
  </si>
  <si>
    <t>Prestación de servicios profesionales en la Dirección General de la UAECOB para brindar apoyo en la revisión y seguimiento de los derechos de petición y demás documentación requerida.</t>
  </si>
  <si>
    <t>Comunicaciones y Prensa</t>
  </si>
  <si>
    <t>Implementar al 100% un programa de formación, modernización y sostenibilidad de la Unidad Administrativa Especial Cuerpo Oficial de Bomberos - UAECOB, para la respuesta efectiva en la atención de emergencias y desastres.</t>
  </si>
  <si>
    <t>11 Meses</t>
  </si>
  <si>
    <t>CCE-99_Seléccion abreviada - acuerdo marco</t>
  </si>
  <si>
    <t>Prestar los servicios profesionales especializados  relacionados con los asuntos jurídicos de la contratación y demás trámites administrativs del areá de infraestrutura de la Subdireccion de Gestion Corporativa-SGC</t>
  </si>
  <si>
    <t>Prestar servicios profesionales con el fin de atender los trámites ambientales  y los demás que requiera el área de infraestructura de la Subdirección de Gestión Corporativa . SGC</t>
  </si>
  <si>
    <t>Prestar servicios profesionales en la Subdirección de Gestión Corporativa en el marco de los programas de la Dependencia.-SGC</t>
  </si>
  <si>
    <t>Prestar los servicios profesionales en temas de sostenibilidad, desarrollo social  económico de los diferentes procesos y procedimientos de la UAECOB -SGC.</t>
  </si>
  <si>
    <t>72151800;
73152100;</t>
  </si>
  <si>
    <t>Mantenimiento preventivo y correctivo, que incluye el suministro de insumos y repuestos de las lavadoras y secadoras industriales ubicadas en las estaciones de bomberos de la UAE Cuerpo Oficial de Bomberos de Bogotá-SGC</t>
  </si>
  <si>
    <t>O232020200887151_Servicios de mantenimiento y reparación de electrodomésticos</t>
  </si>
  <si>
    <t>Mantenimiento preventivo y correctivo de los equipos gasodomésticos y solares, adecuación de las redes de gas natural y repuestos para las Estaciones de Bomberos de UAE Cuerpo Oficial de Bomberos SGC</t>
  </si>
  <si>
    <t>39120000;
72151800</t>
  </si>
  <si>
    <t>72151800;</t>
  </si>
  <si>
    <t>Realizar el mantenimiento preventivo, correctivo y suministro de repuestos para los equipos de gimnasio instalados en las diferentes estaciones de la UAE Cuerpo Oficiales de Bomberos.-SGC</t>
  </si>
  <si>
    <t>72154100;
72154103;
72154109;</t>
  </si>
  <si>
    <t>Prestar los servicios de mantenimiento preventivo y correctivo del los equipos hidroneumativos, redes y insumos de químicos de limpieza para la piscina construida en la Estación de Bomberos de Kennedy "Alejandro Lince" B5, como escenario para el acondicionamiento físico y entrenamiento del personal del Cuerpo Oficial de Bomberos de Bogotá para el cumplimiento de su misionalidad"-SGC</t>
  </si>
  <si>
    <t>Elaboración de estudios y diseños técnicos para la construcción de la estación de bomberos de Caobos Salazar B-13 y Puente Aranda B-4 de la UAE Cuerpo Oficial de Bomberos de Bogotá – SGC</t>
  </si>
  <si>
    <t>CCE-04_Concurso de méritos abierto</t>
  </si>
  <si>
    <t>O2320202005040554590-Otros servicios especializados de la
construcción</t>
  </si>
  <si>
    <t>Reforzar, Adecuar y Ampliar  6 estaciones de Bomberos</t>
  </si>
  <si>
    <t>Interventoría técnica, administrativa, financiera, contable, jurídica y ambiental para la elaboración de estudios y diseños técnicos para la construcción de la estación de Bomberos de Caobos Salazar B-13 y Puente Aranda B-4 de la UAE Cuerpo Oficial de Bomberos de Bogotá – SGC</t>
  </si>
  <si>
    <t>Elaboración de estudios y diseños técnicos para la construcción de la estación de bomberos de Ferias B-7 de la UAE UAE Cuerpo Oficial de Bomberos de Bogotá – SGC</t>
  </si>
  <si>
    <t>Interventoría técnica, administrativa, financiera, contable, jurídica y ambiental para la elaboración de estudios y diseños técnicos para la construcción de la estación de bomberos de Ferias B-7 de la UAE Cuerpo Oficial de Bomberos de Bogotá – SGC</t>
  </si>
  <si>
    <t>23131500;
27111800;</t>
  </si>
  <si>
    <t>Suministro de materiales, equipos y herramientas para el mejoramiento integral de las instalaciones de la UAE CUERPO OFICIAL DE BOMBEROS DE BOGOTÁ.-SGC</t>
  </si>
  <si>
    <t>O23201010030807 -Otros equipos</t>
  </si>
  <si>
    <t xml:space="preserve">Realizar el mantenimiento predictivo, preventivo, correctivo, y dotación a las instalaciones de las dependencias de la Unidad Administrativa Especial Cuerpo Oficial de Bomberos De Bogotá D.C. - SGC </t>
  </si>
  <si>
    <t>CCE-02_Licitación pública</t>
  </si>
  <si>
    <t>56101500;
561119;</t>
  </si>
  <si>
    <t>Suministro e instalación de módulos habitacionales, zonas de transición y lokers, para el proyecto piloto denominado dignidad en las estaciones de bomberos de la ciudad de Bogotá-SGC</t>
  </si>
  <si>
    <t>9 meses</t>
  </si>
  <si>
    <t>Selección Abreviada por Subasta Inversa.</t>
  </si>
  <si>
    <t>Adquisición de mobiliario para la estación Marichuela -SGC</t>
  </si>
  <si>
    <t xml:space="preserve">Pago de pasivos exigibles a cargo de  la Subdirección de Gestión Corporativa </t>
  </si>
  <si>
    <t>O232020200885250_Servicios de protección (guardas de seguridad)</t>
  </si>
  <si>
    <t>1 MES</t>
  </si>
  <si>
    <t>72141100;</t>
  </si>
  <si>
    <t>Inspección y verificación de las redes de Acueducto, Alcantarillado y domiciliarias de la estación de bomberos Bicentenario B-14 de la UAECOB -SGC</t>
  </si>
  <si>
    <t>Realizar la interventoría técnica, administrativa, legal, financiera, contable, seguridad y salud en el trabajo, social y ambiental para el contrato de consultoría que tiene por objeto “ inspección y verificación de las redes de Acueducto, Alcantarillado y domiciliarias de la estación de bomberos Bicentenario B-14 de la UAECOB –SGC</t>
  </si>
  <si>
    <t>Realizar la adecuacion y mejoramiento de las instalaciones de las estaciones de bomberos de suba B-12 y Central B2 de la UAECOB</t>
  </si>
  <si>
    <t xml:space="preserve">Realizar la interventoría técnica, administrativa, legal, financiera, contable, seguridad y salud en el trabajo, social y ambiental para el contrato de contrato de adecuacion y mejoramiento de las instalaciones de bomberos de suba B-12 y central B-2  </t>
  </si>
  <si>
    <t xml:space="preserve">6 meses </t>
  </si>
  <si>
    <t>Contratar el servicio tecnico especializado para adelantar los tramites administrativos para la gestion predial de tres (3)  nuevos espacios requeridos por la UAECOB-SGC</t>
  </si>
  <si>
    <t>Poner en funcionamiento tres (3) nuevos espacios para la gestión integral de riesgos, incendios, incidentes con materiales peligrosos y rescates en todas sus modalidades.</t>
  </si>
  <si>
    <t>Implementar 100% del programa de capacitación, formación y entrenamiento al personal uniformado de la Unidad Administrativa Cuerpo Oficial de Bomberos de Bogotá</t>
  </si>
  <si>
    <t>Implementar al 100% un (1) programa de capacitación, formación y entrenamiento al personal en el marco de la Academia Bomberil de Bogotá</t>
  </si>
  <si>
    <t>CCE-07-Selección abreviada subasta inversa</t>
  </si>
  <si>
    <t>SGH - prestar los servicios de capacitación y entrenamiento en cursos especializados, entrenamiento misional, capacitación en el puesto de trabajo y apoyo logístico correspondiente; al personal operativo de la Unidad Administrativa Especial Cuerpo Oficial de Bomberos en el marco del plan institucional de capacitación 2022</t>
  </si>
  <si>
    <t>SGH - Sistema de simulación de entrenamiento en manejo de desastres.</t>
  </si>
  <si>
    <t>06 meses</t>
  </si>
  <si>
    <t>25000000; 25110000; 
25111500; 25111502; 
25000000; 25110000; 
25111600; 25111603; 
25000000; 25110000; 
25111700; 25111720; 
25000000; 25180000; 
25181700; 25181713; 
31000000; 31160000; 
31162000; 31162013; 
41000000; 41110000; 41115500; 41115501; 
46161700; 46190000; 46181500; 46181600; 48181700;
46181800; 46181900; 46182000; 46182100; 46182200;
46182300; 46182400; 46182500; 
70000000; 70100000; 70101500; 70101505;
71000000; 71160000; 
71161400; 71161414; 
73000000; 73160000; 
73161600; 73161601; 
92000000; 92120000; 
92121900; 92121901; 
95000000; 95120000; 
95121700; 95121708;</t>
  </si>
  <si>
    <t>Abril</t>
  </si>
  <si>
    <t xml:space="preserve">46000000; 46161700; 46190000; 46180000; 46181500; 46181600; 48181700;
46181800; 46181900; 46182000; 46182100; 46182200;
46182300; 46182400; 46182500; 46182501
</t>
  </si>
  <si>
    <t>Adquisición de semovientes caninos para el grupo B.R.A.E. de la Subdirección Operativa</t>
  </si>
  <si>
    <t>3 meses</t>
  </si>
  <si>
    <t>81141800 
80101600 
80101500 
43233501</t>
  </si>
  <si>
    <t>Prestación de servicios para la ejecución de visitas de seguridad humana y protección contra incendio,  en edificaciones y establecimientos de comercio, con el fin de optimizar la prestación del servicio misional_SGR</t>
  </si>
  <si>
    <t>ENERO</t>
  </si>
  <si>
    <t>MARZO</t>
  </si>
  <si>
    <t>CCE-02-Licitación pública</t>
  </si>
  <si>
    <t>Implementar al 100% un (1) programa de conocimiento y reducción en la gestión de  riesgo de incendios, incidentes con materiales peligrosos y escenarios de riesgos.</t>
  </si>
  <si>
    <t>Prestar servicios de apoyo a la gestión de actividades relacionadas con Pólvora y Pirotecnia para la Subdirección de Gestión del Riesgo_SGR</t>
  </si>
  <si>
    <t>40101700
45121500
43211700
25131700</t>
  </si>
  <si>
    <t>Contratar el sistema de detección temprana de incendios forestales mediante equipos tecnológicos para las zonas de cobertura vegetal del distrito capital_FASE 1_SGR</t>
  </si>
  <si>
    <t>FEBRERO</t>
  </si>
  <si>
    <t>ABRIL</t>
  </si>
  <si>
    <t>11161700 
49221500 
53101600 
53101800 
53102500 
53102700 
53103000 
53103100 
53121600 
73151500 
73141700</t>
  </si>
  <si>
    <t>Adquisición de elementos de identificación institucional, para las actividades desarrolladlas en el marco del procedimientos Sensibilización y Educación en prevención de Incendios, emergencias conexas, actividades, campañas y programas desarrollados por la Unidad Administrativa Especial Cuerpo oficial de Bombero de Bogota - UAECOB.</t>
  </si>
  <si>
    <t>81141601
78121600
72141500
78111808
86101810
86101700
86111600
90111600
92111600
93141500
93141701</t>
  </si>
  <si>
    <t>CCE-06-Selección abreviada menor cuantía</t>
  </si>
  <si>
    <t>43211900
43232400
43232200
43211700
43232100
43211500</t>
  </si>
  <si>
    <t>Contratar el Diseño de Escenarios en Realidad Virtual para el Desarrollo de Capacitaciones dirigidas a las Brigadas de Emergencia_SGR</t>
  </si>
  <si>
    <t>JUNIO</t>
  </si>
  <si>
    <t>25101700
25201905
25101908</t>
  </si>
  <si>
    <t>Adquirir  vehículos utilitarios y remolques para cubrir la necesidad Misional de la UAECOB en la prestación de los servicios relacionados en la atención de emergencias, logística y procesos de gestión del riesgo dirigido a la Comunidad del distrito Capital_SGR</t>
  </si>
  <si>
    <t>AGOSTO</t>
  </si>
  <si>
    <t>Anuar esfuerzos  para el desarrollo del ejercicio distrital del Simulacro  de búsqueda y rescate urbano (SIBRU)_SGR</t>
  </si>
  <si>
    <t>MAYO</t>
  </si>
  <si>
    <t>JULIO</t>
  </si>
  <si>
    <t>42301502; 46201001; 56131504</t>
  </si>
  <si>
    <t>Fortalecimiento para el desarrollo de las acciones misionales de la UAECOB a traves de la adquisicion del Maniqui BRAE_SGR</t>
  </si>
  <si>
    <t xml:space="preserve">76120000; 7613000027/12/2021 76121502; 76121902; </t>
  </si>
  <si>
    <t>Prestacion de servicio para la recoleccion de residuos huerfanos para la Subdireccion de Gestion del Riesgo_SGR</t>
  </si>
  <si>
    <t>82121500; 82121700; 82121800; 82121600; 82121503; 82121504; 82121505; 82121506; 82121507; 82121508</t>
  </si>
  <si>
    <t>Prestar el servicion de impresión para la Subdireccion de Gestion del Riesgo_SGR</t>
  </si>
  <si>
    <t>80111504; 86101600; 86101700; 80101800; 86132000</t>
  </si>
  <si>
    <t>Fortalecimiento de inspecciones de riesgo alto a traves de fromacion especializada</t>
  </si>
  <si>
    <t>Desarrollo de campus virtual</t>
  </si>
  <si>
    <t>Fortalecimiento para el desarrollo  del plan de cotinuidad del negocio  a traves de formacion especializada</t>
  </si>
  <si>
    <t>CCE-16-Contratación directa</t>
  </si>
  <si>
    <t>Mínima cuantía</t>
  </si>
  <si>
    <t>Implementar 100% de un programa de suministros y consumibles para la atención de emergencias en la UAECOB</t>
  </si>
  <si>
    <t>O2320201003083899997_Artículos n.c.p. para protección</t>
  </si>
  <si>
    <t>Suministrar elementos de protección personal y desinfección para evitar el contagio y propagación del coronavirus COVID-19.</t>
  </si>
  <si>
    <t>1 mes</t>
  </si>
  <si>
    <t>Orden De Compra</t>
  </si>
  <si>
    <t>1 año</t>
  </si>
  <si>
    <t>2 meses</t>
  </si>
  <si>
    <t>O2320201003053543003_Aditivos para gasolina, aceites minerales y combustible en general</t>
  </si>
  <si>
    <t>40151600 - 40151800</t>
  </si>
  <si>
    <t>Prestar el servicio de mantenimiento preventivo y correctivo, incluyendo el suministro de repuestos, insumos y mano de obra especializada para los compresores bauer, propiedad de la Unidad Administrativa Especial Cuerpo Oficial de Bomberos de Bogotá D.C. (UAECOB).</t>
  </si>
  <si>
    <t>Contratación Directa</t>
  </si>
  <si>
    <t>Adquisición, mantenimiento y recarga de los extintores de la UAECOB y de agentes químicos extintores para las máquinas de bomberos</t>
  </si>
  <si>
    <t>Selección abreviada por bolsa de productos</t>
  </si>
  <si>
    <t>O232020200664116_Servicios de alquiler de automóviles con conductor</t>
  </si>
  <si>
    <t>25101600; 25101610;  25101700;  25101701; 25101900;  25101905;  25101908;  25101911;  25101912;  25180000;  25181600;  25181602; 25181700; 25181701</t>
  </si>
  <si>
    <t>Adquirir vehículos utilitarios y remolques para cubrir la necesidad Misional de la UAECOB en la prestación de los servicios relacionados en la atención de emergencias, logística y procesos de gestión del riesgo.</t>
  </si>
  <si>
    <t>Prestación de servicios de apoyo a la gestión para realizar el seguimiento y control de las bases de datos,  hojas de vida del parque automotor con el cual cuenta la Subdirección Logística - SBLG</t>
  </si>
  <si>
    <t>3 MESES</t>
  </si>
  <si>
    <t>6 MESES</t>
  </si>
  <si>
    <t>7 MESES</t>
  </si>
  <si>
    <t>CONTRATACION_DIRECTA</t>
  </si>
  <si>
    <t>3 MESES 21 DÍAS</t>
  </si>
  <si>
    <t>12 MESES</t>
  </si>
  <si>
    <t>LICITACION</t>
  </si>
  <si>
    <t>11 MESES 15 DIAS</t>
  </si>
  <si>
    <t>8 MESES</t>
  </si>
  <si>
    <t>SGC-Adición y prórroga al contrato No. 738 de 2020 con objeto" Mantenimiento ascensor nueva Estación de Bomberos de Fontibón"</t>
  </si>
  <si>
    <t>5 MESES</t>
  </si>
  <si>
    <t>9 MESES</t>
  </si>
  <si>
    <t>SELECCION_ABREVIADA</t>
  </si>
  <si>
    <t>10 MESES</t>
  </si>
  <si>
    <t>8 Meses</t>
  </si>
  <si>
    <t>CONTRATACION_MINIMA_CUANTIA</t>
  </si>
  <si>
    <t>53102700;
53111601; 
3111602;</t>
  </si>
  <si>
    <t>Adquisición de uniformes</t>
  </si>
  <si>
    <t>86111600; 
86101700</t>
  </si>
  <si>
    <t>Generar el programa de capacitación para personal administrativo enfocado
en la gestión del cambio, fortalecimiento de la integración del funcionario a la cultura institucional, el cambio de cultura institucional y en el mejoramiento del clima organizacional, llevando a cabo actividades que promuevan la integración, el conocimiento, la conciencia y la formación del ser, suministrarle información necesaria para el mejor conocimiento de la función pública y de la entidad, estimulando el aprendizaje y el desarrollo individual y organizacional, en un contexto metodológico flexible, integral, práctico y participativo mediante la contratacion de productos o servicios que aporten a las actividades generadas.</t>
  </si>
  <si>
    <t>OCTUBRE</t>
  </si>
  <si>
    <t>CONCURSO_MERITOS</t>
  </si>
  <si>
    <t>Contratar la adquisicion de los certificados digitales de seguridad ssl para los sistemas de información de la unidad administrativa especial cuerpo oficial bomberos de bogotá.</t>
  </si>
  <si>
    <t>2 MESES</t>
  </si>
  <si>
    <t xml:space="preserve">Minima Cuantia </t>
  </si>
  <si>
    <t>3,5 MESES</t>
  </si>
  <si>
    <t>Prestar los servicios de mantenimiento, soporte técnico, mejoras y actualizaciones del aplicativo PCT utilizado por la Unidad.</t>
  </si>
  <si>
    <t>Actualización de las suscripciones de Suite Adobe</t>
  </si>
  <si>
    <t>Mantenimiento preventivo y correctivo con suministro de repuestos y soporte en sitio para la infraestructura tecnológica de la UAE Cuerpo Oficial de Bomberos, ubicada en las estaciones de Bomberos,  sus sedes administrativas y sus puntos de atención ciudadana en los SUPERCADES de Bogotá, D.C</t>
  </si>
  <si>
    <t>5,5 MESES</t>
  </si>
  <si>
    <t>8,5 MESES</t>
  </si>
  <si>
    <t>15 días</t>
  </si>
  <si>
    <t>11 meses 15 días</t>
  </si>
  <si>
    <t xml:space="preserve">17 MESES </t>
  </si>
  <si>
    <t>Concurso de méritos.</t>
  </si>
  <si>
    <t xml:space="preserve">12 meses </t>
  </si>
  <si>
    <t>2 MESES Y 10 DIAS</t>
  </si>
  <si>
    <t>Versión No. 5</t>
  </si>
  <si>
    <r>
      <t xml:space="preserve">Fecha de Modificación  </t>
    </r>
    <r>
      <rPr>
        <b/>
        <sz val="12"/>
        <rFont val="Tahoma"/>
        <family val="2"/>
      </rPr>
      <t xml:space="preserve"> 01/03/2022</t>
    </r>
  </si>
  <si>
    <t>Descripción - Objeto</t>
  </si>
  <si>
    <t>Fecha estimada de inicio de proceso de selección (Día-Mes-Año)</t>
  </si>
  <si>
    <t>Fecha estimada de presentación de ofertas (Día-Mes-Año)</t>
  </si>
  <si>
    <t>Duración estimada del contrato (intervalo: días, meses, años)</t>
  </si>
  <si>
    <t>Contratar el Mantenimiento de cableado estructurado en la UAECOB.</t>
  </si>
  <si>
    <t>O232020200663393</t>
  </si>
  <si>
    <t>O23201010030807</t>
  </si>
  <si>
    <t>O23202020088715999</t>
  </si>
  <si>
    <t>O2320201002032331101</t>
  </si>
  <si>
    <t>86000000, 86100000, 86101700, 86101705</t>
  </si>
  <si>
    <t>72154101 - 72154106</t>
  </si>
  <si>
    <t/>
  </si>
  <si>
    <t>Descripción</t>
  </si>
  <si>
    <t>Fecha estimada de inicio de proceso de selección (mes)</t>
  </si>
  <si>
    <t>Fecha estimada de presentación de ofertas (mes)</t>
  </si>
  <si>
    <t>Duración del contrato (número)</t>
  </si>
  <si>
    <t>Duración del contrato (intervalo: días, meses, años)</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</si>
  <si>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</si>
  <si>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</si>
  <si>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</si>
  <si>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</si>
  <si>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</si>
  <si>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</si>
  <si>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</si>
  <si>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</si>
  <si>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80161500</t>
  </si>
  <si>
    <t>SA-OPS-193 Prestar servicios de apoyo a la gestión en la Subdirección de Aprovechamiento para ejecutar las acciones encaminadas a la implementación de la Estrategia de cultura ciudadana "La basura no es basura" en los diferentes territorios de Bogotá, en articulación con el desarrollo de acciones afirmativas a la población recicladora de oficio, en el marco de la gestión de residuos sólidos.</t>
  </si>
  <si>
    <t>8</t>
  </si>
  <si>
    <t>Meses</t>
  </si>
  <si>
    <t>Contratación directa.</t>
  </si>
  <si>
    <t xml:space="preserve">Recursos propios </t>
  </si>
  <si>
    <t>No</t>
  </si>
  <si>
    <t>SUBDIRECCIÓN DE APROVECHAMIENTO</t>
  </si>
  <si>
    <t>3580400</t>
  </si>
  <si>
    <t>alvaro.parra@uaesp.gov.co</t>
  </si>
  <si>
    <t>SA-OPS-194 Prestar los servicios de apoyo profesional a la Subdirección de Aprovechamiento de la Unidad Administrativa Especial de Servicios Públicos - UAESP-, para Realizar acompañamiento en la implementación de acciones afirmativas a la población recicladora de oficio, implementación de actividades de cultura ciudadana en el marco de la gestión de residuos sólidos e interlocución con los diferentes actores locales.</t>
  </si>
  <si>
    <t>27112000</t>
  </si>
  <si>
    <t>SDF91 - Adquisición de equipos y herramientas para el mantenimiento, cuidado y preservación de predios adquiridos por la UAESP para la protección y conservación ambiental ubicados en el área de influencia directa de los predios Doña Juana.</t>
  </si>
  <si>
    <t>6</t>
  </si>
  <si>
    <t>Seléccion abreviada - acuerdo marco</t>
  </si>
  <si>
    <t>fredy.aldana@uaesp.gov.co</t>
  </si>
  <si>
    <t>RBL-0076 Prestar los servicios operativos a la Subdirección de Recolección, Barrido y Limpieza, para el fortalecimiento de la gestión social en la divulgación y promoción de las acciones necesarias para el manejo adecuado de los residuos sólidos en las localidades del Distrito Capital.</t>
  </si>
  <si>
    <t>9</t>
  </si>
  <si>
    <t>SUBDIRECCIÓN DE RECOLECCIÓN, BARRIDO Y LIMPIEZA</t>
  </si>
  <si>
    <t>hermes.forero@uaesp.gov.co</t>
  </si>
  <si>
    <t>RBL-0077 Prestar los servicios operativos a la Subdirección de Recolección, Barrido y Limpieza, para el fortalecimiento de la gestión social en la divulgación y promoción de las acciones necesarias para el manejo adecuado de los residuos sólidos en las localidades del Distrito Capital.</t>
  </si>
  <si>
    <t>80131500</t>
  </si>
  <si>
    <t>SA-OPS-001 Arrendamiento del inmueble ubicado en la dirección Carrera 21 No. 164 – 82 de la Localidad de Usaquén de la ciudad de Bogotá D.C., para llevar a cabo actividades de separación, pesaje y/o transformación de material potencialmente aprovechable recolectado y transportado por recicladores de oficio.</t>
  </si>
  <si>
    <t>12</t>
  </si>
  <si>
    <t>SA-OPS-002 Arrendamiento del inmueble ubicado en la dirección Calle 80 C No. 92 - 44 de la Localidad de Engativá de la ciudad de Bogotá D.C, para llevar a cabo actividades de separación, pesaje y/o transformación de material potencialmente aprovechable recolectado y transportado por recicladores de oficio</t>
  </si>
  <si>
    <t>SA-OPS-178 Arrendamiento del inmueble ubicado en la dirección avenida carrera 86 (avenida ciudad de Cali) N.º 5 a-92 sur, para llevar a cabo actividades de separación, pesaje y/o transformación de material potencialmente aprovechable recolectado y transportado por recicladores de oficio.</t>
  </si>
  <si>
    <t>SA-OPS-004 Arrendamiento del inmueble ubicado en la dirección Carrera 18 # 164 – 32 de la Localidad de Usaquén toberin II de la ciudad de Bogotá, para llevar a cabo actividades de separación, pesaje y/o transformación de material potencialmente aprovechable recolectado y transportado por recicladores de oficio.</t>
  </si>
  <si>
    <t>SA-OPS-003 Arrendamiento del inmueble ubicado en la dirección Calle 8 N.º 26-80 de la Localidad de los Mártires de la ciudad de Bogotá D.C., para llevar a cabo actividades de separación, pesaje y/o transformación de material potencialmente aprovechable recolectado y transportado por recicladores de oficio.</t>
  </si>
  <si>
    <t>SA-OPS-195 Arrendamiento de un inmueble ubicado en la Localidad de los Mártires de la ciudad de Bogotá D.C., para llevar a cabo actividades de separación, pesaje y/o transformación de material potencialmente aprovechable recolectado y transportado por recicladores de oficio y carreteros</t>
  </si>
  <si>
    <t>SA-OPS-196 Arrendamiento de un inmueble ubicado en la ciudad de Bogotá D.C., para llevar a cabo actividades de separación, pesaje y/o transformación de material potencialmente aprovechable recolectado y transportado por recicladores de oficio y carreteros.</t>
  </si>
  <si>
    <t>SA-OPS-197 Arrendamiento de un inmueble ubicado en la ciudad de Bogotá D.C., para llevar a cabo actividades de separación, pesaje y/o transformación de material potencialmente aprovechable recolectado y transportado por recicladores de oficio y carreteros.</t>
  </si>
  <si>
    <t>DG-005. Prestar los servicios profesionales de acompañamiento y apoyo a los temas relacionados a la participación ciudadana y coordinación de los equipos de gestión social de las Subdirecciones Misionales de la Unidad Administrativa Especial de Servicios Públicos – UAESP</t>
  </si>
  <si>
    <t xml:space="preserve">SUBDIRECCION DE ASUNTOS LEGALES </t>
  </si>
  <si>
    <t>carlos.quintana@uaesp.gov.co</t>
  </si>
  <si>
    <t>DG-006. Prestar los servicios profesionales jurídicos especializados a la Unidad Administrativa Especial de Servicios Públicos desde el punto de vista jurídico, apoyando la gestión de los temas contractuales en la Dirección General y en la Subdirección de Asuntos Legales, con el fin de revisar los modelos jurídicos de concesiones o contratos de explotación actuales o estructuración de esquemas a contratar, desde el punto de vista del derecho administrativo, de servicios públicos y de contratación estatal.</t>
  </si>
  <si>
    <t>Prestar los servicios profesionales a la Subdirección de Aprovechamiento de la Unidad Administrativa Especial de Servicios Públicos -UAESP, para implementar procesos de fortalecimiento a las organizaciones de recicladores de oficio, el desarrollo de actividades de separación de residuos en la fuente, divulgación de la normatividad, políticas y lineamientos distritales en laPrestación del servicio público de aseo en las localidades de Bogotá y sus zonas rurales, en el marco de la formalización, acciones afirmativas, decreto 596 de 2016 y las sentencias de la honorable corte constitucional.</t>
  </si>
  <si>
    <t>10</t>
  </si>
  <si>
    <t>SUBDIRECCION DE APROVECHAMIENTO</t>
  </si>
  <si>
    <t>Prestar los servicios profesionales a la Subdirección de Aprovechamiento de la Unidad Administrativa Especial de Servicios Públicos UAESP, para implementar procesos de fortalecimiento a las organizaciones de recicladores de oficio, el desarrollo de actividades de separación de residuos en la fuente, divulgación de la normatividad, políticas y lineamientos distritales en laPrestación del servicio público de aseo en las localidades de Bogotá y sus zonas rurales, en el marco de la formalización, acciones afirmativas, decreto 596 de 2016 y las sentencias de la honorable corte constitucional.</t>
  </si>
  <si>
    <t>Prestar servicios profesionales a la Subdirección de Aprovechamiento de la Unidad Administrativa Especial de Servicios Públicos – UAESP, apoyando la construcción y el proceso de formulación de iniciativas de emprendimiento en el marco del reciclaje y de la economía circular en el componente de RCD proveniente de pequeños generadores en el Distrito Capital incluido su aprovechamiento y separación in situ de los puntos críticos y/o de arrojo clandestino en la ciudad de Bogotá, asignados por la UAESP a organizaciones de recicladores.</t>
  </si>
  <si>
    <t>11</t>
  </si>
  <si>
    <t>Prestar servicios profesionales a la Subdirección de Aprovechamiento de la Unidad Administrativa Especial de Servicios Públicos – UAESP-, apoyando la formulación e implementación de procesos de aprovechamiento y tratamiento de residuos en el marco de la política de economía circular y del manejo integral de residuos sólidos, así como lo establecido en el Plan de Desarrollo Distrital, las normas de aprovechamiento y los autos de la Honorable Corte Constitucional desde el componente de aprovechamiento en el Distrito Capital.</t>
  </si>
  <si>
    <t>Prestar servicios profesionales a la Subdirección de Aprovechamiento de la Unidad Administrativa Especial de Servicios Públicos – UAESP, apoyando la formulación e implementación de procesos de aprovechamiento y tratamiento de residuos en el marco de la política de economía circular y del manejo integral de residuos sólidos, así como lo establecido en el Plan de Desarrollo Distrital, las normas de aprovechamiento y los autos de la Honorable Corte Constitucional desde el componente de aprovechamiento en el Distrito Capital.</t>
  </si>
  <si>
    <t>72121501</t>
  </si>
  <si>
    <t>SA-032 Cooperar y aunar esfuerzos para apoyar el proyecto del Centro de Aprovechamiento Especializado de Plásticos CEAP en Bogotá, D.C., a través de la entrega de maquinaria y equipos, por parte de Esenttia S.A. a la UAESP, a título gratuito, teniendo en cuenta la naturaleza de las actividades a realizar, el beneficio que aporta a la cadena de valor de los residuos sólidos en la ciudad de Bogotá, D.C. y a la comunidad de recicladores de oficio.</t>
  </si>
  <si>
    <t>80131802</t>
  </si>
  <si>
    <t>SAL-055 Elaborar los avalúos comerciales e indemnizatorios que requiera la UAESP, en el marco de los procesos de adquisición Predial por utilidad pública, de acuerdo a las necesidades y proyectos que deba adelantar la entidad, bien sea a través de enajenación voluntaria o procesos de expropiación, de conformidad con lo establecido en la Ley.</t>
  </si>
  <si>
    <t>SUBDIRECCIÓN DE ASUNTOS LEGALES</t>
  </si>
  <si>
    <t>TIC - 0031 Prestar servicios profesionales a la Oficina de TIC para la gestión tecnológica a partir de los requerimientos técnicos de las necesidades TI, así como la estructuración de los procesos de adquisición de bienes y servicios en la Tienda Virtual del Estado Colombiano - TVEC</t>
  </si>
  <si>
    <t>7</t>
  </si>
  <si>
    <t>JEFE OFICINA DE TIC</t>
  </si>
  <si>
    <t>cesar.beltran@uaesp.gov.co</t>
  </si>
  <si>
    <t>TIC - 0029 Prestar apoyo en la administración de la infraestructura tecnologica del Data Center de la Unidad Administrativa Especial de Servicios Públicos - UAESP</t>
  </si>
  <si>
    <t>TIC - 0030 Prestar servicios profesionales en el desarrollo de actividades tendientes a los procesos de planeación, programación y seguimiento presupuestal, así como también apoyar con el cumplimiento del lineamiento de Gobierno Digital</t>
  </si>
  <si>
    <t>SSFAP-010 Prestar los servicios profesionales para apoyar a la Subdirección de Servicios Funerarios y Alumbrado Público en el seguimiento al componente financiero de los contratos relacionados con los servicios funerarios y la prestación del servicio de alumbrado público</t>
  </si>
  <si>
    <t xml:space="preserve">FUNERARIOS </t>
  </si>
  <si>
    <t>ingrid.ramirez@uaesp.gov.co</t>
  </si>
  <si>
    <t>SAL-024. Prestar los servicios profesionales desde el punto de vista jurídico a la UAESP para sustanciar el trámite y desarrollo de las actuaciones de carácter administrativo sancionatorio que se adelanten al interior de la Entidad, y el acompañamiento en el proceso y las actividades que se requieran para el cumplimiento del procedimiento contemplado en la Ley y en el de gestión contractual interno.</t>
  </si>
  <si>
    <t>SAL-026. Prestar los servicios profesionales desde el punto de vista jurídico para apoyar los trámites de los procesos de adquisición de predios por utilidad pública que requiera la UAESP, así como el apoyo en los trámites contractuales y post-contractuales desarrollados en la Subdirección de Asuntos Legales.</t>
  </si>
  <si>
    <t>SAF-0110 Prestar servicios profesionales en la subdirección administrativa y financiera, en la actualización, ejecución, seguimiento y control de las actividades logísticas y de recursos físicos de la entidad, de acuerdo con lo establecido en los procesos y procedimientos correspondientes, a través de los aplicativos y herramientas existentes.</t>
  </si>
  <si>
    <t>RUBEN DARIO PERILLA CARDENAS</t>
  </si>
  <si>
    <t>ruben.perilla@uaesp.gov.co</t>
  </si>
  <si>
    <t>SAF-0109 Prestar servicios de apoyo a la gestión de la Subdirección Administrativa y Financiera de la UAESP, desarrollando actividades operativas y logísticas, que contribuyan a la gestión administrativa de la Unidad.</t>
  </si>
  <si>
    <t>SAF-0111  Prestar servicios de apoyo técnico a la Subdirección Administrativa y Financiera, en el marco del Sistema General de Salud y Seguridad en el Trabajo, en la ejecución de actividades de prevención de COVID-19 y en temas relacionados con las condiciones de salud de los colaboradores de la entidad, a fin de garantizar el bienestar de los mismos.</t>
  </si>
  <si>
    <t>72154043;72102103</t>
  </si>
  <si>
    <t>40141700</t>
  </si>
  <si>
    <t>SAF-0107 suministro de herramientas, accesorios y elementos para el mantenimiento menor de las instalaciones de la UAESP</t>
  </si>
  <si>
    <t>2</t>
  </si>
  <si>
    <t>SAF-0108 Prestar servicios profesionales en la Subdirección Administrativa y Financiera para la revisión, ajuste y complementación del diseño estructural de bodegas CEAP y área de servicios para el predio la Alquería de la UAESP</t>
  </si>
  <si>
    <t>4</t>
  </si>
  <si>
    <t>SAF-0115 Prestar servicios profesionales a la Subdirección Administrativa y Financiera de la Unidad Administrativa Especial de Servicios Públicos – UAESP, en la ejecución de actividades relacionadas con la gestión presupuestal de la entidad.</t>
  </si>
  <si>
    <t>SAF-0116 Prestar servicios profesionales a la Subdirección Administrativa y Financiera de la Unidad Administrativa Especial de Servicios Públicos – UAESP, en la ejecución de actividades relacionadas con la gestión contable de la entidad.</t>
  </si>
  <si>
    <t>SAF-112 Prestar servicios de apoyo a la gestión de la Subdirección Administrativa y Financiera de la Unidad Administrativa Especial de Servicios Públicos – UAESP, a través de la ejecución de actividades relacionadas con la organización física y digital de documentación, la actualización de los inventarios documentales en el formato FUID adoptado por la Unidad y el proceso de correspondencia.</t>
  </si>
  <si>
    <t>OAP-017 Prestar los servicios profesionales para apoyar a la Oficina Asesora de Planeación en la formulación y seguimiento del PGIRS, y el Plan de Ordenamiento Territorial (POT), o cualquier plan, política pública un instrumento similar que tenga impactos sobre el territorio, suministrando una visión integral en el marco de los servicios que presta la entidad en los contextos urbano y rural.</t>
  </si>
  <si>
    <t>OFICINA ASESORA DE PLANEACIÓN</t>
  </si>
  <si>
    <t>francisco.ayala@uaesp.gov.co</t>
  </si>
  <si>
    <t>41111900</t>
  </si>
  <si>
    <t>SDF74- Adquisición de equipos para monitoreo y seguimiento a indicadores y variables de proceso de las diferentes actividades que se realizan en la Subdirección de Disposición Final</t>
  </si>
  <si>
    <t>1</t>
  </si>
  <si>
    <t>Selección abreviada subasta inversa</t>
  </si>
  <si>
    <t>SUBDIRECCION DE DISPOSICION FINAL</t>
  </si>
  <si>
    <t xml:space="preserve">SDF75-Prestar servicios de apoyo técnico a la Subdirección de Disposición Final en las actividades relacionadas con los recursos de las herramientas ofimáticos y de telecomunicaciones para la atención del nodo digital ubicado en el Multipropósito del  área de influencia indirecta  del predio Doña Juana.  </t>
  </si>
  <si>
    <t>56101700;56112100</t>
  </si>
  <si>
    <t>SDF76- Contratar la adquisición e instalación del Mobiliario para el Nodo Digital de Mochuelo Alto. (Son 15 cabinas y/o módulos de Internet con su respectivas mesas, sillas y separadores que garanticen la Bioseguridad, y un escritorio de mesa).</t>
  </si>
  <si>
    <t>93141709</t>
  </si>
  <si>
    <t>SDF77-Aunar recursos técnicos, administrativos, humanos y/o financieros entre la Unidad Administrativa Especial de Servicios Públicos -UAESP- y el Instituto Distrital de las Artes -IDARTES, para diseñar e implementar un proceso de formación y circulación desde la cultura y las artes, procurando la adecuada gestión de los residuos, en el marco de la estrategia de cultura ciudadana #LaBasuraNoesBasura de la UAESP, en el área de influencia de los predios de Doña Juana especificados en las resoluciones CAR 1351 y 2320 de 2014.</t>
  </si>
  <si>
    <t>76121602</t>
  </si>
  <si>
    <t>SDF78 - EL PRESTADOR se obliga con EL USUARIO a prestar los siguientes servicios:i) Disposición final y tratamiento de los lixiviados de los residuos sólidos ordinarios provenientes del proceso de separación de los residuos mixtos de puntos críticos - RPC, y ii) Disposición final y tratamiento de lixiviados de los residuos sólidos de puntos críticos que no son susceptibles de separación y tratamiento.Lo anterior conforme al reglamento técnico y operativo del CGR DOÑA JUANA S.A. ESP, de conformidad con lo establecido en el Contrato de Concesión 344 de 2010, la Resolución 724 de 2010 expedida por la UAESP, la Licencia Ambiental debidamente otorgada mediante Resoluciones número 1351 de 2014, 2211 y 2791 de 2008, 2320 de 2014 expedidas por la Corporación Autónoma Regional de Cundinamarca –CAR.</t>
  </si>
  <si>
    <t>70122000</t>
  </si>
  <si>
    <t>SDF79- Aunar esfuerzos técnicos, administrativos, recursos humanos y financieros entre la Unidad Administrativa Especial de Servicios Públicos -UAESP y el Instituto Distrital de Protección y Bienestar Animal - IDPYBA, para desarrollar acciones de bienestar y protección animal, encaminados a la atención de animales de compañía, semiferales y ferales, así como la implementación de estrategias de educación, participación e investigación en el área de influencia social de los predios Doña Juana, definidos en las resoluciones CAR 1351 y 2320 de 2014</t>
  </si>
  <si>
    <t>5</t>
  </si>
  <si>
    <t xml:space="preserve">Contratación directa (con ofertas) </t>
  </si>
  <si>
    <t>86101508;86101710</t>
  </si>
  <si>
    <t>SDF80-Aunar esfuerzos financieros, técnicos y administrativos para el apoyo de formación de competencias laborales y técnica en las áreas de influencia directa e indirecta del complejo industrial Doña Juana.</t>
  </si>
  <si>
    <t>22101501</t>
  </si>
  <si>
    <t>SDF81 – Adquirir un minicargador y sus accesorios en apoyo al Centro de Transformación de Materia Orgánica en compostaje en cumplimiento de las medidas de compensación establecidas en la resolución CAR 1351 de 2014.</t>
  </si>
  <si>
    <t>86101710</t>
  </si>
  <si>
    <t>SDF82-Aunar esfuerzos financieros, técnicos y administrativos para el apoyo de formación a Mujeres, Jóvenes y adultos mayores.</t>
  </si>
  <si>
    <t xml:space="preserve">SA-OPS-160 Prestar servicios profesionales a la Subdirección de Aprovechamiento, en la formulación e implementación de procesos y proyectos de aprovechamiento y tratamiento de residuos, en el marco de la política de economía circular y del manejo integral de residuos sólidos. </t>
  </si>
  <si>
    <t>SA-OPS-161 Prestar servicios de apoyo a la gestión en la Subdirección de Aprovechamiento para ejecutar las acciones encaminadas a la implementación de la Estrategia de cultura ciudadana "La basura no es basura" en los diferentes territorios de Bogotá, en articulación con el desarrollo de acciones afirmativas a la población recicladora de oficio, en el marco de la gestión de residuos sólidos.</t>
  </si>
  <si>
    <t>SA-OPS-162 Prestar apoyo a la Subdirección de Aprovechamiento de la Unidad Administrativa Especial de Servicios Públicos -UAESP- para efectuar procesos de sensibilización en el área de influencia de las bodegas o ECAS a cargo de la UAESP, recolección, verificación y seguimiento a los datos relacionados con el aprovechamiento, atención a la población recicladora de oficio y apoyo en la administración de tales bodegas o ECAS.</t>
  </si>
  <si>
    <t>SA-OPS-163 Prestar servicios de apoyo a la Subdirección de Aprovechamiento de la Unidad Administrativa Especial de Servicios Públicos – UAESP, apoyando la construcción y el proceso de formulación de iniciativas de emprendimiento en el marco del reciclaje y de la economía circular en el componente de RCD proveniente de pequeños generadores en el Distrito Capital incluido su aprovechamiento y separación in situ de los puntos críticos y/o de arrojo clandestino en la ciudad de Bogotá, asignados por la UAESP a organizaciones de recicladores.</t>
  </si>
  <si>
    <t>SA-OPS-164 Prestar los servicios de apoyo a la Unidad Administrativa Especial de servicios Públicos UAESP, en el seguimiento a las actividades de aprovechamiento, especialmente las relacionadas con laPrestación de servicios públicos domiciliarios a cargo de la Entidad en materia regulatoria, tarifaria y de gestión así como la planeación operativa de la Subdirección de Aprovechamiento.</t>
  </si>
  <si>
    <t>SA-OPS-165 Prestar Servicios profesionales a la Subdirección de Aprovechamiento para desarrollar los procesos de gestión territorial mediante la estrategia de Cultura Ciudadana “La Basura no es Basura”, la implementación de acciones afirmativas y la identificación y formalización de recicladores de oficio en el registro RURO.</t>
  </si>
  <si>
    <t>SA-OPS-169 Prestar los servicios de apoyo a la gestión a la Subdirección de Aprovechamiento, en la administración depuración, trasformación, actualización de datos con diferentes metodologías, aplicaciones y tecnologías; y a partir de los sistemas transaccionales de la UAESP generar información y reportes.</t>
  </si>
  <si>
    <t>SDF01-Prestar servicios profesionales a la Subdirección de Disposición final de la UAESP apoyando el seguimiento y la gestión de residuos en  Doña Juana, en el marco del desarrollo de contratos de Consultoría y contratos de concesión ejecutados en el predio Doña Juana en especial en el componente de lixiviados.</t>
  </si>
  <si>
    <t xml:space="preserve">SDF02-Prestar Servicios profesionales para el desarrollo de los proyectos de inversión, desde la etapa precontractual, así como el apoyo al seguimiento de los proyectos adelantados por la Subdirección de Disposición Final de la Unidad Administrativa Especial de Servicios Públicos - UAESP. </t>
  </si>
  <si>
    <t>SDF05-Prestar servicios profesionales a la Subdirección de Disposición Final en apoyo al seguimiento y control a la gestión de residuos en  Doña Juana, en su componente de lixiviados en lineas de conducción y  pondajes, en el marco del desarrollo de los contratos de Consultorías y contratos de concesión en Predios Doña Juana.</t>
  </si>
  <si>
    <t>SDF06-Prestar los servicios profesionales para apoyar a la Subdirección de Disposición Final en los temas tarifarios, regulatorios y administrativos de su competencia.</t>
  </si>
  <si>
    <t>SA-OPS-118 Prestar servicios profesionales a la Subdirección de Aprovechamiento de la Unidad Administrativa Especial de Servicios Públicos – UAESP-, apoyando la construcción y el proceso de formulación de iniciativas de emprendimiento en el marco del reciclaje y de la economía circular en el componente de RCD proveniente de pequeños generadores en el Distrito Capital incluido su aprovechamiento y separación in situ de los puntos críticos y/o de arrojo clandestino en la ciudad de Bogotá, asignados por la UAESP a organizaciones de recicladores.</t>
  </si>
  <si>
    <t xml:space="preserve">SUBDIRECCION DE APROVECHAMIENTO </t>
  </si>
  <si>
    <t>3057866142</t>
  </si>
  <si>
    <t>SA-OPS-120 Prestar servicios de apoyo a la Subdirección de Aprovechamiento de la Unidad Administrativa Especial de Servicios Públicos – UAESP-, apoyando la formulación e implementación de procesos de aprovechamiento y tratamiento de residuos en el marco de la política de economía circular y del manejo integral de residuos sólidos, así como lo establecido en el Plan de Desarrollo Distrital, las normas de aprovechamiento y los autos de la Honorable Corte Constitucional desde el componente de aprovechamiento en el Distrito Capital.</t>
  </si>
  <si>
    <t>SA-OPS-121 Prestar los servicios profesionales a la Subdirección de Aprovechamiento de la Unidad Administrativa Especial de Servicios Públicos -UAESP-, para implementar procesos de fortalecimiento a las organizaciones de recicladores de oficio, el desarrollo de actividades de separación de residuos en la fuente, divulgación de la normatividad, políticas y lineamientos distritales en laPrestación del servicio público de aseo en las localidades de Bogotá y sus zonas rurales, en el marco de la formalización, acciones afirmativas, decreto 596 de 2016 y las sentencias de la honorable corte constitucional.</t>
  </si>
  <si>
    <t>SA-OPS-180 Prestar servicios de apoyo a la gestión en la Subdirección de Aprovechamiento para ejecutar las acciones encaminadas a la implementación de la Estrategia de cultura ciudadana "La basura no es basura" en los diferentes territorios de Bogotá, en articulación con el desarrollo de acciones afirmativas a la población recicladora de oficio, en el marco de la gestión de residuos sólidos.</t>
  </si>
  <si>
    <t>SA-OPS-181 Prestar servicios de apoyo a la gestión en la Subdirección de Aprovechamiento para ejecutar las acciones encaminadas a la implementación de la Estrategia de cultura ciudadana "La basura no es basura" en los diferentes territorios de Bogotá, en articulación con el desarrollo de acciones afirmativas a la población recicladora de oficio, en el marco de la gestión de residuos sólidos.</t>
  </si>
  <si>
    <t>SA-OPS-182 Prestar servicios de apoyo a la gestión en la Subdirección de Aprovechamiento para ejecutar las acciones encaminadas a la implementación de la Estrategia de cultura ciudadana "La basura no es basura" en los diferentes territorios de Bogotá, en articulación con el desarrollo de acciones afirmativas a la población recicladora de oficio, en el marco de la gestión de residuos sólidos.</t>
  </si>
  <si>
    <t>SA-OPS-183 Prestar servicios de apoyo a la gestión en la Subdirección de Aprovechamiento para ejecutar las acciones encaminadas a la implementación de la Estrategia de cultura ciudadana "La basura no es basura" en los diferentes territorios de Bogotá, en articulación con el desarrollo de acciones afirmativas a la población recicladora de oficio, en el marco de la gestión de residuos sólidos.</t>
  </si>
  <si>
    <t>Prestar los servicios profesionales como ingeniero electricista de la Subdirección de Servicios Funerarios y Alumbrado Público, orientados al apoyo de las gestiones y/o actividades técnicas y de seguimiento a la prestación del servicio de Alumbrado Público en la ciudad de Bogotá".</t>
  </si>
  <si>
    <t>360</t>
  </si>
  <si>
    <t>ALUMBRADO</t>
  </si>
  <si>
    <t>Prestar los servicios profesionales a la Subdirección de Asuntos Legales desde el punto de vista financiero y técnico dentro de los procesos de selección y contratación en general, en sus etapas precontractuales, contractuales y postcontractuales, teniendo en cuenta los requerimientos solicitados por las diferentes dependencias de la Unidad Administrativa Especial de Servicios Públicos</t>
  </si>
  <si>
    <t>Prestar servicios de apoyo a la gestión a la Subdirección de Asuntos Legales de la Unidad Administrativa Especial de Servicios Públicos – UAESP, mediante la ejecución de actividades administrativas, organización documental de los expedientes, entre otros</t>
  </si>
  <si>
    <t>Prestar servicios profesionales desde el punto de vista jurídico para acompañar a la UAESP en el desarrollo de las actuaciones de carácter administrativo que se adelanten al interior de la entidad y las demás actividades que se requieran</t>
  </si>
  <si>
    <t>Prestar los servicios de apoyo profesional a la Subdirección de Aprovechamiento de la Unidad Administrativa Especial de Servicios Públicos UAESP, para apoyo en la coordinación de la implementación de acciones afirmativas a la población recicladora de oficio, implementación de actividades de cultura ciudadana en el marco de la gestión de residuos solidos e interlocución con los diferentes actores locales.</t>
  </si>
  <si>
    <t>Prestar servicios profesionales a la Subdirección de Aprovechamiento de la Unidad Administrativa Especial de Servicios Públicos -UAESP-, para apoyar la coordinación a la construcción e implementación de las políticas definidas en el Plan de Gestión Integral de Residuos Sólidos - PGIRS-, Plan de Ordenamiento Territorial -POT-, Residuos de la Demolición y Construcción -RCD- y modelo de aprovechamiento de acuerdo con lo establecido en el Plan de Desarrollo Distrital y los autos de la Honorable Corte Constitucional desde el componente de aprovechamiento en el Distrito Capital.</t>
  </si>
  <si>
    <t>Prestar los servicios profesionales a la Subdirección de Aprovechamiento de la Unidad Administrativa Especial de Servicios Públicos UAESP, para implementar procesos de fortalecimiento a las organizaciones de recicladores de oficio, el desarrollo de actividades de separación de residuos en la fuente, divulgación de la normatividad, políticas y lineamientos distritales en la prestación del servicio público de aseo en las localidades de Bogotá y sus zonas rurales, en el marco de la formalización, acciones afirmativas, decreto 596 de 2016 y las sentencias de la honorable corte constitucional.</t>
  </si>
  <si>
    <t>SA-OPS-005 Arrendamiento de cuatro (4) inmuebles contiguos que conforman una sola bodega, ubicadas en la Carrera 83 No. 11A – 53, Carrera 83 No. 11ª – 43, Carrera 84 No. 11ª-34 y Carrera 83 No. 11A – 23 de la Localidad de Kennedy de la ciudad de Bogotá D.C, para llevar a cabo actividades de separación, pesaje y/o transformación de material potencialmente aprovechable recolectado y transportado por recicladores de oficio.</t>
  </si>
  <si>
    <t xml:space="preserve">SUBDIRECCIÓN DE APROVECHAMIENTO </t>
  </si>
  <si>
    <t>SA-OPS-006 Arrendamiento de los inmueble contiguos ubicados en la Carrera 69 k No. 79-49 y Carrera 69 k No. 79 -53 de La localidad de Engativá de la ciudad de Bogotá D.C, para llevar a cabo actividades de separación, pesaje y/o transformación de material potencialmente aprovechable recolectado y transportado por recicladores de oficio.</t>
  </si>
  <si>
    <t>SA-OPS-007 Arrendamiento del inmueble ubicada en la dirección Calle 17 A No. 69F-26 de la Localidad de Fontibón de la ciudad de Bogotá D.C, para llevar a cabo actividades de separación, pesaje y/o transformación de material potencialmente aprovechable recolectado y transportado por recicladores de oficio.</t>
  </si>
  <si>
    <t>SA-OPS-009 "Arrendamiento de las bodegas ubicadas en la carrera 63 5A-20 y carrera 62 5A-25 de la Localidad de Puente Aranda de la Ciudad de Bogotá, para llevar a cabo actividades de separación, pesaje y/o transformación de material potencialmente aprovechable recolectado y transportado por recicladores de oficio</t>
  </si>
  <si>
    <t>SA-OPS-008 Arrendamiento del inmueble ubicado en la dirección Carrera 65B # 17-80 de la Localidad de Puente Aranda de la ciudad de Bogotá D.C, para llevar a cabo actividades de separación, pesaje y/o transformación de material potencialmente aprovechable recolectado y transportado por recicladores de oficio.</t>
  </si>
  <si>
    <t>72121202;72121203;72121508;81101513</t>
  </si>
  <si>
    <t>SA-OPS-199 Ejecución de las obras de construcción de plantas de organicos y RCD.</t>
  </si>
  <si>
    <t>Licitación pública (Obra pública)</t>
  </si>
  <si>
    <t>39121700;48102100;41106700;47101524;73161502;73161509</t>
  </si>
  <si>
    <t>SA-OPS-200 Adquisición, suministro e instalación de la maquinaria, equipos y elementos requeridos para la dotación de las Plantas de Tratamiento de residuos Orgánicos y RCD</t>
  </si>
  <si>
    <t>72101500;72121400;92121700</t>
  </si>
  <si>
    <t>SA-OPS-201 REALIZAR LA CONSTRUCCIÓN DEL CENTRO EXPERIMENTAL DE APROVECHAMIENTO DE PLÁSTICOS- CEAP, UBICADO EN LA LOCALIDAD DE KENNEDY, SEDE ALQUERÍA, A CARGO DE LA UNIDAD ADMINISTRATIVA ESPECIAL DE SERVICIOS PÚBLICOS -UAESP, A FIN DE GARANTIZAR LOS PROCESOS DE CLASIFICACIÓN ESPECIALIZADA, REDUCCIÓN DE VOLUMEN, APROVECHAMIENTO Y VALORIZACIÓN DE LOS RESIDUOS PLÁSTICOS PARA GARANTIZAR  SU REINCORPORACIÓN EFECTIVA A LA CADENA DE VALOR EN EL MARCO DE LA ECONOMÍA CIRCULAR.</t>
  </si>
  <si>
    <t>SA-OPS-202 Suministro, Adquisición e instalación de la maquinaria para la dotación complementaria de dos (2) plantas de tratamiento de residuos organicos en Bogotá</t>
  </si>
  <si>
    <t>Selección abreviada menor cuantía</t>
  </si>
  <si>
    <t>SDF86 - Prestar los servicios técnicos desde el componente ambiental en el área social de la Subdirección de Disposición Final apoyando en la gestión, seguimiento y control de la ejecución del plan de Gestión Social de la Zona de influencia</t>
  </si>
  <si>
    <t>SAF-0105  Prestar servicios de apoyo a la gestión de la Subdirección Administrativa y Financiera de la Unidad Administrativa Especial de Servicios Públicos – UAESP, a través de la ejecución de actividades relacionadas con la organización física y digital de documentación, la actualización de los inventarios documentales en el formato FUID adoptado por la Unidad y el proceso de correspondencia</t>
  </si>
  <si>
    <t>SUBDIRECCIÓN ADMINISTRATIVA Y FINANCIERA</t>
  </si>
  <si>
    <t>SAL-025. Prestar los servicios profesionales desde el punto de vista técnico, para apoyar los trámites de los procesos de adquisición de predios por utilidad pública que requiera la UAESP.</t>
  </si>
  <si>
    <t>CARLOS ARTURO QUINTANA ASTRO</t>
  </si>
  <si>
    <t>SAL-054. Prestar los servicios de apoyo a la gestión a la Subdirección de Asuntos Legales, desde el punto de vista operacional, con el fin de apoyar el impulso procesal de los diferentes procesos y procedimientos, la rendición de información en las plataformas que hacen parte de los procesos de la subdirección y la proyección de documentos.</t>
  </si>
  <si>
    <t>SAP-035 Prestar los servicios profesionales a la subdirección de Servicios Funerarios y Alumbrado Público -SSFAP, orientados al apoyo de las actividades a cargo del componente social del área de alumbrado público.</t>
  </si>
  <si>
    <t>76122300</t>
  </si>
  <si>
    <t>SA-OPS-049  Prestación de servicios de apoyo a la gestión para la separación insitu de los residuos de construcción y demolición -RCD- que están mezclados y se encuentran en los puntos críticos y/o de arrojo clandestino de la ciudad de Bogotá, asignados por la UAESP que le permita obtener a la organización de recicladores el material aprovechable de cada punto</t>
  </si>
  <si>
    <t>SA-OPS-050 Prestación de servicios de apoyo a la gestión para la separación insitu de los residuos de construcción y demolición -RCD- que están mezclados y se encuentran en los puntos críticos y/o de arrojo clandestino de la ciudad de Bogotá, asignados por la UAESP que le permita obtener a la organización de recicladores el material aprovechable de cada punto</t>
  </si>
  <si>
    <t>56101605;56101606;56101608;56101610;56101501;45111705;47121702;30161905</t>
  </si>
  <si>
    <t>SA-051 Prestar los servicios de apoyo a la gestión a la Unidad Administrativa Especial de Servicios Públicos UAESP- para el aprovechamiento de 4.30 toneladas de plástico recuperado transformado en mobiliario urbano con madera plástica para la instalación en un tramo de la vía en donde actualmente se ejecuta el proyecto denominado: “Franja Ciclopeatonal de la Calle 13”, ubicado en la Av. Calle 13, carrera 106, sección Occidental.</t>
  </si>
  <si>
    <t>72101500</t>
  </si>
  <si>
    <t>SA-OPS-052 Prestación de servicios de apoyo a la gestión relacionada con la separación insitu de los residuos de construcción y demolición -RCD- que están mezclados y se encuentran en los puntos críticos y/o de arrojo clandestino de la ciudad de Bogotá, asignados por la Unidad Administrativa Especial de Servicios Publicas -UAESP-, que le permita obtener a la organización de recicladores el material aprovechable de cada punto para la zona 4</t>
  </si>
  <si>
    <t>SA-OPS-053 Prestar los servicios profesionales a la Subdirección de Aprovechamiento, para implementar procesos de fortalecimiento a las organizaciones de recicladores de oficio, promover la formalización de acuerdo al Decreto 596 de 2016 y la implementación de acciones afirmativas establecidas por las sentencias de la Honorable Corte Constitucional</t>
  </si>
  <si>
    <t>SA-OPS-054 Prestación de servicios de apoyo a la gestión relacionada con la separación insitu de los residuos de construcción y demolición -RCD- que están mezclados y se encuentran en los puntos críticos y/o de arrojo clandestino de la ciudad de Bogotá, asignados por la Unidad Administrativa Especial de Servicios Publicas -UAESP-, que le permita obtener a la organización de recicladores el material aprovechable de cada punto para la zona 6</t>
  </si>
  <si>
    <t>SA-OPS-055 Prestación de servicios de apoyo a la gestión relacionada con la separación insitu de los residuos de construcción y demolición -RCD- que están mezclados y se encuentran en los puntos críticos y/o de arrojo clandestino de la ciudad de Bogotá, asignados por la Unidad Administrativa Especial de Servicios Publicas -UAESP-, que le permita obtener a la organización de recicladores el material aprovechable de cada punto para la zona 7</t>
  </si>
  <si>
    <t>SA-OPS-056 Prestación de servicios de apoyo a la gestión relacionada con la separación insitu de los residuos de construcción y demolición -RCD- que están mezclados y se encuentran en los puntos críticos y/o de arrojo clandestino de la ciudad de Bogotá, asignados por la Unidad Administrativa Especial de Servicios Publicas -UAESP-,que le permita obtener a la organización de recicladores el material aprovechable de cada punto para la zona 8</t>
  </si>
  <si>
    <t>SA-OPS-057 Prestación de servicios de apoyo a la gestión relacionada con la separación insitu de los residuos de construcción y demolición -RCD- que están mezclados y se encuentran en los puntos críticos y/o de arrojo clandestino de la ciudad de Bogotá, asignados por la Unidad Administrativa Especial de Servicios Publicas -UAESP-, que le permita obtener a la organización de recicladores el material aprovechable de cada punto para la zona 9</t>
  </si>
  <si>
    <t>SA-OPS-058 Prestación de servicios de apoyo a la gestión relacionada con la separación insitu de los residuos de construcción y demolición -RCD- que están mezclados y se encuentran en los puntos críticos y/o de arrojo clandestino de la ciudad de Bogotá, asignados por la Unidad Administrativa Especial de Servicios Publicas -UAESP-, que le permita obtener a la organización de recicladores el material aprovechable de cada punto para la zona 10</t>
  </si>
  <si>
    <t>SDF68 - Aunar recursos humanos, técnicos y financieros, para apoyar la permanencia en los programas de educación superior que ofrece la Universidad Pedagógica Nacional, a jóvenes habitantes de la zona de influencia del Relleno Sanitario Doña Juana de las localidades de Ciudad Bolívar y Usme que hacen parte de la población objetivo que especifica las Resoluciones CAR: 1351 de 2014 y 2320 de 2014.</t>
  </si>
  <si>
    <t>SDF69-Aunar recursos humanos, técnicos, administrativos y financieros, para apoyar el acceso y continuidad a los programas de pregrado, técnico, tecnológico, y programas de formación en lengua extranjera, que ofrece la Universidad Nacional Abierta y a Distancia - UNAD -, a habitantes de la zona de influencia del Relleno Sanitario Doña Juana que está establecida en la Licencia Ambiental Resoluciones CAR 1351 de 2014 y 2320 de 2014.</t>
  </si>
  <si>
    <t>SDF70-Aunar recursos humanos, técnicos y financieros, para apoyar la permanencia en los programas de educación superior que ofrece la Universidad Nacional de Colombia Sede Bogotá, a jóvenes habitantes de la zona de influencia del Relleno Sanitario Doña Juana de las localidades de Ciudad Bolívar y Usme que hacen parte de la población objetivo que especifica las Resoluciones CAR: 1351 de 2014 y 2320 de 2014.</t>
  </si>
  <si>
    <t>SDF71-Aunar recursos humanos, técnicos y financieros, para apoyar la permanencia en los programas de educación superior, tecnológica y profesional que ofrece la Universidad Distrital Francisco José de Caldas, a jóvenes habitantes de la zona de influencia del Relleno Sanitario Doña Juana de las localidades de Ciudad Bolívar y Usme que hacen parte de la población objetivo que especifica las Resoluciones CAR: 1351 de 2014 y 2320 de 2014</t>
  </si>
  <si>
    <t>41114200</t>
  </si>
  <si>
    <t>SDF72-Realizar la adquisición de equipos de topografía, navegación y mapeo para la Subdirección de Disposición Final</t>
  </si>
  <si>
    <t>77101800;77121700</t>
  </si>
  <si>
    <t>SDF73-Realizar el monitoreo de caracterizacion de lixiviados</t>
  </si>
  <si>
    <t>RBL-0043 Prestar los servicios profesionales a la Unidad Administrativa Especial de Servicios Públicos - UAESP - para apoyar los aspectos de Gestión Social en el marco del seguimiento del servicio de aseo en sus componentes de recolección, barrido y limpieza y cultura ciudadana entre otros procesos relacionados con la gestión integral tendientes a fortalecer el manejo adecuado de residuos sólidos en el Distrito Capital.</t>
  </si>
  <si>
    <t>RBL-0044 Apoyar la Unidad Administrativa Especial de Servicios Públicos UAESP - en las acciones necesarias para el fortalecimiento de la gestión social en la divulgación y promoción para el manejo adecuado de los residuos sólidos en las localidades del Distrito Capital.</t>
  </si>
  <si>
    <t>RBL-0046 Prestar los servicios profesionales a la Unidad Administrativa Especial de Servicios Públicos – UAESP, para apoyar la supervisión del servicio de aseo, especialmente en aspectos comerciales y financieros, y demás procesos relacionados con la gestión integral de los residuos sólidos en el Distrito.</t>
  </si>
  <si>
    <t>RBL-0047 Prestar los servicios profesionales a la subdirección de Recolección, Barrido y Limpieza para apoyar técnicamente el seguimiento al manejo de residuos voluminosos críticos en todos los procesos relacionados con la gestión integral de residuos sólidos en el Distrito Capital.</t>
  </si>
  <si>
    <t>RBL-0048 Prestar los servicios profesionales a la Unidad Administrativa Especial de Servicios Públicos en la gestión Jurídica y Administrativa de la Subdirección de Recolección, Barrido y Limpieza, asistiendo a la supervisión del servicio público de aseo en los procesos relacionados con la gestión integral de los residuos sólidos en el Distrito.</t>
  </si>
  <si>
    <t>RBL-0050 Prestar los servicios profesionales a la Unidad Administrativa Especial de Servicios Públicos - UAESP - para apoyar técnica y operativamente el seguimiento de la supervisión del servicio público de aseo en sus distintos componentes, entre otros relacionados con la gestión integral de los residuos sólidos en el Distrito.</t>
  </si>
  <si>
    <t>RBL-0052 Prestar los servicios profesionales a la Unidad Administrativa Especial de Servicios Públicos, para la generación y documentación de productos geográficos requeridos para el seguimiento al servicio público de aseo en la ciudad de Bogotá, en el marco de la implementación del Plan de Gestión Integral de Residuos Sólidos.</t>
  </si>
  <si>
    <t>RBL-0056 Prestar los servicios profesionales a la Subdirección de Recolección, Barrido y Limpieza de la Unidad Administrativa Especial de Servicios Públicos -UAESP, apoyando las acciones de control y seguimiento a la gestión empresarial; en el marco del servicio del público de aseo en el Distrito Capital.</t>
  </si>
  <si>
    <t>77101600;77101700;80101500;80101600;81102700</t>
  </si>
  <si>
    <t>RBL-0058 Interventoría  administrativa, técnica, operativa, comercial, económica, financiera, contable, social, jurídica, ambiental, sanitaria, de seguridad y salud en el trabajo y de sistemas relacionadas con el Contrato de Concesión 186E de 2011, suscrito entre la Unidad Administrativa Especial de Servicios Públicos  UAESP y Unión Temporal Ecocapital para el servicio de recolección, transporte, almacenamiento temporal  y entrega para disposición final de residuos hospitalarios y similares generados en la ciudad de Bogotá D.C., y sin exclusividad la actividad de tratamiento.</t>
  </si>
  <si>
    <t>Concurso de méritos abierto</t>
  </si>
  <si>
    <t>80101500;80101600</t>
  </si>
  <si>
    <t>SSF-001 Realizar la interventoría técnica, operativa, social, administrativa, financiera, ambiental, jurídica, de seguridad industrial y de salud ocupacional relacionadas con la prestación de los servicios funerarios en los cementerios del Distrito</t>
  </si>
  <si>
    <t>SSF-003 Prestar los servicios profesionales en la Subdirección de Servicios Funerarios y Alumbrado Público en el ámbito de la ingeniería mecánica, para apoyar lo relacionado con los hornos crematorios en los Cementerios propiedad del Distrito Capital.</t>
  </si>
  <si>
    <t>RBL-0055 Prestar los servicios profesionales a la Unidad Administrativa Especialde Servicios Públicos -UAESP para apoyar técnicamente y operativamente el seguimiento del servicio de aseo especialmente en sus componentes de recolección, barrido y limpieza, manejo de puntos críticos entre otros relacionados con la gestión integral de los residuos sólidos en el Distrito.</t>
  </si>
  <si>
    <t>Prestar apoyo a la subdirección de aprovechamiento de la UAESP para efectuar procesos de sensibilización en el área de influencia de las bodegas o ECAS  a cargo de la UAESP,  recolección, verificación y seguimiento  a los datos relacionados con el aprovechamiento, atención  a la población recicladora de oficio y apoyo en la administración de tales bodegas o ECAS.</t>
  </si>
  <si>
    <t>Prestar los servicios de apoyo profesional a la Subdirección de Aprovechamiento de la Unidad Administrativa Especial de Servicios Públicos UAESP, para realizar acompañamiento en la implementación de acciones afirmativas a la población recicladora de oficio, implementación de actividades de cultura ciudadana en el marco de la gestión de residuos solidos e interlocución con los diferentes actores locales.</t>
  </si>
  <si>
    <t>Prestar los servicios de apoyo a la de la Subdirección de Aprovechamiento, para apoyo en la administración y actualización de datos con el conjunto de metodologías, aplicaciones y tecnologías para reunir, depurar y transformar datos de los sistemas transaccionales en información estructurada que permitan suministrar información.</t>
  </si>
  <si>
    <t xml:space="preserve">Prestar apoyo en las respuestas y soluciones en temas relacionados con tecnología al personal de la Unidad Administrativa Especial de Servicios Públicos </t>
  </si>
  <si>
    <t>Prestar servicios profesionales apoyando desde el punto de vista técnico en el seguimiento al Sistema de Información para la Gestión de Aseo SIGAB y a los proyectos estratégicos que adelante la Oficina de TIC de la UAESP</t>
  </si>
  <si>
    <t>Prestar los servicios profesionales a la Subdirección de Servicios Funerarios y Alumbrado Público para la incorporación de  la infraestrutura al sistema de alumbrado público y apoyar las demás actividades  propias del servicio de Alumbrado Público a cargo del área</t>
  </si>
  <si>
    <t>SA-OPS-144 Prestar los servicios de apoyo profesional a la Subdirección de Aprovechamiento de la Unidad Administrativa Especial de Servicios Públicos -UAESP-, paraRealizar acompañamiento en la implementación de acciones afirmativas a la población recicladora de oficio, implementación de actividades de cultura ciudadana en el marco de la gestión de residuos sólidos e interlocución con los diferentes actores locales.</t>
  </si>
  <si>
    <t>SA-OPS-145 Prestar apoyo a la Subdirección de Aprovechamiento de la Unidad Administrativa Especial de Servicios Públicos -UAESP- para efectuar procesos de sensibilización en el área de influencia de las bodegas o ECAS a cargo de la UAESP, recolección, verificación y seguimiento a los datos relacionados con el aprovechamiento, atención a la población recicladora de oficio y apoyo en la administración de tales bodegas o ECAS.</t>
  </si>
  <si>
    <t>SA-OPS-146 Prestar los servicios profesionales a la Subdirección de Aprovechamiento, para implementar procesos de fortalecimiento a las organizaciones de recicladores de oficio, promover la formalización de acuerdo al Decreto 596 de 2016 y la implementación de acciones afirmativas establecidas por las sentencias de la Honorable Corte Constitucional.</t>
  </si>
  <si>
    <t>SA-OPS-147 Prestar los servicios profesionales a la Subdirección de Aprovechamiento, para implementar procesos de fortalecimiento a las organizaciones de recicladores de oficio, promover la formalización de acuerdo al Decreto 596 de 2016 y la implementación de acciones afirmativas establecidas por las sentencias de la Honorable Corte Constitucional.</t>
  </si>
  <si>
    <t>SAF-0027 Prestar servicios profesionales a la Subdirección Administrativa y Financiera de la Unidad Administrativa Especial de Servicios Públicos – UAESP, en la ejecución de actividades relacionadas con la gestión presupuestal de la entidad.</t>
  </si>
  <si>
    <t>SUBDIRECCION ADMINISTRATIVA Y FINANCIERA</t>
  </si>
  <si>
    <t>SAF-0030 prestar servicios de apoyo a la gestión a la subdirección administrativa y financiera de la uaesp, apoyando en la ejecución de las actividades que conlleven a la optimización y seguimiento del Plan de Seguridad Vial y movilidad segura.</t>
  </si>
  <si>
    <t>44121621;44121627;44121701;44121706;44122003</t>
  </si>
  <si>
    <t>SAF-0031 Contratar el suministro de papelería y suministro de insumos de oficina para la UAESP.</t>
  </si>
  <si>
    <t>15101505;15101506</t>
  </si>
  <si>
    <t>SAF-0032 Contratar el suministro, transporte y vertimiento de combustible para la operación del parque automotor y maquinaria de la Unidad Administrativa Especial de servicios Públicos de Bogotá.</t>
  </si>
  <si>
    <t>76111500;90101700</t>
  </si>
  <si>
    <t>SAF-0033 Adquirir por medio del Acuerdo Marco de Precios CCE -972-1-AMP -2019 el servicio de aseo e insumos de aseo, jardinería y cafetería para todos los bienes muebles que se encuentran en propiedad y en figura de arrendamiento a nombre de la Unidad Administrativa Especial de Servicios Públicos</t>
  </si>
  <si>
    <t>84121804</t>
  </si>
  <si>
    <t>SAF-0036 Suministro de dotación de vestuario y calzado para los funcionarios de la Unidad Administrativa Especial de Servicios Públicos - UAESP, de la Vigencia 2021 mediante el Sistema de bonos redimibles.</t>
  </si>
  <si>
    <t>SAF-0038 Prestar servicios profesionales a la Subdirección Administrativa y Financiera de la UAESP, en el desarrollo de las actividades de los programas de la Gestión del Talento Humano de la UAESP.</t>
  </si>
  <si>
    <t>SAF-0040 Prestar servicios de apoyo a la gestión de la Subdirección Administrativa y Financiera de la Unidad Administrativa Especial de Servicios Públicos – UAESP, a través de la ejecución de actividades relacionadas con la organización física y digital de documentación, la actualización de los inventarios documentales en el formato FUID adoptado por la Unidad y el proceso de correspondencia.</t>
  </si>
  <si>
    <t>SAL-028. Prestar los servicios profesionales desde el punto de vista jurídico para ejercer la representación judicial, extrajudicial, y administrativa de la Entidad, así como fortalecer la gestión jurídica en los temas de derecho administrativo.</t>
  </si>
  <si>
    <t>SAL-030. Prestar los servicios profesionales desde el punto de vista jurídico para ejercer la representación judicial, extrajudicial, y administrativa de la Entidad, así como fortalecer la gestión jurídica en los temas de derecho administrativo.</t>
  </si>
  <si>
    <t>SAL-031. Prestar los servicios profesionales desde el punto de vista jurídico para ejercer la representación judicial, extrajudicial, y administrativa de la Entidad, así como fortalecer la gestión jurídica en los temas de derecho administrativo.</t>
  </si>
  <si>
    <t>RBL-0045 Prestar los servicios profesionales a la Subdirección de Recolección, Barrido y Limpieza, apoyando la gestión externa de residuos hospitalarios y similares, para el seguimiento, planeación, control, revisión y verificación de las políticas, planes, programas, actividades y procesos, enmarcados en los componentes de gestión y supervisión técnico operativo, ambiental, sanitario, normativo y de seguridad industrial y salud ocupacional.</t>
  </si>
  <si>
    <t>RBL-0049 Prestar los servicios profesionales a la Unidad Administrativa Especial de Servicios Públicos UAESP, para apoyar técnica y operativamente a la supervisión en el seguimiento del servicio de aseo, especialmente en sus componentes de recolección, barrido y limpieza, manejo de puntos críticos, entre otros, relacionados con la gestión integral de los residuos sólidos en el Distrito.</t>
  </si>
  <si>
    <t>RBL-0051 Prestar los servicios profesionales a la Unidad Administrativa Especial de Servicios Públicos - UAESP- en el seguimiento técnico operativo del servicio público domiciliario de aseo, especialmente en sus actividades de barrido, recolección, transporte y limpieza urbana.</t>
  </si>
  <si>
    <t>RBL-0054 Prestar apoyo técnico y administrativo a la Unidad Administrativa Especial de Servicios Públicos –UAESP, para el seguimiento del servicio de aseo especialmente en sus componentes de recolección, barrido y limpieza, manejo de puntos críticos, entre otros relacionados con la gestión integral de los residuos sólidos en el Distrito.</t>
  </si>
  <si>
    <t>RBL-0018 Prestar los servicios de apoyo a la Subdirección de Recolección, Barrido y Limpieza - RBL - realizando actividades tendientes a fortalecer la gestión administrativa, documental y archivo de los procesos relacionados con el seguimiento a la prestación del servicio público de aseo y de residuos sólidos en el Distrito.</t>
  </si>
  <si>
    <t>RBL-0020 Apoyar la Unidad Administrativa Especial de Servicios Públicos UAESP - en las acciones necesarias para el fortalecimiento de la gestión social en la divulgación y promoción para el manejo adecuado de los residuos sólidos en las localidades del Distrito Capital</t>
  </si>
  <si>
    <t>RBL-0021 Prestar los servicios profesionales a la Subdirección de Recolección, Barrido y Limpieza de la Unidad Administrativa Especial de Servicios Públicos, apoyando a la supervisión en los aspectos de carácter normativo y de gestión administrativa, inherentes a la prestación del servicio público de aseo en el Distrito Capital.</t>
  </si>
  <si>
    <t>RBL-0022 Prestar apoyo operativo y administrativo a la Subdirección de Recolección, Barrido y Limpieza, para el seguimiento del servicio público de aseo especialmente en sus componentes de recolección, barrido y limpieza, y los procesos relacionados con la gestión documental.</t>
  </si>
  <si>
    <t>RBL-0023 Prestar apoyo operativo y administrativo a la Subdirección de Recolección, Barrido y Limpieza, para el seguimiento del servicio público de aseo especialmente en sus componentes de recolección, barrido y limpieza, y los procesos relacionados con la gestión documental.</t>
  </si>
  <si>
    <t>RBL-0067 Apoyar la Unidad Administrativa Especial de Servicios Públicos UAESP - en las acciones necesarias para el fortalecimiento de la gestión social en la divulgación y promoción para el manejo adecuado de los residuos sólidos en las localidades del Distrito Capital.</t>
  </si>
  <si>
    <t>RBL-0069 Apoyar la Unidad Administrativa Especial de Servicios Públicos UAESP - en las acciones necesarias para el fortalecimiento de la gestión social en la divulgación y promoción para el manejo adecuado de los residuos sólidos en las localidades del Distrito Capital.</t>
  </si>
  <si>
    <t>RBL-0071 Prestar los servicios de apoyo técnico y operativo a la Unidad Administrativa Especial de Servicios Públicos, en las acciones necesarias para el fortalecimiento de la gestión social en la divulgación y promoción para el manejo adecuado de los residuos sólidos en las localidades del Distrito Capital.</t>
  </si>
  <si>
    <t>RBL-0073 Prestar los servicios de apoyo técnico y operativo a la Unidad Administrativa Especial de Servicios Públicos, en las acciones necesarias para el fortalecimiento de la gestión social en la divulgación y promoción para el manejo adecuado de los residuos sólidos en las localidades del Distrito Capital.</t>
  </si>
  <si>
    <t>RBL-0075 Prestar apoyo técnico y operativo a la Unidad Administrativa Especial de Servicios Públicos, para el seguimiento del servicio de aseo en sus componentes de recolección, barrido y limpieza CLUS, y todos los procesos relacionados con la gestión integral de los residuos sólidos en el Distrito.</t>
  </si>
  <si>
    <t>RBL-0060 Apoyar la Unidad Administrativa Especial de Servicios Públicos UAESP - en las acciones necesarias para el fortalecimiento de la gestión social en la divulgación y promoción para el manejo adecuado de los residuos sólidos en las localidades del Distrito Capital.</t>
  </si>
  <si>
    <t>39111603;39111612;81101701</t>
  </si>
  <si>
    <t>SAP-034 Realizar la modernización y actualización  del servicio de alumbrado público en la infraestructura provenientes de zonas de cesión del Distrito Capital activos denominados Nivel 0 a monto agotable”</t>
  </si>
  <si>
    <t>SAL-012. Prestar los servicios profesionales a la Subdirección de Asuntos Legales desde el punto de vista jurídico dentro de los procesos de selección y contratación en general, en sus etapas precontractuales, contractuales y postcontractuales, teniendo en cuenta los requerimientos solicitados por las diferentes dependencias de la Unidad Administrativa Especial de Servicios Públicos -</t>
  </si>
  <si>
    <t>SAL-006. Prestar los servicios profesionales a la Subdirección de Asuntos Legales desde el punto de vista jurídico dentro de los procesos de selección y contratación en general, en sus etapas precontractuales, contractuales y postcontractuales, teniendo en cuenta los requerimientos solicitados por las diferentes dependencias de la Unidad Administrativa Especial de Servicios Públicos.</t>
  </si>
  <si>
    <t xml:space="preserve">SAL-007. Prestar los servicios profesionales a la Subdirección de Asuntos Legales desde el punto de vista jurídico dentro de los procesos de selección y contratación en general, en sus etapas precontractuales, contractuales y postcontractuales, teniendo en cuenta los requerimientos solicitados por las diferentes dependencias de la Unidad Administrativa Especial de Servicios Públicos. </t>
  </si>
  <si>
    <t xml:space="preserve">SAL-008. Prestar los servicios profesionales a la Subdirección de Asuntos Legales desde el punto de vista jurídico dentro de los procesos de selección y contratación en general, en sus etapas precontractuales, contractuales y postcontractuales teniendo en cuenta los requerimientos solicitados por las diferentes dependencias de la Unidad Administrativa Especial de Servicios Públicos. </t>
  </si>
  <si>
    <t>SAL-009. Prestar los servicios profesionales a la Subdirección de Asuntos Legales desde el punto de vista jurídico dentro de los procesos de selección y contratación en general, en sus etapas precontractuales, contractuales y postcontractuales teniendo en cuenta los requerimientos solicitados por las diferentes dependencias de la Unidad Administrativa  Especial de Servicios Públicos.</t>
  </si>
  <si>
    <t>SAL-010. Prestar los servicios profesionales a la Subdirección de Asuntos Legales desde el punto de vista jurídico dentro de los procesos de selección y contratación en general, en sus etapas precontractuales, contractuales y postcontractuales teniendo en cuenta los requerimientos solicitados por las diferentes dependencias de la Unidad Administrativa Especial de Servicios Públicos.</t>
  </si>
  <si>
    <t>SAL-011. Prestar los servicios profesionales a la Subdirección de Asuntos Legales desde el punto de vista jurídico dentro de los procesos de selección y contratación en general, en sus etapas precontractuales, contractuales y postcontractuales, teniendo en cuenta los requerimientos solicitados por las diferentes dependencias de la Unidad Administrativa Especial de Servicios Públicos.</t>
  </si>
  <si>
    <t>SAL-013. Prestar los servicios profesionales a la Subdirección de Asuntos Legales desde el punto de vista jurídico dentro de los procesos de selección y contratación en general, en sus etapas precontractuales, contractuales y postcontractuales, teniendo en cuenta los requerimientos solicitados por las diferentes dependencias de la Unidad Administrativa Especial de Servicios Públicos.</t>
  </si>
  <si>
    <t>SAL-014. Prestar los servicios profesionales para asesorar a la Subdirección de Asuntos Legales, dentro de los procesos de selección y contratación en general, en sus etapas precontractuales, contractuales y postcontractuales, teniendo en cuenta los requerimientos solicitados por las diferentes dependencias de la Unidad Administrativa Especial de Servicios Públicos.</t>
  </si>
  <si>
    <t>SAL-015. Prestar los servicios profesionales para asesorar a la Subdirección de Asuntos Legales, dentro de los procesos de selección y contratación en general, en sus etapas precontractuales, contractuales y postcontractuales, teniendo en cuenta los requerimientos solicitados por las diferentes dependencias de la Unidad Administrativa Especial de Servicios Públicos.</t>
  </si>
  <si>
    <t>SAL-016. Prestar los servicios profesionales a la Subdirección de Asuntos Legales desde el punto de vista técnico, dentro de los procesos de selección y contratación en general, en sus etapas precontractuales, contractuales y postcontractuales, teniendo en cuenta los requerimientos solicitados por las diferentes dependencias de la Unidad Administrativa Especial de Servicios Públicos.</t>
  </si>
  <si>
    <t>3580401</t>
  </si>
  <si>
    <t>SAL-017. Prestar los servicios profesionales a la Subdirección de Asuntos Legales para el apoyo en la elaboración, seguimiento y trámite de asuntos presupuestales del área, Plan Anual de Adquisiciones (PAA), revisión y trámite de cuentas de cobro, informes de ejecución, entre otros; así como el apoyo a la supervisión y revisión de los estudios previos, evaluaciones, procesos de selección y contratación en general que le sean asignados, en los aspectos financieros.</t>
  </si>
  <si>
    <t>3580402</t>
  </si>
  <si>
    <t>SAL-018. Prestar los servicios de apoyo a la gestión de la Subdirección de Asuntos Legales, desde el punto de vista operacional, con el fin de recopilar la información que se requiera para la actualización de las bases de datos y sistemas de información requeridos, así como el manejo de las plataformas que hacen parte en los procesos de contratación de la Unidad Administrativa Especial de Servicios Públicos - UAESP.</t>
  </si>
  <si>
    <t xml:space="preserve">SAL-021. Prestar los servicios profesionales jurídicos para apoyar los trámites de gestión postcontractual en temas de liquidaciones, terminaciones, entre otros, que se adelanten en la Subdirección de Asuntos Legales de la Unidad Administrativa Especial de Servicios Públicos - UAESP, así como las actuaciones administrativas y demás asuntos que de ello se deriven. </t>
  </si>
  <si>
    <t xml:space="preserve">SAL-022. Prestar los servicios profesionales jurídicos para apoyar los trámites de gestión postcontractual en temas de liquidaciones, terminaciones, entre otros, que se adelanten en la Subdirección de Asuntos Legales de la Unidad Administrativa Especial de Servicios Públicos - UAESP, así como las actuaciones administrativas y demás asuntos que de ello se deriven. </t>
  </si>
  <si>
    <t>SAL-023. Prestar los servicios profesionales para apoyar el componente económico o financiero, desde el perfil contable, en los distintos trámites que se requieran por los grupos que conforman la Subdirección de Asuntos Legales de la Unidad Administrativa Especial de Servicios Públicos UAESP.</t>
  </si>
  <si>
    <t>SAF-0041 prestar servicios de apoyo a la gestión a la subdirección administrativa y financiera de la uaesp desarrollando las actividades de conducción de vehículos automotores con la responsabilidad y habilidad requerida, procurando el uso adecuado del automotor asignado y cumpliendo con las normas de tránsito</t>
  </si>
  <si>
    <t>SAF-0042 Prestar los servicios profesionales para apoyar los procesos, así como el seguimiento en la ejecución, de los planes y programas del área de Talento Humano de la Subdirección Administrativa y Financiera de la UAESP.</t>
  </si>
  <si>
    <t>SAF-0043 Prestar servicios profesionales apoyando a la subdirección administrativa y financiera desde el punto de vista jurídico, con el fin de fortalecer la gestión institucional</t>
  </si>
  <si>
    <t>SAF-0044 Prestar los servicios de apoyo a la gestión a la Subdirección Administrativa y Financiera, en temas relacionados con el proceso de atención al ciudadano, de conformidad con lo dispuesto en la normatividad vigente y los procedimientos a establecidos por la entidad, contribuyendo en las labores de optimización de a gestión administrativa de la misma</t>
  </si>
  <si>
    <t>SAF-0045 Prestar servicios profesionales apoyando a la Subdirección Administrativa y Financiera en las actividades inherentes al servicio de atención al ciudadano de la Unidad Administrativa Especial de Servicios Públicos – UAESP con el fin de fortalecer la gestión institucional.</t>
  </si>
  <si>
    <t>SAF-0048 Prestar servicios de apoyo a la gestión de la Subdirección Administrativa y Financiera de la Unidad Administrativa Especial de Servicios Públicos – UAESP, desarrollando actividades relacionadas con la atención al ciudadano.</t>
  </si>
  <si>
    <t>39101615;46171602;42171611;55121703;55121704</t>
  </si>
  <si>
    <t>SAF-0051 Suministro e instalación de elementos de seguridad para dar cumplimiento al plan de emergencia requerido por el sistema de gestión de seguridad y salud en el trabajo en las instalaciones de la UAESP.</t>
  </si>
  <si>
    <t>SAF-0059 Prestar servicios de apoyo a la gestión al área de talento humano de la subdirección administrativa y financiera de la UAESP en la consolidación, unificación, organización y gestión de información de la dependencia.</t>
  </si>
  <si>
    <t>SAF-0060 Prestar servicios de apoyo a la gestión de la Subdirección Administrativa y Financiera de la UAESP, desarrollando actividades operativas y logísticas, que contribuyan a la gestión administrativa de la Unidad.</t>
  </si>
  <si>
    <t xml:space="preserve">SAF-0061 Prestar los servicios profesionales a la Subdirección Administrativa y Financiera especialmente en las actividades jurídicas requeridas en Apoyo Logístico </t>
  </si>
  <si>
    <t>SAF-0062 Prestar servicios de apoyo a la gestión de la Subdirección Administrativa y Financiera de la UAESP, desarrollando actividades operativas y logísticas, que contribuyan a la gestión administrativa de la Unidad.</t>
  </si>
  <si>
    <t>SAF-0063 Prestar servicios profesionales para apoyar a la Subdirección Administrativa y Financiera en el desarrollo de proyectos y programas relacionados con la gestión administrativa.</t>
  </si>
  <si>
    <t>SAF-0064 prestar servicios profesionales a la subdirección administrativa y financiera de la unidad administrativa especial de servicios públicos – uaesp, en la ejecución de actividades relacionadas con la gestión contable de la entidad.</t>
  </si>
  <si>
    <t>SAF-0065 Prestar servicios profesionales a la Subdirección Administrativa y Financiera de la UAESP, en el desarrollo de las actividades los planes y programas de la Gestión de Talento Humano.</t>
  </si>
  <si>
    <t>SAF-0066 Prestar servicios de apoyo a la gestión de la Subdirección Administrativa y Financiera de la Unidad Administrativa Especial de Servicios Públicos – UAESP, a través de la ejecución de actividades relacionadas con la organización física y digital de documentación, la actualización de los inventarios documentales en el formato FUID adoptado por la Unidad y el proceso de correspondencia.</t>
  </si>
  <si>
    <t>SAF-0067 Prestar servicios de apoyo a la gestión de la Subdirección Administrativa y Financiera de la Unidad Administrativa Especial de Servicios Públicos – UAESP, a través de la ejecución de actividades relacionadas con la organización física y digital de documentación, la actualización de los inventarios documentales en el formato FUID adoptado por la Unidad y el proceso de correspondencia.</t>
  </si>
  <si>
    <t>SAF-0068 Prestar servicios profesionales y de apoyo a la Subdirección Administrativa y Financiera de la Unidad Administrativa Especial de Servicios Públicos - UAESP, en la ejecución de las actividades relacionadas con la planeación, implementación, seguimiento y control de los procesos y/o procedimientos institucionales de gestión documental de la Entidad acorde a lo dispuesto en la normatividad archivística vigente.</t>
  </si>
  <si>
    <t>84131512</t>
  </si>
  <si>
    <t>SAF-0035 Adquisición de póliza de aviación para aeronaves piloteadas a distancia rpa´s -drones y  pólizas de Seguro Obligatorio de Accidentes de Tránsito, (SOAT) para los Vehículos propiedad de la UAESP.</t>
  </si>
  <si>
    <t>DG-003. Prestar los servicios profesionales para asesorar a la Dirección General de la Unidad Administrativa Especial de Servicios Públicos – UAESP en relacionamiento con grupos de interés, estrategias de participación ciudadana y gestión social, así como, la asesoría y acompañamiento en instancias interinstitucionales</t>
  </si>
  <si>
    <t xml:space="preserve">DG-004. Prestar servicios profesionales a la Dirección General de la UAESP en el acompañamiento, gestión, trámite y seguimiento de los procesos relacionados con el Concejo de Bogotá y el Congreso de la República, de acuerdo a lo establecido en los procedimientos que sobre la materia tenga implementado la entidad. </t>
  </si>
  <si>
    <t xml:space="preserve">RBL-0013 Prestar los servicios profesionales a la Subdirección de Recolección, Barrido y Limpieza en el seguimiento a la prestación del servicio público de aseo, especialmente en el componente de Limpieza Urbana (CLUS) en el Distrito Capital. </t>
  </si>
  <si>
    <t>80121700</t>
  </si>
  <si>
    <t>RBL-0014 Prestar los servicios profesionales de asesoría jurídica especializada en derecho constitucional, administrativo y de contratación estatal, en temas de alta complejidad en materia de disposición final de residuos, y de representación judicial a la Unidad Administrativa Especial de Servicios Públicos -  UAESP, que se consideren de especial complejidad, en los temas relacionados con la gestión integral de residuos sólidos en el Distrito Capital y la Región.</t>
  </si>
  <si>
    <t>RBL-0057 Prestar los servicios profesionales apoyando a  la Subdirección de Recolección, Barrido y Limpieza, en la articulación de las actividades técnico operativas necesarias para el fortalecimiento del servicio público de aseo en el Distrito y en el apoyo a la supervisión que se realiza a la interventoría del servicio de aseo.</t>
  </si>
  <si>
    <t>RBL-0059 Prestar los servicios profesionales a la Unidad Administrativa Especial de Servicios Públicos UAESP, para el seguimiento del servicio de aseo en sus componentes de recolección, barrido y limpieza CLUS, y todos los procesos relacionados con la gestión integral de los residuos sólidos del Distrito.</t>
  </si>
  <si>
    <t>Prestar los servicios técnicos y operativos a la Unidad Administrativa Especial de Servicios Públicos - UAESP, para apoyar a la supervisión en el seguimiento de las actividades de la Subdirección de Recolección, Barrido y Limpieza del servicio público aseo.</t>
  </si>
  <si>
    <t>RBL- 0022 Prestar los servicios profesionales a la Subdirección de Recolección, Barrido y Limpieza en el seguimiento a la prestación del servicio público de aseo, especialmente en el componente de corte de césped y poda de árboles en el Distrito Capital.</t>
  </si>
  <si>
    <t>SAL-058. Prestar los servicios profesionales para apoyar a partir del componente jurídico, la actualización del Sistema Integrado de Gestión, así como en la formulación y seguimiento de los compromisos registrados en las diferentes herramientas de control, que sean de competencia de la Subdirección de Asuntos Legales de la Unidad Administrativa Especial de Servicios Públicos – UAESP.</t>
  </si>
  <si>
    <t>81101701</t>
  </si>
  <si>
    <t>SA - 055 ESTUDIOS TECNICOS Y DISEÑO DE REDES ELECTRICAS PARA LA UNIDAD ADMINISTRATIVA ESPECIAL DE SERVICIOS PUBLICOS UAESP DE BOGOTA D.C.</t>
  </si>
  <si>
    <t>SAF-0013 Prestar servicios de apoyo a la gestión de la Subdirección Administrativa y Financiera de la Unidad Administrativa Especial de Servicios Públicos – UAESP, a través de la ejecución de actividades relacionadas con la organización física y digital de documentación, la actualización de los inventarios documentales en el formato FUID adoptado por la Unidad y el proceso de correspondencia.</t>
  </si>
  <si>
    <t>SAF-0015 Prestar servicios profesionales para apoyar a la Subdirección Administrativa y Financiera en la ejecución de los programas del Sistema de Seguridad y Salud en el Trabajo en el ámbito del riesgo psicosocial en el personal de la UAESP.</t>
  </si>
  <si>
    <t>SAF-0016 Prestar servicios de apoyo a la gestión de la Subdirección Administrativa y Financiera de la UAESP, desarrollando actividades relacionadas en el Sistema de Gestión de Seguridad y Salud en el Trabajo – SGSST de la Unidad y las normas que lo regulan.</t>
  </si>
  <si>
    <t>SAF-0018 Prestar servicios de apoyo a la gestión de la Subdirección Administrativa y Financiera de la Unidad Administrativa Especial de Servicios Públicos – UAESP, a través de la ejecución de actividades relacionadas con la organización física y digital de documentación, la actualización de los inventarios documentales en el formato FUID adoptado por la Unidad y el proceso de correspondencia.</t>
  </si>
  <si>
    <t>SAF-0019 Prestar servicios de apoyo a la gestión de la Subdirección Administrativa y Financiera de la Unidad Administrativa Especial de Servicios Públicos – UAESP, a través de la ejecución de actividades relacionadas con la organización física y digital de documentación, la actualización de los inventarios documentales en el formato FUID adoptado por la Unidad y el proceso de correspondencia.</t>
  </si>
  <si>
    <t>SAF-0020 Prestar servicios profesionales y de apoyo a la Subdirección Administrativa y Financiera, en la ejecución de las actividades relacionadas con los procedimientos institucionales de gestión documental acorde a lo dispuesto en la normatividad archivística vigente.</t>
  </si>
  <si>
    <t>SAF-0021 Prestar servicios de apoyo a la gestión de la Subdirección Administrativa y Financiera de la Unidad Administrativa Especial de Servicios Públicos – UAESP, a través de la ejecución de actividades relacionadas con la organización física y digital de documentación, la actualización de los inventarios documentales en el formato FUID adoptado por la Unidad y el proceso de correspondencia.</t>
  </si>
  <si>
    <t>SAF-0022 Prestar servicios de apoyo a la gestión de la Subdirección Administrativa y Financiera de la Unidad Administrativa Especial de Servicios Públicos – UAESP, a través de la ejecución de actividades relacionadas con la organización física y digital de documentación, la actualización de los inventarios documentales en el formato FUID adoptado por la Unidad y el proceso de correspondencia.</t>
  </si>
  <si>
    <t>SAF-0023 Prestar servicios de apoyo a la gestión de la Subdirección Administrativa y Financiera de la Unidad Administrativa Especial de Servicios Públicos – UAESP, a través de la ejecución de actividades relacionadas con la organización física y digital de documentación, la actualización de los inventarios documentales en el formato FUID adoptado por la Unidad y el proceso de correspondencia.</t>
  </si>
  <si>
    <t>SA-OPS-184 Prestar servicios de apoyo a la gestión en la Subdirección de Aprovechamiento para ejecutar las acciones encaminadas a la implementación de la Estrategia de cultura ciudadana "La basura no es basura" en los diferentes territorios de Bogotá, en articulación con el desarrollo de acciones afirmativas a la población recicladora de oficio, en el marco de la gestión de residuos sólidos.</t>
  </si>
  <si>
    <t>SAF-0077 Prestar servicios de apoyo a la gestión de la Subdirección Administrativa y Financiera de la Unidad Administrativa Especial de Servicios Públicos – UAESP, a través de la ejecución de actividades relacionadas con la organización física y digital de documentación, la actualización de los inventarios documentales en el formato FUID adoptado por la Unidad y el proceso de correspondencia.</t>
  </si>
  <si>
    <t>SAF-0078 Prestar servicios de apoyo a la gestión de la Subdirección Administrativa y Financiera de la Unidad Administrativa Especial de Servicios Públicos – UAESP, a través de la ejecución de actividades relacionadas con la organización física y digital de documentación, la actualización de los inventarios documentales en el formato FUID adoptado por la Unidad y el proceso de correspondencia.</t>
  </si>
  <si>
    <t>SAF-0079 Prestar servicios profesionales a la Subdirección Administrativa y Financiera de la Unidad Administrativa Especial de Servicios Públicos – UAESP, apoyando el proceso de gestión financiera.</t>
  </si>
  <si>
    <t>SAF-0080 Prestar servicios profesionales apoyando a la Subdirección Administrativa y Financiera en las actividades inherentes al servicio de atención al ciudadano de la Unidad Administrativa Especial de Servicios Públicos – UAESP con el fin de fortalecer la gestión institucional</t>
  </si>
  <si>
    <t>SAF-0082 Prestar servicios de apoyo a la Subdirección Administrativa y Financiera de la UAESP, apoyando en la ejecución de las actividades que conlleven a la optimización de la gestión administrativa de la misma</t>
  </si>
  <si>
    <t>SAF-0083 Prestar servicios de apoyo a la gestión de la Subdirección Administrativa y Financiera de la UAESP, desarrollando actividades operativas y logísticas, que contribuyan a la gestión administrativa de la Unidad.</t>
  </si>
  <si>
    <t>SAF-0084 Prestar servicios de apoyo técnico a la Subdirección Administrativa y Financiera, en el marco del Sistema General de Salud y Seguridad en el Trabajo, en la ejecución de actividades de prevención de COVID-19 y en temas relacionados con las condiciones de salud de los colaboradores de la entidad, a fin de garantizar el bienestar de los mismos.</t>
  </si>
  <si>
    <t>85121600;85121800;85122200;85101500</t>
  </si>
  <si>
    <t>SAF-0085 Prestar los servicios, en el desarrollo e implementación del sistema de seguridad y salud en el trabajo que se requieran, para adelantar la intervención y fortalecimiento de los programas de promoción y prevención requeridos para el personal de la unidad</t>
  </si>
  <si>
    <t>SAF-0085 prestar los servicios, en el desarrollo e implementación del sistema de seguridad y salud en el trabajo que se requieran, para adelantar la intervención y fortalecimiento de los programas de promoción y prevención requeridos para el personal de la unidad</t>
  </si>
  <si>
    <t>78102203;78102206</t>
  </si>
  <si>
    <t xml:space="preserve">SAF-0086 Contratar el  servicio de Correo urbano y nacional, correo electrónico certificado, mensajero motorizado urbano, servicio postexpress,  y demás envíos postales que genere la Unidad Administrativa Especial de Servicios Públicos trasportados vía superficie terrestre </t>
  </si>
  <si>
    <t>56101700</t>
  </si>
  <si>
    <t xml:space="preserve">SAF-0087 Adquisición de mobiliario para las oficinas administrativas de la Unidad Administrativa Especial de Servicio Públicos </t>
  </si>
  <si>
    <t>SAF-0088 Mantenimiento preventivo y correctivo del mobiliario existente en las oficinas administrativas de la Unidad Administrativa Especial de Servicios Públicos</t>
  </si>
  <si>
    <t>SAF-0089 Prestar Servicios Profesionales a la subdireccio´n administrativa y financiera de la Unidad Administrativa Especial de Servicios Pu´blicos – UAESP, brindando apoyo contable y financiero a las actividades relacionadas con la gestio´n y administracio´n del Talento Humano.</t>
  </si>
  <si>
    <t>92101501</t>
  </si>
  <si>
    <t>SAF-0091 Realizar el Contrato de Comisión donde se establecen las condiciones generales que regirán las relaciones que entre ellas surjan en virtud de los encargos que la Entidad Estatal confiera al COMISIONISTA COMPRADOR, para que esté actuando en nombre propio pero por cuenta de la Entidad Estatal, celebre operaciones a través de los sistemas de negociación administrados por la BMC, según lo permita su Reglamento de Funcionamiento y Operación, cuyo objeto será adquirir :“La prestación del servicio de vigilancia y seguridad privada de los bienes muebles e inmuebles de propiedad de la UAESP- Unidad Administrativa Especial de Servicios Públicos y de los que sea legalmente responsable, con una empresa legalmente constituida y autorizada por la Superintendencia de Vigilancia y Seguridad Privada, cuyas características técnicas se encuentran detalladas en las fichas técnicas y de conformidad con el procedimiento establecido en el reglamento de Funcionamiento y Operación de la Bolsa para el mercado de Compras Pública</t>
  </si>
  <si>
    <t>SA-OPS-149 Prestar apoyo técnico a la Subdirección de Aprovechamiento de la Unidad Administrativa Especial de Servicios Públicos -UAESP-, para implementar actividades de gestión de archivos de los proyectos operativos a cargo de la entidad y efectuar acciones de divulgación de la normatividad, políticas y lineamientos distritales en laPrestación del servicio público de aseo en las localidades de Bogotá y sus zonas rurales, en el marco de la formalización y acciones afirmativas desarrolladas por la subdirección.</t>
  </si>
  <si>
    <t>SA-OPS-150 Prestar Servicios profesionales a la Subdirección de Aprovechamiento para desarrollar los procesos de gestión territorial mediante la estrategia de Cultura Ciudadana “La Basura no es Basura”, la implementación de acciones afirmativas y la identificación y formalización de recicladores de oficio en el registro RURO.</t>
  </si>
  <si>
    <t>SA-OPS-151 Prestar servicios de apoyo a la gestión en la Subdirección de Aprovechamiento para ejecutar las acciones encaminadas a la implementación de la Estrategia de cultura ciudadana "La basura no es basura" en los diferentes territorios de Bogotá, en articulación con el desarrollo de acciones afirmativas a la población recicladora de oficio, en el marco de la gestión de residuos sólidos.</t>
  </si>
  <si>
    <t>SA-OPS-152 Prestar apoyo a la Subdirección de Aprovechamiento de la Unidad Administrativa Especial de Servicios Públicos -UAESP- para efectuar procesos de sensibilización en el área de influencia de las bodegas o ECAS a cargo de la UAESP, recolección, verificación y seguimiento a los datos relacionados con el aprovechamiento, atención a la población recicladora de oficio y apoyo en la administración de tales bodegas o ECAS.</t>
  </si>
  <si>
    <t>SA-OPS-153 Prestar servicios de apoyo a la gestión en la Subdirección de Aprovechamiento para ejecutar las acciones encaminadas a la implementación de la Estrategia de cultura ciudadana "La basura no es basura" en los diferentes territorios de Bogotá, en articulación con el desarrollo de acciones afirmativas a la población recicladora de oficio, en el marco de la gestión de residuos sólidos.</t>
  </si>
  <si>
    <t>SA-OPS-154 Prestar apoyo a la Subdirección de Aprovechamiento de la Unidad Administrativa Especial de Servicios Públicos -UAESP-, para apoyar en la construcción e implementación de la Política Pública del Servicio de Aseo, el Plan de Gestión Integral de Residuos Sólidos - PGIRS-, Plan de Ordenamiento Territorial -POT-, Residuos de la Demolición y Construcción -RCD- y en el modelo de aprovechamiento de acuerdo con lo establecido en el Plan de Desarrollo Distrital y los autos de la Honorable Corte Constitucional desde el componente de aprovechamiento en el Distrito Capital.</t>
  </si>
  <si>
    <t xml:space="preserve">SA-OPS-155 Prestar servicios profesionales a la Subdirección de Aprovechamiento, en la formulación e implementación de procesos y proyectos de aprovechamiento y tratamiento de residuos, en el marco de la política de economía circular y del manejo integral de residuos sólidos. </t>
  </si>
  <si>
    <t>SA-OPS-157 Prestar apoyo a la Subdirección de Aprovechamiento de la Unidad Administrativa Especial de Servicios Públicos -UAESP- para efectuar procesos de sensibilización en el área de influencia de las bodegas o ECAS a cargo de la UAESP, recolección, verificación y seguimiento a los datos relacionados con el aprovechamiento, atención a la población recicladora de oficio y apoyo en la administración de tales bodegas o ECAS.</t>
  </si>
  <si>
    <t>80111500;80161500;93141500</t>
  </si>
  <si>
    <t>SAF-0093 Prestar los servicios para la organización, desarrollo y logística de los eventos institucionales requeridos por la entidad en cumplimiento de los planes de bienestar social e incentivos del plan institucional de capacitación y apoyo a la gestión institucional</t>
  </si>
  <si>
    <t>72101506;72154010</t>
  </si>
  <si>
    <t>SAF-0094 Contratar el mantenimiento preventivo y correctivo integral, con suministro de repuestos del ascensor, a monto agotable, de la sede principal de la UAESP ubicado en la carrera 14 n° 53-80 de la ciudad de Bogota D.C.</t>
  </si>
  <si>
    <t>72101500;72102900</t>
  </si>
  <si>
    <t>SAF-0095 Realizar el mantenimiento y las reparaciones locativas  a monto agotable en las sedes de propiedad de la UAESP y aquellas por las que legalmente es responsable.</t>
  </si>
  <si>
    <t>78181502;78181503;78181507</t>
  </si>
  <si>
    <t>SAF-0096 Prestar el servicio de mantenimiento preventivo y correctivo integral, con suministro de repuestos y llantas a los vehículos que integran el parque automotor de la Unidad Administrativa Especial de Servicios Públicos – UAESP.</t>
  </si>
  <si>
    <t>84131500;84131600</t>
  </si>
  <si>
    <t>SAF-0097 Contratar el programa de seguros  que amparen los intereses patrimoniales actuales y futuros, así como los bienes de propiedad de la Unidad Administrativa Especial de Servicios Públicos – UAESP, que estén bajo su responsabilidad y custodia y aquellos que sean adquiridos para desarrollar sus funciones, la póliza de responsabilidad civil de servidores públicos para la Unidad Administrativa Especial de Servicios Públicos – UAESP que ampare la responsabilidad por actos o hechos no dolosos ocurridos en ejercicio de sus funciones y los gastos de defensa en materia disciplinaria, penal y fiscal que deban realizar en su ejercicio y demás seguros que requiera la Entidad.</t>
  </si>
  <si>
    <t>45101511;45101515</t>
  </si>
  <si>
    <t>Adquisición de impresoras térmicas para el proceso de carnetización de población recicladora de oficio que se encuentra en el Registro Único de Recicladores de Oficio-RURO- de la Unidad Administrativa Especial de Servicios Públicos-UAESP-.</t>
  </si>
  <si>
    <t>Prestar apoyo a la Subdirección de Aprovechamiento de la Unidad Administrativa Especial de Servicios Públicos -UAESP-, para efectuar procesos de sensibilización en el área de influencia de las bodegas o ECAS a cargo de la UAESP, recolección, verificación y seguimiento a los datos relacionados con el aprovechamiento, atención a la población recicladora de oficio y apoyo en la administración de tales bodegas o ECAS.</t>
  </si>
  <si>
    <t>Prestar los  servicios de apoyo a la de la Subdirección de Aprovechamiento, para apoyo en la administración y actualización de datos con el conjunto de metodologías, aplicaciones y tecnologías para reunir, depurar y transformar datos de los sistemas transaccionales en información estructurada que permitan suministrar información.</t>
  </si>
  <si>
    <t>Prestar los servicios de apoyo profesional a la Subdirección de Aprovechamiento de la Unidad Administrativa Especial de Servicios Públicos -UAESP-, para apoyo en la coordinación de la implementación de acciones afirmativas a la población recicladora de oficio, implementación de actividades de cultura ciudadana en el marco de la gestión de residuos sólidos e interlocución con los diferentes actores locales.</t>
  </si>
  <si>
    <t>Prestar los servicios de apoyo profesional a la Subdirección de Aprovechamiento de la Unidad Administrativa Especial de Servicios Públicos UAESP, paraRealizar acompañamiento en la implementación de acciones afirmativas a la población recicladora de oficio, implementación de actividades de cultura ciudadana en el marco de la gestión de residuos sólidos e interlocución con los diferentes actores locales.</t>
  </si>
  <si>
    <t>RBL - 0080 Prestar los servicios técnicos a la Unidad Administrativa Especial de Servicios Públicos, apoyando técnica y operativamente a la supervisión en el seguimiento de las actividades de la prestación del servicio público de aseo concesionadas mediante ASE.</t>
  </si>
  <si>
    <t>procesocontratacion@uaesp.gov.co</t>
  </si>
  <si>
    <t>RBL-0081 Prestar los servicios profesionales a la Subdirección de Recolección, Barrido y Limpieza apoyando a la supervisión en la revisión, control y seguimiento a las actividades realizadas por la interventoría del servicio público de aseo, así como en los aspectos técnicos y operativos relacionados con la prestación del servicio.</t>
  </si>
  <si>
    <t>RBL-0082 Prestar los servicios profesionales a la Subdirección de Recolección, Barrido y Limpieza apoyando a la supervisión en la revisión, control y seguimiento a las actividades realizadas por la interventoría del servicio público de aseo, así como en los aspectos técnicos y operativos relacionados con la prestación del servicio.</t>
  </si>
  <si>
    <t>SAF-113 Prestar servicios de apoyo a la gestión de la Subdirección Administrativa y Financiera de la Unidad Administrativa Especial de Servicios Públicos – UAESP, a través de la ejecución de actividades relacionadas con la organización física y digital de documentación, la actualización de los inventarios documentales en el formato FUID adoptado por la Unidad y el proceso de correspondencia.</t>
  </si>
  <si>
    <t>SAF-114 Prestar servicios de apoyo a la gestión de la Subdirección Administrativa y Financiera de la Unidad Administrativa Especial de Servicios Públicos – UAESP, a través de la ejecución de actividades relacionadas con la organización física y digital de documentación, la actualización de los inventarios documentales en el formato FUID adoptado por la Unidad y el proceso de correspondencia.</t>
  </si>
  <si>
    <t>SDF65-B-Prestar servicios profesionales en  áreas administrativas, economicas y/o financieras para realizar el apoyo a la Supervisión en el marco del desarrollo de contratos de Consultorías para la gestión de residuos a cargo de la Subdirección de Disposición final de la UAESP.</t>
  </si>
  <si>
    <t>76121500;76121600;76122300</t>
  </si>
  <si>
    <t>SDF66 - Separación, limpieza, tratamiento de los RPCC generados en la ciudad de Bogotá, que ingresan al punto limpio de la UAESP, transporte y disposición final de residuos pétreos no aprovechables en sitio autorizado</t>
  </si>
  <si>
    <t>SDF67 - EL PRESTADOR se obliga con EL USUARIO a prestar los siguientes servicios:i)Disposición final y tratamiento de los lixiviados de los residuos sólidos ordinarios provenientes del proceso de separación de los residuos mixtos de puntos críticos - RPC, y ii)ii) Disposición final y tratamiento de lixiviados de los residuos sólidos de puntos críticos que no son susceptibles de separación y tratamiento.Lo anterior conforme al reglamento técnico y operativo del CGR DOÑA JUANA S.A. ESP, de conformidad con lo establecido en el Contrato de Concesión 344 de 2010, la Resolución 724 de 2010 expedida por la UAESP, la Licencia Ambiental debidamente otorgada mediante Resoluciones número 1351 de 2014, 2211 y 2791 de 2008, 2320 de 2014 expedidas por la Corporación Autónoma Regional de Cundinamarca –CAR.</t>
  </si>
  <si>
    <t>RBL-0065 Apoyar la Unidad Administrativa Especial de Servicios Públicos UAESP - en las acciones necesarias para el fortalecimiento de la gestión social en la divulgación y promoción para el manejo adecuado de los residuos sólidos en las localidades del Distrito Capital.</t>
  </si>
  <si>
    <t>SAF-0069 Prestar servicios de apoyo a la gestión de la Subdirección Administrativa y Financiera de la Unidad Administrativa Especial de Servicios Públicos – UAESP, a través de la ejecución de actividades relacionadas con la organización física y digital de documentación, la actualización de los inventarios documentales en el formato FUID adoptado por la Unidad y el proceso de correspondencia.</t>
  </si>
  <si>
    <t>SAF-0070 Prestar servicios de apoyo a la gestión de la Subdirección Administrativa y Financiera de la Unidad Administrativa Especial de Servicios Públicos – UAESP, a través de la ejecución de actividades relacionadas con la organización física y digital de documentación, la actualización de los inventarios documentales en el formato FUID adoptado por la Unidad y el proceso de correspondencia.</t>
  </si>
  <si>
    <t>SAF-0071 Prestar servicios profesionales para apoyar a la Unidad Administrativa Especial de Servicios Públicos - UAESP, en los temas y proyectos de carácter técnico relacionados con la prestación de los servicios a cargo de la Unidad y su infraestructura.</t>
  </si>
  <si>
    <t>SAF-0072 Prestar servicios profesionales de apoyo a la Subdirección Administrativa y Financiera UAESP, en la ejecución de actividades relacionadas con el proceso de registro, revisión, parametrización, control y armonización de la información contable y financiera en el marco normativo de entidades del Gobierno, de acuerdo con las normas vigentes y en los aplicativos correspondientes.</t>
  </si>
  <si>
    <t>SAF-0073 Prestar servicios apoyo a la Subdirección Administrativa y Financiera de la UAESP en las actividades relacionadas con la información propia de la gestión financiera.</t>
  </si>
  <si>
    <t>SAF-0074 Prestar servicios de apoyo a la gestión a la Subdirección Administrativa y Financiera de la UAESP desarrollando las actividades de conducción de vehículos automotores con la responsabilidad y habilidad requerida, procurando el uso adecuado del automotor asignado y cumpliendo con las normas de tránsito.</t>
  </si>
  <si>
    <t xml:space="preserve">SAF-0099 Prestar servicios profesionales en la Subdirección Administrativa y Financiera en temas técnicos de estructuras en los proyectos constructivos que se adelantan en las sedes de La Uaesp. </t>
  </si>
  <si>
    <t>76121501;73161506</t>
  </si>
  <si>
    <t>SA-OPS-179 Arrendamiento de una máquina de Biorreactor para el sistema de tratamiento y aprovechamiento de Residuos Orgánicos</t>
  </si>
  <si>
    <t>3</t>
  </si>
  <si>
    <t>SA-OPS-158 Prestar apoyo a la Subdirección de Aprovechamiento de la Unidad Administrativa Especial de Servicios Públicos -UAESP- para efectuar procesos de sensibilización en el área de influencia de las bodegas o ECAS a cargo de la UAESP, recolección, verificación y seguimiento a los datos relacionados con el aprovechamiento, atención a la población recicladora de oficio y apoyo en la administración de tales bodegas o ECAS.</t>
  </si>
  <si>
    <t>SA-OPS-159 Prestar servicios de apoyo a la gestión en la Subdirección de Aprovechamiento para ejecutar las acciones encaminadas a la implementación de la Estrategia de cultura ciudadana "La basura no es basura" en los diferentes territorios de Bogotá, en articulación con el desarrollo de acciones afirmativas a la población recicladora de oficio, en el marco de la gestión de residuos sólidos.</t>
  </si>
  <si>
    <t>SA-OPS-185 Prestar servicios profesionales a la Subdirección de Aprovechamiento para ejecutar las acciones encaminadas a la implementación de la Estrategia de cultura ciudadana "La basura no es basura" en los diferentes territorios de Bogotá, en articulación con el desarrollo de acciones afirmativas a la población recicladora de oficio, en el marco de la gestión de residuos sólidos</t>
  </si>
  <si>
    <t>SA-OPS-186 Prestar servicios de apoyo a la gestión en la Subdirección de Aprovechamiento para la administración de las bodegas o ECAS y en procesos de sensibilización en el área de influencia a cargo de la UAESP, en temas como recolección, verificación y seguimiento de los datos relacionados con el aprovechamiento y en la atención a la población recicladora de oficio.</t>
  </si>
  <si>
    <t>SA-OPS-187 Prestar servicios de apoyo a la gestión en la Subdirección de Aprovechamiento para la administración de las bodegas o ECAS y en procesos de sensibilización en el área de influencia a cargo de la UAESP, en temas como recolección, verificación y seguimiento de los datos relacionados con el aprovechamiento y en la atención a la población recicladora de oficio.</t>
  </si>
  <si>
    <t>SA-OPS-188 Prestar servicios de apoyo a la gestión en la Subdirección de Aprovechamiento para la administración de las bodegas o ECAS y en procesos de sensibilización en el área de influencia a cargo de la UAESP, en temas como recolección, verificación y seguimiento de los datos relacionados con el aprovechamiento y en la atención a la población recicladora de oficio.</t>
  </si>
  <si>
    <t>OACRI-16. Prestar servicios profesionales a la Oficina de Comunicaciones y Relaciones Interinstitucionales, en el seguimiento y control de los flujos de informacion e indicadores que se deben presentar frente a los entes de control internos y externos</t>
  </si>
  <si>
    <t>OFICINA DE COMUNICACIONES Y RELACIONES INTERINSTITUCIONALES</t>
  </si>
  <si>
    <t>SSF-034 Prestar los servicios profesionales en el desarrollo, diseño e implementación del Sistema Único de Información Funerario – SUIF, y del Registro Único Funerario – RUF</t>
  </si>
  <si>
    <t xml:space="preserve">SDF61-B-Prestar servicios profesionales en  Antropología para realizar el apoyo a la Supervisión en el marco del desarrollo de contratos de Consultorías para la gestión de residuos a cargo de la Subdirección de Disposición final de la UAESP. </t>
  </si>
  <si>
    <t>SDF62-B-Prestar servicios profesionales en  áreas de ingenieria Sanitaria para realizar el apoyo a la Supervisión en el marco del desarrollo de contratos de Consultorías para la gestión de residuos a cargo de la Subdirección de Disposición final de la UAESP.</t>
  </si>
  <si>
    <t>SDF63-B-Prestar servicios profesionales en  áreas de ingenieria Ambiental para realizar el apoyo a la Supervisión en el marco del desarrollo de contratos de Consultorías para la gestión de residuos a cargo de la Subdirección de Disposición final de la UAESP.</t>
  </si>
  <si>
    <t>SDF64-B-Prestar servicios profesionales en Geología para realizar el apoyo a la supervisión en el marco de procesos, para la gestión de residuos a cargo de la Subdirección de Disposición final de la UAESP.</t>
  </si>
  <si>
    <t>RBL-0061 Apoyar la Unidad Administrativa Especial de Servicios Públicos UAESP - en las acciones necesarias para el fortalecimiento de la gestión social en la divulgación y promoción para el manejo adecuado de los residuos sólidos en las localidades del Distrito Capital.</t>
  </si>
  <si>
    <t>RBL-0063 Apoyar la Unidad Administrativa Especial de Servicios Públicos UAESP - en las acciones necesarias para el fortalecimiento de la gestión social en la divulgación y promoción para el manejo adecuado de los residuos sólidos en las localidades del Distrito Capital.</t>
  </si>
  <si>
    <t>SA-OPS-123 Prestar servicios profesionales para apoyar a la Subdirección de Aprovechamiento de la Unidad Administrativa Especial de Servicios Públicos – UAESP-, en la construcción e implementación de la política pública del servicio de aseo, el PGIRS y el POT, de acuerdo con lo establecido en el Plan de Desarrollo Distrital y los autos de la Honorable Corte Constitucional desde el componente de aprovechamiento en el Distrito Capital.</t>
  </si>
  <si>
    <t>SA-OPS-125 Prestar los servicios de apoyo profesional a la Subdirección de Aprovechamiento de la Unidad Administrativa Especial de Servicios Públicos -UAESP-, paraRealizar acompañamiento en la implementación de acciones afirmativas a la población recicladora de oficio, implementación de actividades de cultura ciudadana en el marco de la gestión de residuos sólidos e interlocución con los diferentes actores locales.</t>
  </si>
  <si>
    <t>SA-OPS-126 Prestar los servicios de apoyo a la de la Subdirección de Aprovechamiento, para apoyo en la administración y actualización de datos con el conjunto de metodologías, aplicaciones y tecnologías para reunir, depurar y transformar datos de los sistemas transaccionales en información estructurada que permitan suministrar información.</t>
  </si>
  <si>
    <t>SA-OPS-128 Prestar los servicios de apoyo profesional a la Subdirección de Aprovechamiento de la Unidad Administrativa Especial de Servicios Públicos -UAESP-, paraRealizar acompañamiento en la implementación de acciones afirmativas a la población recicladora de oficio, implementación de actividades de cultura ciudadana en el marco de la gestión de residuos sólidos e interlocución con los diferentes actores locales.</t>
  </si>
  <si>
    <t>SA-OPS-131 Prestar los servicios de apoyo profesional a la Subdirección de Aprovechamiento de la Unidad Administrativa Especial de Servicios Públicos -UAESP-, paraRealizar acompañamiento en la implementación de acciones afirmativas a la población recicladora de oficio, implementación de actividades de cultura ciudadana en el marco de la gestión de residuos sólidos e interlocución con los diferentes actores locales.</t>
  </si>
  <si>
    <t xml:space="preserve">Prestar los Servicios de apoyo a la Unidad Administrativa Especial de Servicios Públicos -UAESP- en el soporte jurídico y normativo de los proyectos y actividades relacionadas con el aprovechamiento de residuos sólidos, gestión social, implementación de acciones afirmativas y cultura ciudadana </t>
  </si>
  <si>
    <t>SA-OPS-086 Prestar los Servicios de apoyo a la Unidad Administrativa Especial de Servicios Públicos -UAESP- en la atención personalizada, telefónica y/o virtual; gestionar las peticiones, solicitudes reclamos y tramites de la población recicladora de oficio y organizaciones de recicladores, así como apoyar la caracterización de la información obtenida en los puntos de atención establecidos por la entidad.</t>
  </si>
  <si>
    <t xml:space="preserve">SA-OPS-092 Prestar los servicios profesionales a la Subdirección de Aprovechamiento de la Unidad Administrativa Especial de Servicios Públicos -UAESP-, en lo correspondiente a la planeación, el seguimiento a la implementación y el desarrollo de actividades de aprovechamiento en el marco del servicio público de aseo conforme a lo establecido en las normas, políticas y planes distritales y/o nacionales. </t>
  </si>
  <si>
    <t>Prestar los servicios de apoyo profesional a la Subdirección de Aprovechamiento de la Unidad Administrativa Especial de Servicios Públicos UAESP, para realizar acompañamiento en la implementación de acciones afirmativas a la población recicladora de oficio, implementación de actividades de cultura ciudadana en el marco de la gestión de residuos sólidos e interlocución con los diferentes actores locales.</t>
  </si>
  <si>
    <t>Prestar los servicios de apoyo a la Subdirección de Aprovechamiento de la Unidad Administrativa Especial de servicios Públicos -UAESP-, en el apoyo a la coordinación, inteligencia empresarial, planeación y revisión de las respuestas de la subdirección a entidades públicas y privadas y entidades de control político, además de liderar el seguimiento a las actividades y/o procesos relacionados con la planeación de las actividades generales de la subdirección.</t>
  </si>
  <si>
    <t>SA-OPS-138 Prestar apoyo a la Subdirección de Aprovechamiento de la Unidad Administrativa Especial de Servicios Públicos -UAESP-, para efectuar procesos de sensibilización en el área de influencia de las bodegas o ECAS a cargo de la UAESP, recolección, verificación y seguimiento a los datos relacionados con el aprovechamiento, atención a la población recicladora de oficio y apoyo en la administración de tales bodegas o ECAS.</t>
  </si>
  <si>
    <t>SA-OPS-139 Prestar apoyo a la Subdirección de Aprovechamiento de la Unidad Administrativa Especial de Servicios Públicos -UAESP-, para efectuar procesos de sensibilización en el área de influencia de las bodegas o ECAS a cargo de la UAESP, recolección, verificación y seguimiento a los datos relacionados con el aprovechamiento, atención a la población recicladora de oficio y apoyo en la administración de tales bodegas o ECAS.</t>
  </si>
  <si>
    <t>SA-OPS-140 Prestar apoyo a la Subdirección de Aprovechamiento de la Unidad Administrativa Especial de Servicios Públicos -UAESP- para efectuar procesos de sensibilización en el área de influencia de las bodegas o ECAS a cargo de la UAESP, recolección, verificación y seguimiento a los datos relacionados con el aprovechamiento, atención a la población recicladora de oficio y apoyo en la administración de tales bodegas o ECAS.</t>
  </si>
  <si>
    <t>SA-OPS-148 Prestar apoyo a la Subdirección de Aprovechamiento de la Unidad Administrativa Especial de Servicios Públicos -UAESP- para efectuar procesos de sensibilización en el área de influencia de las bodegas o ECAS a cargo de la UAESP, recolección, verificación y seguimiento a los datos relacionados con el aprovechamiento, atención a la población recicladora de oficio y apoyo en la administración de tales bodegas o ECAS.</t>
  </si>
  <si>
    <t>Prestar los servicios de apoyo técnico a la Subdirección de Recolección, Barrido y Limpieza, realizando actividades tendientes a fortalecer la gestión administrativa, gestión documental y gestión del Sistema Distrital de Quejas y Soluciones, de los procesos relacionados con el seguimiento a la prestación del servicio de aseo en el Distrito.</t>
  </si>
  <si>
    <t>Prestar los servicios profesionales apoyando a la Unidad Administrativa Especial de Servicios Públicos  UAESP  en el seguimiento del servicio de aseo en sus componentes de recolección, barrido y limpieza CLUS, y todos los procesos relacionados con la gestión integral de los residuos sólidos en el Distrito.</t>
  </si>
  <si>
    <t>SDF03-Prestar servicios profesionales para apoyar a la Subdirección de Disposición Final en las actividades asociadas a los temas administrativos, presupuestales  y de gestión que requiera el área.</t>
  </si>
  <si>
    <t>SDF04-Prestar servicios profesionales de apoyo a la subdirección de disposición final en los temas de planeación, gestión presupuestal y seguimiento a la inversión.</t>
  </si>
  <si>
    <t>SDF07-Prestar servicios profesionales a la Subdirección de Disposición Final para apoyar en el acompañamiento de las actividades en proyectos de fortalecimiento social, mediante la gestión técnica, logística y administrativa que requiera el área.</t>
  </si>
  <si>
    <t>SDF09-Prestación de servicio de apoyo asistencial a la UAESP, en las actividades de seguimiento y control en el componente de puntos críticos y/o arrojo clandestino en el proceso de descargue, separación, traslado, tratamiento, acopio de materiales limpios y envió de rechazos a celda.</t>
  </si>
  <si>
    <t>Prestar servicios profesionales de soporte técnico, desarrollo e implementación de nuevas funcionalidades y ajustes en el sistema de información SICAPITAL administrado por la Oficina TIC de la UAESP</t>
  </si>
  <si>
    <t>Prestar servicios profesionales de soporte técnico, desarrollo de nuevos requerimientos e implementación en el sistema de información SICAPITAL administrado por la Oficina TIC de la UAESP</t>
  </si>
  <si>
    <t xml:space="preserve">TIC - 0019 Prestar servicios profesionales para brindar apoyo en lo relacionado con la política de Gobierno Digital de la Oficina Tic de la Unidad Administrativa Especial de Servicios Públicos - UAESP  </t>
  </si>
  <si>
    <t xml:space="preserve">TIC - 0020 Prestar apoyo en las respuestas y soluciones en temas relacionados con tecnología al personal de la Unidad Administrativa Especial de Servicios Públicos </t>
  </si>
  <si>
    <t xml:space="preserve">TIC - 0021 Prestar servicios profesionales apoyando desde el punto de vista técnico la ejecución de asuntos relacionados con los recursos informáticos y de telecomunicaciones administrados por la Oficina TIC de la Unidad Administrativa Especial de Servicios Públicos  </t>
  </si>
  <si>
    <t xml:space="preserve">TIC - 0022 Prestar servicios profesionales en todo lo relacionado con la elaboración y revisión de aspectos técnicos de la Oficina de Tic </t>
  </si>
  <si>
    <t xml:space="preserve">Prestar servicios profesionales de acompañamiento técnico en las etapas precontractual, ejecución y postcontractual de los proyectos y/o contratos que estén a cargo de la Oficina de TIC de la UAESP </t>
  </si>
  <si>
    <t>RBL-0062 Apoyar la Unidad Administrativa Especial de Servicios Públicos UAESP - en las acciones necesarias para el fortalecimiento de la gestión social en la divulgación y promoción para el manejo adecuado de los residuos sólidos en las localidades del Distrito Capital.</t>
  </si>
  <si>
    <t>RBL-0064 Apoyar la Unidad Administrativa Especial de Servicios Públicos UAESP - en las acciones necesarias para el fortalecimiento de la gestión social en la divulgación y promoción para el manejo adecuado de los residuos sólidos en las localidades del Distrito Capital.</t>
  </si>
  <si>
    <t>RBL-0066 Apoyar la Unidad Administrativa Especial de Servicios Públicos UAESP - en las acciones necesarias para el fortalecimiento de la gestión social en la divulgación y promoción para el manejo adecuado de los residuos sólidos en las localidades del Distrito Capital.</t>
  </si>
  <si>
    <t>RBL-0068 Apoyar la Unidad Administrativa Especial de Servicios Públicos UAESP - en las acciones necesarias para el fortalecimiento de la gestión social en la divulgación y promoción para el manejo adecuado de los residuos sólidos en las localidades del Distrito Capital.</t>
  </si>
  <si>
    <t>RBL-0070 Prestar los servicios de apoyo técnico y operativo a la Unidad Administrativa Especial de Servicios Públicos, en las acciones necesarias para el fortalecimiento de la gestión social en la divulgación y promoción para el manejo adecuado de los residuos sólidos en las localidades del Distrito Capital.</t>
  </si>
  <si>
    <t>RBL-0072 Prestar los servicios de apoyo técnico y operativo a la Unidad Administrativa Especial de Servicios Públicos, en las acciones necesarias para el fortalecimiento de la gestión social en la divulgación y promoción para el manejo adecuado de los residuos sólidos en las localidades del Distrito Capital.</t>
  </si>
  <si>
    <t>RBL-0074Prestar los servicios profesionales en el desarrollo, creación y apoyo logístico, visual y digital de los tópicos y temáticas objeto de divulgación y presentación por parte de la Unidad Administrativa Especial de Servicios Públicos, según los lineamientos establecidos.</t>
  </si>
  <si>
    <t>80101500;80101600;80161500</t>
  </si>
  <si>
    <t>Realizar la caracterización física, química y biológica de los residuos sólidos orgánicos y plásticos generados en las 20 localidades de la ciudad de Bogotá, orientada al diseño de sistemas de tratamiento y valorización de residuos orgánicos y plásticos en la ciudad mediante procesos físicos o de recuperación energética.</t>
  </si>
  <si>
    <t>Licitación pública</t>
  </si>
  <si>
    <t>SA-OPS-189 Prestar los servicios de apoyo a la Subdirección de Aprovechamiento, para implementar procesos de fortalecimiento a las organizaciones de recicladores de oficio, promover la formalización de acuerdo al Decreto 596 de 2016 y la implementación de acciones afirmativas establecidas por las sentencias de la Honorable Corte Constitucional.</t>
  </si>
  <si>
    <t>SA-OPS-190 Prestar los servicios de apoyo a la gestión a la Subdirección de Aprovechamiento, en la administración depuración, trasformación, actualización de datos con diferentes metodologías, aplicaciones y tecnologías; y a partir de los sistemas transaccionales de la UAESP generar información y reportes.</t>
  </si>
  <si>
    <t>SA-OPS-191 Prestar servicios de apoyo a la gestión en la Subdirección de Aprovechamiento para ejecutar las acciones encaminadas a la implementación de la Estrategia de cultura ciudadana "La basura no es basura" en los diferentes territorios de Bogotá, en articulación con el desarrollo de acciones afirmativas a la población recicladora de oficio, en el marco de la gestión de residuos sólidos.</t>
  </si>
  <si>
    <t>SA-OPS-192 Prestar servicios de apoyo a la gestión en la Subdirección de Aprovechamiento para ejecutar las acciones encaminadas a la implementación de la Estrategia de cultura ciudadana "La basura no es basura" en los diferentes territorios de Bogotá, en articulación con el desarrollo de acciones afirmativas a la población recicladora de oficio, en el marco de la gestión de residuos sólidos.</t>
  </si>
  <si>
    <t>SSF-017 Prestar servicios de apoyo en actividades relacionadas con el control, organización, clasificación y archivo de los documentos físicosgenerados y recibidos por la prestación de los servicios funerarios a cargo de  la SSFAP</t>
  </si>
  <si>
    <t>Prestar los servicios profesionales a la Subdirección de Servicios Funerarios y Alumbrado Público, desde el ámbito jurídico y administrativo a cargo del área</t>
  </si>
  <si>
    <t>SSF-022 Prestar los servicios profesionales en la Subdirección de Servicios Funerarios y Alumbrado Público,, para realizar el acompañamiento jurídico y legal a losbeneficiarios y usuarios de los servicios funerarios. en los Cementerios propiedad del Distrito</t>
  </si>
  <si>
    <t xml:space="preserve">SSF-024 Prestar los servicios profesionales a la Subdirección de Servicios Funerarios y Alumbrado Público, para apoyar técnicamente y desde el componente sanitario las actividades de gestión y seguimiento relacionadas con la prestación de los servicios funerarios en los Cementerios de propiedad del Distrito. </t>
  </si>
  <si>
    <t>SAP-003 Prestar los servicios profesionales para apoyar jurídicamente las actividades y/o gestiones necesarias para la prestación del Servicio de Alumbrado Público en el Distrito Capital, a cargo Subdirección de Servicios Funerarios y Alumbrado Público.</t>
  </si>
  <si>
    <t>SAP-004 Prestar los servicios de apoyo en el archivo virtual  de alumbrado público en el  Sistema de Gestión Documental Orfeo de la Subdirección de Servicio Funerario y Alumbrado Público – SSFAP.</t>
  </si>
  <si>
    <t xml:space="preserve">TIC - 0024 Prestar servicios profesionales en el seguimiento de los proyectos TI de la Oficina de TIC de la UAESP </t>
  </si>
  <si>
    <t>Prestar servicios de apoyo en el seguimiento de los inventarios y plataformas tecnológicas que se encuentren a cargo de la Unidad Administrativa Especial de Servicios Públicos – UAESP</t>
  </si>
  <si>
    <t>SAF-0005 Prestar servicios profesionales para apoyar a la Subdirección Administrativa y Financiera de la Unidad Administrativa Especial de Servicios Públicos – UAESP en el fortalecimiento de la gestión del talento humano</t>
  </si>
  <si>
    <t>SDF10-Prestación de servicio de apoyo asistencial a la UAESP, en las actividades de seguimiento y control en el componente de puntos críticos y/o arrojo clandestino en el proceso de descargue, separación, traslado, tratamiento, acopio de materiales limpios y envió de rechazos a celda.</t>
  </si>
  <si>
    <t>SDF11-Prestar servicios profesionales a la Subdirección de Disposición final de la UAESP apoyando el seguimiento y la gestión de residuos en Doña Juana, para la operación en celda, estabilidad de taludes y aspectos geotécnicos.</t>
  </si>
  <si>
    <t>SDF12-Prestar servicios profesionales a la Subdirección de Disposición final de la UAESP, desde el componente técnico en topografia las actividades de control, gestión, seguimiento del servicio y actividades complementarias.</t>
  </si>
  <si>
    <t>SDF13-Prestar servicios profesionales a la Subdirección de Disposición final de la UAESP apoyando el seguimiento  de la operación de los sistemas de tratamiento de lixiviados y la gestión de residuos en Doña Juana.</t>
  </si>
  <si>
    <t>SDF18-Apoyar a la Subdirección de Disposición Final brindando soporte técnico y administrativo en actividades culturales, ludicas y deportivas que se desarrollen en el marco del Plan de Gestión Social de la Unidad en zona de influencia donde UAESP realice actividades.</t>
  </si>
  <si>
    <t>SDF20-Prestar servicios profesionales a la Subdirección de Disposición Final de la UAESP para apoyar desde el componente de ingeniería, el seguimiento y control en la gestión de separación, tratamiento y aprovechamiento de residuos sólidos.</t>
  </si>
  <si>
    <t>SDF23-Prestar servicios profesionales para apoyar a la Subdirección de Disposición Final en las actividades asociadas a los temas administrativos y de gestión que requiera el área.</t>
  </si>
  <si>
    <t>SDF24-Prestar servicios profesionales a la Subdirección de Disposición Final de la UAESP apoyando la gestión de los componentes económicos,  financieros y administrativos del área.</t>
  </si>
  <si>
    <t>SDF25-Prestar los servicios profesionales de apoyo a la gestión en la Subdirección de Disposición Final desde el componente operativo y técnico en todo lo relacionado con la maquinaria, vehículos y equipos existentes en la operación diaria en celda del Relleno sanitario del poligono licenciado.</t>
  </si>
  <si>
    <t>SDF26-Prestar apoyo en servicios técnicos para el seguimiento y control en proyectos de manejo, separación de RPCC y tratamiento de RCD en actividades misionales de la Subdirección de Disposición Final de la Unidad Administrativa Especial de Servicios Públicos.</t>
  </si>
  <si>
    <t>SDF29-Prestar servicios profesionales a la Subdirección de Disposición final de la UAESP, para apoyar desde el componente técnico y ambiental en las actividades de gestión y seguimiento de las fichas de Plan de Manejo Ambiental y control de pesaje.</t>
  </si>
  <si>
    <t xml:space="preserve">SDF31-Prestar los servicios profesionales en el componente jurídico relacionado con predios, licencia ambiental y demás requerimientos en seguimiento y control de las operaciones desarrolladas en los predios Doña Juana, en coordinación con la Subdirección de Asuntos Legales. </t>
  </si>
  <si>
    <t>SDF32-Prestar los servicios profesionales a la Subdirección de Disposición Final, apoyando en el desarrollo de políticas, planes y/o programas que contribuyan a la ejecución del Plan de Gestión Social, así como en el seguimiento de las fichas sociales del Plan de manejo Ambiental.</t>
  </si>
  <si>
    <t>SDF33-Prestar servicios profesionales a la Subdirección de Disposición Final, apoyando en formulación de proyectos productivos para manejo de ovinos, semovientes, caninos, en temas de lombricultura, compostaje y seguimiento a los establecidos dentro del Plan de Gestión Social y el PGIRS, así como seguimiento a Fichas Sociales.</t>
  </si>
  <si>
    <t>Prestar servicios profesionales para apoyar a la Subdirección de Aprovechamiento de la Unidad Administrativa Especial de Servicios Públicos – UAESP, en la construcción e implementación de la política pública del servicio de aseo, el PGIRS y el POT, de acuerdo con lo establecido en el Plan de Desarrollo Distrital y los autos de la Honorable Corte Constitucional desde el componente de aprovechamiento en el Distrito Capital.</t>
  </si>
  <si>
    <t>SA-OPS-112 Prestar servicios profesionales para apoyar a la Subdirección de Aprovechamiento de la Unidad Administrativa Especial de Servicios Públicos – UAESP-, en la construcción e implementación de la política pública del servicio de aseo, el PGIRS y el POT, de acuerdo con lo establecido en el Plan de Desarrollo Distrital y los autos de la Honorable Corte Constitucional desde el componente de aprovechamiento en el Distrito Capital.</t>
  </si>
  <si>
    <t>Prestar servicios profesionales a la Subdirección de Aprovechamiento de la Unidad Administrativa Especial de Servicios Públicos -UAESP-, para apoyar en la construcción e implementación de la Política Pública del Servicio de Aseo, el Plan de Gestión Integral de Residuos Sólidos - PGIRS-, Plan de Ordenamiento Territorial -POT-, Residuos de la Demolición y Construcción -RCD- y en el modelo de aprovechamiento de acuerdo con lo establecido en el Plan de Desarrollo Distrital y los autos de la Honorable Corte Constitucional desde el componente de aprovechamiento en el Distrito Capital.</t>
  </si>
  <si>
    <t>SA-OPS-116 Prestar servicios profesionales para apoyar a la Subdirección de Aprovechamiento de la Unidad Administrativa Especial de Servicios Públicos – UAESP-, en la construcción e implementación de la política pública del servicio de aseo, el PGIRS y el POT, de acuerdo con lo establecido en el Plan de Desarrollo Distrital y los autos de la Honorable Corte Constitucional desde el componente de aprovechamiento en el Distrito Capital.</t>
  </si>
  <si>
    <t>SA-OPS-117 Prestar los servicios de apoyo profesional a la Subdirección de Aprovechamiento de la Unidad Administrativa Especial de Servicios Públicos -UAESP-, paraRealizar acompañamiento en la implementación de acciones afirmativas a la población recicladora de oficio, implementación de actividades de cultura ciudadana en el marco de la gestión de residuos sólidos e interlocución con los diferentes actores locales.</t>
  </si>
  <si>
    <t>SAP-017 Prestar los servicios profesionales en   apoyo a SSFAP  desde el componente social,  en lo relacionado con la prestación del servicio de alumbrado público.</t>
  </si>
  <si>
    <t>SA-OPS-122 Prestar servicios profesionales a la Subdirección de Aprovechamiento de la Unidad administrativa Especial de Servicios Públicos -UAESP-, para apoyar la coordinación de las relaciones institucionales y gestionar la consecución de fuentes de financiamiento nacionales e internacionales para apoyar los proyectos de la subdirección, tendientes a fortalecer el modelo de aprovechamiento de Residuos Sólidos y las acciones afirmativas de acuerdo con lo establecido en el Plan de Desarrollo Distrital y los autos de la Honorable Corte Constitucional desde el componente de aprovechamiento en el Distrito Capital.</t>
  </si>
  <si>
    <t xml:space="preserve">SA-OPS-124 Prestar servicios de apoyo a la gestión de la Subdirección de Aprovechamiento, en la implementación de procesos y proyectos de aprovechamiento y tratamiento de residuos, en el marco de la política de economía circular y del manejo integral de residuos sólidos. </t>
  </si>
  <si>
    <t>SA-OPS-127 Prestar servicios de apoyo a la Subdirección de Aprovechamiento de la Unidad Administrativa Especial de Servicios Públicos – UAESP-, apoyando la formulación e implementación de procesos de aprovechamiento y tratamiento de residuos en el marco de la política de economía circular y del manejo integral de residuos sólidos, así como lo establecido en el Plan de Desarrollo Distrital, las normas de aprovechamiento y los autos de la Honorable Corte Constitucional desde el componente de aprovechamiento en el Distrito Capital.</t>
  </si>
  <si>
    <t>SA-OPS-129 Prestar los servicios de apoyo a la gestión mediante la atención presencial, telefónica y/o virtual, gestionando las peticiones, solicitudes, reclamos y trámites de los ciudadanos, población recicladora de oficio y organizaciones de recicladores, así como en la caracterización de la información obtenida en los puntos de atención establecidos por la entidad.</t>
  </si>
  <si>
    <t>SA-OPS-130 Prestar los servicios de apoyo profesional a la Subdirección de Aprovechamiento de la Unidad Administrativa Especial de Servicios Públicos- UAESP-, paraRealizar acompañamiento en la implementación de acciones afirmativas a la población recicladora de oficio, implementación de actividades de cultura ciudadana en el marco de la gestión de residuos sólidos e interlocución con los diferentes actores locales.</t>
  </si>
  <si>
    <t>SA-OPS-134 Prestar los servicios de apoyo a la Subdirección de Aprovechamiento de la Unidad Administrativa Especial de Servicios Públicos -UAESP-, paraRealizar acompañamiento en la implementación de acciones afirmativas a la población recicladora de oficio, implementación de actividades de cultura ciudadana en el marco de la gestión de residuos sólidos e interlocución con los diferentes actores locales.</t>
  </si>
  <si>
    <t>SA-OPS-135 Prestar los servicios de apoyo profesional a la Subdirección de Aprovechamiento de la Unidad Administrativa Especial de Servicios Públicos -UAESP-, paraRealizar acompañamiento en la implementación de acciones afirmativas a la población recicladora de oficio, implementación de actividades de cultura ciudadana en el marco de la gestión de residuos sólidos e interlocución con los diferentes actores locales.</t>
  </si>
  <si>
    <t>SA-OPS-136 Prestar Servicios profesionales a la Subdirección de Aprovechamiento para desarrollar los procesos de gestión territorial mediante la estrategia de Cultura Ciudadana “La Basura no es Basura”, la implementación de acciones afirmativas y la identificación y formalización de recicladores de oficio en el registro RURO.</t>
  </si>
  <si>
    <t>SA-OPS-137 Prestar los servicios de apoyo a la Subdirección de Aprovechamiento de la Unidad Administrativa Especial de Servicios Públicos -UAESP-, paraRealizar acompañamiento en la implementación de acciones afirmativas a la población recicladora de oficio, implementación de actividades de cultura ciudadana en el marco de la gestión de residuos sólidos e interlocución con los diferentes actores locales.</t>
  </si>
  <si>
    <t>SA-OPS-141 Prestar apoyo a la Subdirección de Aprovechamiento de la Unidad Administrativa Especial de Servicios Públicos -UAESP- para efectuar procesos de sensibilización en el área de influencia de las bodegas o ECAS a cargo de la UAESP, recolección, verificación y seguimiento a los datos relacionados con el aprovechamiento, atención a la población recicladora de oficio y apoyo en la administración de tales bodegas o ECAS.</t>
  </si>
  <si>
    <t>SA-OPS-142 Prestar servicios profesionales a la Subdirección de Aprovechamiento, en la formulación de iniciativas de emprendimiento en el marco del reciclaje y de la economía circular en el componente de RCD proveniente de pequeños generadores en el Distrito Capital incluido su aprovechamiento y separación in situ de los puntos críticos y/o de arrojo clandestino en la ciudad de Bogotá.</t>
  </si>
  <si>
    <t>SA-OPS-143 Prestar apoyo a la Subdirección de Aprovechamiento de la Unidad Administrativa Especial de Servicios Públicos -UAESP- para efectuar procesos de sensibilización en el área de influencia de las bodegas o ECAS a cargo de la UAESP, recolección, verificación y seguimiento a los datos relacionados con el aprovechamiento, atención a la población recicladora de oficio y apoyo en la administración de tales bodegas o ECAS.</t>
  </si>
  <si>
    <t>43232300</t>
  </si>
  <si>
    <t>SA-075 Realizar el diseño del sistema de modernización para captura de datos del Registro Único de Recicladores de Oficio -RURO- y Registro Único de Organizaciones de Recicladores -RUOR- de la Subdirección de Aprovechamiento (interfaces de usuarios, arquitectura de datos y visualización automática de información)</t>
  </si>
  <si>
    <t>25101600</t>
  </si>
  <si>
    <t>SA-078 Adquisición de vehículos con energías convencionales para sustituir los Vehículos de Tracción Humana -VTH- operados por los recicladores de oficio</t>
  </si>
  <si>
    <t>25101500</t>
  </si>
  <si>
    <t>SA-079 Contratación de flotilla para las áreas misionales recorridos y visitas a bodegas, proyectos y actividades sociales y técnicas</t>
  </si>
  <si>
    <t>53101800;53102500;53103100;53102700</t>
  </si>
  <si>
    <t>SA-080 Adquisición de material distintivo de la Unidad Administrativa Especial de Servicios Públicos -UAESP- y servicios logísticos para desarrollar eventos y/o actividades de posicionamiento de la misma</t>
  </si>
  <si>
    <t>55101500;55111500;55111600</t>
  </si>
  <si>
    <t>SA-081 Adquisición de material pedagógico para el desarrollo de actividades de formación acompañamiento y seguimiento en el manejo de residuos sólidos y formalización de recicladores y organizaciones</t>
  </si>
  <si>
    <t>72121501;80101602</t>
  </si>
  <si>
    <t>SA-167 Crear el Programa Distrital de Incentivos y Apoyos Concertados para apoyar pecuniariamente iniciativas dirigidas y presentadas por las Organizaciones de Recicladores de Oficio, como acciones afirmativas, relacionadas con la actividad del reciclaje, para incentivar la producción, creación, formación, innovación e investigación en el campo del reciclaje y aprovechamiento, desde su propia iniciativa, con base en lo ordenado por la Corte Constitucional sobre el particular.</t>
  </si>
  <si>
    <t>SAL-027. Prestar los servicios profesionales desde el punto de vista jurídico para ejercer la representación judicial, extrajudicial, y administrativa de la Entidad, así como fortalecer la gestión jurídica en los temas de derecho administrativo.</t>
  </si>
  <si>
    <t>SA-OPS-119 Prestar servicios profesionales a la Subdirección de Aprovechamiento de la Unidad Administrativa Especial de Servicios Públicos – UAESP-, apoyando la formulación e implementación de procesos de aprovechamiento y tratamiento de residuos en el marco de la política de economía circular y del manejo integral de residuos sólidos, así como lo establecido en el Plan de Desarrollo Distrital, las normas de aprovechamiento y los autos de la Honorable Corte Constitucional desde el componente de aprovechamiento en el Distrito Capital.</t>
  </si>
  <si>
    <t>RBL.0038 Prestar los servicios profesionales a la Subdirección de Recolección, Barrido y Limpieza de la Unidad Administrativa Especial de Servicios Públicos - UAESP, en el apoyo a la supervisión, especialmente en el seguimiento de los componentes comerciales y financieros del esquema de prestación del servicio público de aseo en el Distrito Capital.</t>
  </si>
  <si>
    <t>RBL-0042 Apoyar la Unidad Administrativa Especial de Servicios Públicos UAESP - en las acciones necesarias para el fortalecimiento de la gestión social en la divulgación y promoción para el manejo adecuado de los residuos sólidos en las localidades del Distrito Capital.</t>
  </si>
  <si>
    <t>SAF-0039 Prestar servicios de apoyo a la gestión de la Subdirección Administrativa y Financiera de la Unidad Administrativa Especial de Servicios Públicos – UAESP, a través de la ejecución de actividades relacionadas con la organización física y digital de documentación, la actualización de los inventarios documentales en el formato FUID adoptado por la Unidad y el proceso de correspondencia.</t>
  </si>
  <si>
    <t>SAF-0049 Prestar servicios de apoyo a la gestión a la Subdirección Administrativa y Financiera de la UAESP desarrollando las actividades de conducción de vehículos automotores con la responsabilidad y habilidad requerida, procurando el uso adecuado del automotor asignado y cumpliendo con las normas de tránsito.</t>
  </si>
  <si>
    <t>SDF19-Prestar servicios profesionales a la Subdirección de Disposición Final para apoyar desde el componente ambiental las actividades de ejecución, seguimiento y control establecidas en el Plan de Manejo Ambiental en la gestión de residuos en predios Doña Juana.</t>
  </si>
  <si>
    <t>SDF47-Prestar servicios profesionales a la Subdirección de Disposición Final de la UAESP para apoyar la gestión y seguimiento en los sistemas de automatización y control en el manejo de residuos del Distrito Capital.</t>
  </si>
  <si>
    <t>RBL-0053 Prestar los servicios profesionales a la Unidad Administrativa Especialde Servicios Públicos –UAESP, para apoyar técnica y operativamente a lasupervisión en el seguimiento del servicio de aseo, especialmente en sus componentes de recolección, barrido y limpieza, manejo de puntos críticos, entre otros relacionados con la gestión integral de los residuos sólidos en el Distrito.</t>
  </si>
  <si>
    <t>Prestar servicios profesionales para apoyar todos los asuntos de naturaleza jurídica, legal y de control relacionados con la operatividad de la Oficina Asesora de Comunicaciones y Relaciones Interinstitucionales de la UAESP, tanto a nivel interno y externo</t>
  </si>
  <si>
    <t xml:space="preserve">JEFE DE OFICINA ASESORA DE COMUNICACIONES </t>
  </si>
  <si>
    <t>3156490321</t>
  </si>
  <si>
    <t>julian.amado@uaesp.gov.co</t>
  </si>
  <si>
    <t>Prestar servicios profesionales para apoyar el diseño, la creación e implementación de piezas gráficas (digitales e impresas) y videos multimedia para la divulgación de las distintas campañas y mensajes institucionales internos y externos, así como la actualización de la página web de la Unidad Administrativa Especial de Servicios Públicos</t>
  </si>
  <si>
    <t>OACRI-01 Prestar servicios para apoyar la realización de grabaciones, diseño, edición, producción y postproducción de las piezas comunicativas y los mensajes institucionales de las áreas misionales de la Unidad Administrativa Especial de Servicios Públicos.</t>
  </si>
  <si>
    <t>OACRI-07 Prestar servicios profesionales para apoyar la produccion y generación de piezas graficas y comunicativas de actividades internas y misionales de la Unidad Administrativa Especial de Servicios Públicos</t>
  </si>
  <si>
    <t>80141502;82101601;82101602;82101603;83121701;83121702;83121703</t>
  </si>
  <si>
    <t>OACRI-09 Prestar servicios para apoyar las actividades de monitoreo a los medios de comunicación masiva, alternativa y comunitaria en cumplimiento de los objetivos del plan de comunicaciones y relaciones interinstitucionales de la UAESP</t>
  </si>
  <si>
    <t>OACRI-10 Prestar servicios profesionales para apoyar la creacion de contenios, estrategias y campañas digitales integrales que permitan divulgar efectivamente las actividades de la Unidad Administrativa Especial de Servicios Públicos, a través de los diferentes canales de comunicación disponibles en las redes sociales</t>
  </si>
  <si>
    <t>OACRI-11. Prestar servicios profesionales para la generación y publicación de contenidos en los medios digitales y las redes sociales de la entidad, para difundir la gestión y las diferentes campañas de la UAESP, así como el diseño y elaboración de productos y piezas gráficas requeridas por la oficina de comunicaciones.</t>
  </si>
  <si>
    <t>OACRI-12 Prestar servicios profesionales para apoyar la elaboración de contenidos periodísticos y la generacion de campañas de cultura ciudadana y de posicionamiento de la Unidad Administrativa Especial de Servicios Públicos, así como el cubrimiento de las actividades que lidere o en las que participe la entidad</t>
  </si>
  <si>
    <t>OACRI-14 Prestar servicios profesionales para apoyar las actividades legales y/o jurídicas que le competen a la oficina de comunicaciones, así como adelantar los procedimientos previos y necesarios para la contratación que requiera la misma al interior de la Unidad Administrativa Especial de Servicios Públicos</t>
  </si>
  <si>
    <t>80101504;80101505;82101601;82101602;82101605;83121701;83121702;83121703;83121704</t>
  </si>
  <si>
    <t>OACRI-15 Prestar servicios profesionales para la divulgación masiva de campañas pedagógicas, educativas e informativas para la ciudadanía, relacionadas con la misionalidad de la UAESP mediante las actividades de central de medios y en procura de dar un mayor alcance a las mismas</t>
  </si>
  <si>
    <t>OAP-001 Prestar servicios profesionales a la Oficina Asesora de Planeación de la Unidad Administrativa Especial de Servicios Públicos –UAESP, para apoyar la ejecución de las actividades administrativas,  y de los procedimientos establecidos por la Entidad, para el desarrollo de las funciones a cargo de la oficina.</t>
  </si>
  <si>
    <t xml:space="preserve">JEFE OFICINA ASESORA DE PLANEACION </t>
  </si>
  <si>
    <t>80121704</t>
  </si>
  <si>
    <t>OAP-002 Prestar los servicios profesionales a la Unidad Administrativa Especial de Servicios Públicos como apoyo jurídico a la Oficina Asesora de Planeación en los temas propias de la dependencia relacionados con contratación administrativa, así como las consultas generales que haga dicha dependencia en materia jurídica.</t>
  </si>
  <si>
    <t>OAP-003 Prestar los servicios técnicos a la Unidad Administrativa Especial de Servicios Públicos UAESP en la implementación, desarrollo y mantenimiento del Modelo Integrado de Planeación y Gestión - MIPG; en particular, lo relacionado con la Dimensión quinta de Información y Comunicación en particular con Política de Gestión Estadística.</t>
  </si>
  <si>
    <t>OAP-004 Prestar los servicios profesionales a la Unidad Administrativa Especialde Servicios Públicos - UAESP en la actualización y seguimiento del Plande Gestión Integral de Residuos Sólidos – PGIRS, Plan de OrdenamientoTerritorial –POT- y demás planes y/o políticas públicas o instrumentosde similar naturaleza, relacionados con la Unidad que tengan impactoterritorial y/o ambiental.</t>
  </si>
  <si>
    <t>OAP-005 Prestar servicios profesionales a la Unidad Administrativa Especial deServicios Públicos – UAESP, para apoyar a la Oficina Asesora dePlaneación en la implementación, desarrollo y seguimiento del ModeloIntegrado de Planeación y Gestión MIPG, en las dimensiones 3,5 y 6.</t>
  </si>
  <si>
    <t>OAP-006 Prestar servicios profesionales a la Unidad Administrativa Especial de Servicios Públicos ¿ UAESP en la implementación desarrollo y mantenimiento del Modelo Integrado de Planeación y Gestión - MIPG; en particular lo relacionado con la Política de Gestión de la Información Estadística contenida en la Quinta Dimensión del modelo denominada ¿Información y Comunicación¿.</t>
  </si>
  <si>
    <t>OAP-008 Prestar servicios profesionales para apoyar a la Oficina Asesora de Planeación en la organización de los procesos de revisión y ajustes del Plan Integral de Gestión de Residuos Sólidos – PGIRS y del Plan de Ordenamiento Territorial - POT, así como coadyuvar en la revisión de los planes y/o políticas públicas o instrumentos de similar naturaleza, relacionadas con la Unidad, que tengan impacto territorial y/o ambiental.</t>
  </si>
  <si>
    <t xml:space="preserve">OAP-009 Prestar servicios profesionales a la Unidad Administrativa Especial de Servicios Públicos  UAESP, apoyando en la Actualizaciòn y seguimiento a las metas y resultados de los proyectos de inversiòn de conformidad con los plazos y requistos establecidos en la normatividad vigente. </t>
  </si>
  <si>
    <t>OAP-010 Prestar servicios profesionales a la Unidad Administrativa Especial de Servicios Públicos – UAESP, articulando las metodologías y estrategias para la mejora continua del Modelo Integrado de Planeación y Gestión – MIPG</t>
  </si>
  <si>
    <t>SAP-030 Prestar los servicios profesionales en el ámbito de la ingeniería electricista a la Subdirección de Servicios Funerarios y Alumbrado Público, orientados al apoyo de gestiones y actividades técnicas y de seguimiento a la prestación del servicio de Alumbrado Público en la ciudad de Bogotá.</t>
  </si>
  <si>
    <t>SAP-031 Prestación de servicios profesionales de  apoyo a la Subdirección de Servicios Funerarios y Alumbrado Público, en el ámbito de la ingeniería, en  lo relacionado con nuevas tecnologías en la prestación del servicio de alumbrado público</t>
  </si>
  <si>
    <t xml:space="preserve">SSFAP-021Prestar los servicios profesionales desde el ámbito legal, para apoyar las actividades relacionadas con la prestación de los servicios Funerarios y Alumbrado Público a cargo de la Subdirección de Servicios Funerarios y Alumbrado Público. </t>
  </si>
  <si>
    <t>SSFAP-023 Prestar los servicios profesionales para desarrollar actividades tendientes a los procesos de planeación, programación, seguimiento, apoyo y evaluación de los proyectos de inversión y recursos asignados a la  SSFAP</t>
  </si>
  <si>
    <t>SSF-025 Prestar los servicios profesionales en la Subdirección de Servicios Funerarios y Alumbrado Público en el ámbito de la ingeniería civil, para apoyar el seguimiento y control de las actividades relacionadas con infraestructura  en los Cementerios propiedad del Distrito Capital.</t>
  </si>
  <si>
    <t>SSF-026 Prestar los servicios profesionales en la Subdirección de Servicios Funerarios y Alumbrado Público para apoyar en el acompañamiento psicológico a los usuarios de los servicios funerarios en los Cementerios propiedad del distrito</t>
  </si>
  <si>
    <t>SSF-027 Prestar los servicios profesionales a la subdirección de Servicios Funerarios y Alumbrado Público,  para realizar  acompañamiento psicológico a los beneficiarios y usuarios de los servicios funerarios en los cementerios propiedad del Distrito.</t>
  </si>
  <si>
    <t>SSF-028 Prestar los servicios de apoyo a la Subdirección de Servicios Funerarios y Alumbrado Público, brindando acompañamiento en atención al ciudadano,  solicitudes y peticiones relacionadas principalmente con el programa de Subsidios Funerarios y los servicios a cargo de la Subdirección.</t>
  </si>
  <si>
    <t>80101500;80101600;81101500</t>
  </si>
  <si>
    <t>SSF-029 Realizar la actualización y complementación de estudios y diseños para la construcción de mausoleos  y  cuarto de hornos en el cementerio parque Serafín de Bogota D.C.</t>
  </si>
  <si>
    <t>72101500;72151900;72103300</t>
  </si>
  <si>
    <t>SSF-030 Realizar los acabados y las actividades necesarias para culminar la adecuación y reforzamiento del edificio de locales comerciales del Cementerio Distrital del Sur.</t>
  </si>
  <si>
    <t>77121500;41113100</t>
  </si>
  <si>
    <t>SSF-032 ADQUISICIÓN E INSTALACIÓN DE UN EQUIPO DE MONITOREO CONTINUO DE GASES PARA LOS TRES HORNOS CREMATORIOS INSTALADOS EN EL CEMENTERIO DISTRITAL DEL NORTE</t>
  </si>
  <si>
    <t>SSF-033 Realizar la construcción de mausoleos de bóvedas, osarios y cenizarios asi como la ampliación y adecuación del cuarto de hornos en el cementerio parque Serafín</t>
  </si>
  <si>
    <t>84121500;84121700;84121800;93151500</t>
  </si>
  <si>
    <t>SUBV-001 Contratar a una sociedad fiduciaria para la administración y pago de los recursos destinados para el programa de Subsidios Funerarios a cargo de la Unidad Administrativa Especial de Servicios Públicos de Bogotá D.C.</t>
  </si>
  <si>
    <t>Octubre</t>
  </si>
  <si>
    <t xml:space="preserve"> SAP-001 Realizar la interventoría técnica-operativa social administrativa ambiental regulatoria jurídica de seguridad industrial y salud en el trabajo; de la prestación del servicio de alumbrado público en Bogotá que se presta conforme al Convenio No766 de 1997 cuyo objeto es la prestación del servicio de alumbrado público en Bogotá DC y el Acuerdo complementario del mismo suscrito entre el Distrito Capital/UESP y CODENSA el 25 de 1de 2002 y aquellos que los sustituyan modifiquen o adicionen</t>
  </si>
  <si>
    <t>SAP-002 Prestar los servicios profesionales a la Subdirección de Servicios Funerarios y Alumbrado Público, desde el ámbito jurídico en lo relacionado con la prestación del servicio de alumbrado público, que permita dar cumplimiento a las metas a cargo de la subdirección.</t>
  </si>
  <si>
    <t>SAP-005 Prestar los servicios profesionales a la Subdirección de Servicios Funerarios y Alumbrado Público, orientados al apoyo en el seguimiento y control del componente financiero de la prestación del servicio de alumbrado público de Bogotá</t>
  </si>
  <si>
    <t xml:space="preserve">SAP-006 Prestar los servicios profesionales como ingeniero electricista en la Subdirección de Servicios Funerarios y Alumbrado Público, orientados al apoyo en la revisión de diseños fotométricos y/o  actividades propias de la prestación del servicio de Alumbrado Público en la ciudad de Bogotá. . </t>
  </si>
  <si>
    <t xml:space="preserve">SAP-016 Prestar los servicios de apoyo a la Subdirección de Servicios Funerarios y Alumbrado Público, orientados al desarrollo de gestiones y/o actividades técnicas y de supervisión para la prestación del servicio de Alumbrado Público en la ciudad de Bogotá. </t>
  </si>
  <si>
    <t>70111705;85171500</t>
  </si>
  <si>
    <t>Prestar, mediante la modalidad de concesión, el servicio de Destino Final y Atención Funeraria, incluyendo su Administración, Operación, Mantenimiento, Explotación, Gestión y Conservación de los cementerios distritales de la ciudad de Bogotá.</t>
  </si>
  <si>
    <t>60</t>
  </si>
  <si>
    <t>Selección Abreviada de Menor Cuantia sin Manifestacion de Interés</t>
  </si>
  <si>
    <t>No Aplica</t>
  </si>
  <si>
    <t>Realizar la interventoría integral, que incluye pero no se limita al seguimiento técnico, administrativo, financiero, contable, jurídico relacionado con el Contrato de Concesión que se derive del contrato cuyo objeto es “Prestar, mediante la modalidad de concesión, el servicio de Destino Final y Atención Funeraria, incluyendo su Administración, Operación, Mantenimiento, Explotación, Gestión y Conservación de los cementerios distritales de la ciudad de Bogotá.”</t>
  </si>
  <si>
    <t>Prestar los servicios de apoyo en el archivo virtual del Sistema de Gestión Documental Orfeo de la Subdirección de Servicios Funerarios y Alumbrado Público – SSFAP.</t>
  </si>
  <si>
    <t>SAP-028 Prestar los servicios profesionales a la Subdirección de Servicios Funerarios y Alumbrado Público para la incorporación de  la infraestrutura al sistema de alumbrado público y apoyar las demás actividades  propias del servicio de Alumbrado Público a cargo del área</t>
  </si>
  <si>
    <t>SAF-0026 Prestar servicios profesionales a la Subdirección Administrativa y Financiera de la Unidad Administrativa Especial de Servicios Públicos – UAESP, en la ejecución de actividades relacionadas con la gestión contable de la entidad.</t>
  </si>
  <si>
    <t>SAF-0046 Prestar servicios profesionales en la subdirección administrativa y financiera, en la actualización, ejecución, seguimiento y control de las actividades logísticas y de recursos físicos de la entidad, de acuerdo con lo establecido en los procesos y procedimientos correspondientes, a través de los aplicativos y herramientas existentes.</t>
  </si>
  <si>
    <t>SAF-0047 Prestar servicios profesionales a la Subdirección Administrativa y Financiera de la UAESP en la consolidación, registro, reporte y seguimiento de la información propia de la gestión de financiera</t>
  </si>
  <si>
    <t>SAF-0081 Prestar servicios de apoyo a la gestión a la Subdirección Administrativa y Financiera de la UAESP desarrollando las actividades de conducción de vehículos automotores con la responsabilidad y habilidad requerida, procurando el uso adecuado del automotor asignado y cumpliendo con las normas de tránsito.</t>
  </si>
  <si>
    <t>SAF-0050 Prestar servicios de apoyo a la gestión a la Subdirección Administrativa y Financiera de la UAESP desarrollando las actividades de conducción de vehículos automotores con la responsabilidad y habilidad requerida, procurando el uso adecuado del automotor asignado y cumpliendo con las normas de tránsito.</t>
  </si>
  <si>
    <t>SAF-0028 Prestar servicios de apoyo a la gestión de la Subdirección Administrativa y Financiera de la Unidad Administrativa Especial de Servicios Públicos – UAESP, a través de la ejecución de actividades relacionadas con la organización física y digital de documentación, la actualización de los inventarios documentales en el formato FUID adoptado por la Unidad y el proceso de correspondencia.</t>
  </si>
  <si>
    <t>SAF-0029 Prestar servicios de apoyo a la gestión de la Subdirección Administrativa y Financiera de la Unidad Administrativa Especial de Servicios Públicos – UAESP, a través de la ejecución de actividades relacionadas con la organización física y digital de documentación, la actualización de los inventarios documentales en el formato FUID adoptado por la Unidad y el proceso de correspondencia.</t>
  </si>
  <si>
    <t>SAF-0034 Prestar servicios profesionales de apoyo a la subdirección administrativa y financiera en los diferentes procesos, planes y programas a cargo de la dependencia.</t>
  </si>
  <si>
    <t>81101505;81101513;81101515</t>
  </si>
  <si>
    <t>SA-034 Apoyo financiero al ganador de Hackathon para el diseño de estación de Transmilenio diseñada con el uso plástico aprovechado</t>
  </si>
  <si>
    <t>78101803;81101603</t>
  </si>
  <si>
    <t>SA-035 Apoyo financiero al ganador de Hackathon para el diseño de VTH Vehículos de tracción humana</t>
  </si>
  <si>
    <t xml:space="preserve">SA-036 Aunar esfuerzos entre AJOVER DARNEL S.A.S y la Unidad Administrativa Especial de Servicios Públicos -UAESP-, que permitan la articulación de acciones entre las partes para la formulación, estructuración de proyectos de interés mutuo relacionados con procesos de aprovechamiento de residuos plásticos, a desarrollar en el Centro Especializado de Plásticos -CEAP de la ciudad de Bogotá D.C. </t>
  </si>
  <si>
    <t>SA-037 Realizar las adecuaciones o reparaciones locativas, arquitectónicas y la construcción de la planta de transformación de residuos plásticos, ubicada en la Localidad de Kennedy, Sede Alquería,  a cargo de la Unidad Administrativa Especial de Servicios Públicos -UAESP, a fin de garantizar los procesos de aprovechamiento, estandarización y modernización tecnológica para el aprovechamiento de residuos plásticos  y bienes para la industria de la construcción.</t>
  </si>
  <si>
    <t>23101500;23153100</t>
  </si>
  <si>
    <t>SA-038 Adelantar la compra de tecnología especializada y herramientas necesarias para la transformación de residuos plásticos en madera plástica, tanto el centro la alquería como en bodegas satélites de acopio de materia prima semiprocesada, especificadas en el anexo técnico, como complemento de la primera fase (producción de escamas y pellets) así como la planificación financiera y preparación del personal operativo y de capital de trabajo para la transformación de materiales aprovechables en el centro de Plásticos la Alquería.</t>
  </si>
  <si>
    <t>SA-039 Adelantar la compra de tecnología especializada y herramientas necesarias para la transformación de residuos plásticos en bienes para la industria de la construcción, el centro la alquería, especificadas en el anexo técnico, como complemento de la primera y segunda fase (producción de escamas y pellets y producción de madera plástica) así como la ampliación de la capacidad instalada de la planta para la primera y segunda fase, incluyendo capital para comercialización, la planificación financiera y preparación del personal operativo y de capital de trabajo necesarios para la transformación de materiales aprovechables en el centro de Plásticos la Alquería.</t>
  </si>
  <si>
    <t>24101900;24102100;24111500;24112000;24112800;24121500;47121700</t>
  </si>
  <si>
    <t>SA-060  Adquisición de contenedores, canecas y bolsas plásticas para la implementación del proyecto de cultura ciudadana de separación de residuos orgánicos en canecas y bolsas verdes según el Decreto 1397 de 12 de 2018</t>
  </si>
  <si>
    <t>80101604;81101802</t>
  </si>
  <si>
    <t>SA-061 AUNAR ESFUERZOS TÉCNICOS ADMINISTRATIVOS FINANCIEROS Y HUMANOS, PARA EL FORTALECIMIENTO TÉCNICO EN EL DESARROLLO DE LOS PROCESOS DE APROVECHAMIENTO, DE RESIDUOS SOLIDOS EN LA CIUDAD DE BOGOTÁ.</t>
  </si>
  <si>
    <t xml:space="preserve">SA-062 Aunar esfuerzos para la implementación del proyecto "Evaluación del aprovechamiento de los residuos sólidos orgánicos mediante tecnologías de bioconversión aerobia, en la ciudad de Bogotá" que permita evaluar el aprovechamiento de los residuos sólidos orgánicos generados en el distrito capital mediante experimentación de tecnologías de bioconversión aerobia. </t>
  </si>
  <si>
    <t>26121703;39131705;43222602;43223306;72151507;72151605;81101701;81112003;81161712</t>
  </si>
  <si>
    <t>SDF83- Contratar la adecuación e instalación del cableado estructurado de voz, datos y eléctrico, normal y regulado en el punto multipropósito.</t>
  </si>
  <si>
    <t>72102902;72102905</t>
  </si>
  <si>
    <t>SDF84-Realizar mantenimiento preventivo y correctivo de los escenarios públicos, deportivos, lúdicos, recreativos y/o biosaludable en predios adquiridos por la UAESP ubicados en el área de influencia directa de los predios Doña Juana</t>
  </si>
  <si>
    <t>93141506;93141507</t>
  </si>
  <si>
    <t>SDF85-Realizar actividades civicas y comunitarias.</t>
  </si>
  <si>
    <t>72121201;72121203</t>
  </si>
  <si>
    <t>SDF88- Adecuación de espacios físicos para la promoción, divulgación y demostración de proyectos productivos relacionados con las dinámicas rurales de los habitantes del área de influencia de los predios Doña Juana.</t>
  </si>
  <si>
    <t>72141100;72141500;70171800</t>
  </si>
  <si>
    <t>Realizar las obras de restauración y recuperación del predio Yerbabuena</t>
  </si>
  <si>
    <t>43222600</t>
  </si>
  <si>
    <t>SDF89-Aunar esfuerzos técnicos, administrativos y financieros para implementar una estrategia de conectividad digital en el área de influencia indirecta del Predio Doña Juana en la localidad de Ciudad Bolívar</t>
  </si>
  <si>
    <t>SDF90-Aunar esfuerzos técnicos, administrativos y financieros para implementar una estrategia de conectividad digital en el área de influencia indirecta del Predio Doña Juana en la localidad de Usme.</t>
  </si>
  <si>
    <t>RBL-0002 Prestar los servicios profesionales a la Unidad Administrativa Especial de Servicios Públicos, para apoyar la analítica, la exploración y los métodos de visualización de datos espaciales y no espaciales estratégicos, para la implementación del PGIRS en el área urbana y rural de la ciudad de Bogotá.</t>
  </si>
  <si>
    <t>RBL-0003 Prestar los servicios profesionales a la Unidad Administrativa Especial de Servicios Públicos, para la generación y documentación de productos geográficos requeridos para el seguimiento al servicio público de aseo en la ciudad de Bogotá, en el marco de la implementación del Plan de Gestión Integral de Residuos Sólidos.</t>
  </si>
  <si>
    <t>OAP-011 Prestar servicios profesionales a la Unidad Administrativa Especial de Servicios Públicos – UAESP, en la implementación, desarrollo y mantenimiento del Modelo Integrado de Planeación y Gestión MIPG, en particular con las dimensiones de Direccionamiento Estratégico y Planeación, Gestión con Valores para Resultados y Evaluación de Resultados.</t>
  </si>
  <si>
    <t xml:space="preserve">OAP-012 Apoyar a la Oficina Asesora de Planeación en las actividades seguimiento y mantenimiento del componente ambiental del Modelo Integrado de Planeación y Gestión – MIPG. </t>
  </si>
  <si>
    <t>OAP-013 Prestar los servicios profesionales a la Oficina Asesora de Planeación –OAP de la   Unidad Administrativa Especial de Servicios Especiales Públicos UAESP, realizando la implementación, mantenimiento y mejora del Modelo Integrado de Planeación y Gestión (MIPG) de la Entidad, acompañando a las dependencias en el mejoramiento continuo de los procesos con criterios de calidad y oportunidad.</t>
  </si>
  <si>
    <t>80101504</t>
  </si>
  <si>
    <t>Contratar la prestación de servicios para realizar la auditoría externa de seguimiento al sistema de gestión de la Unidad Administrativa Especial de Servicios Públicos UAESP, bajo los requisitos definidos porla norma NTC ISO 9001:2015, en virtud de la recertificación otorgada ala entidad en el año 2019.</t>
  </si>
  <si>
    <t>DG-008.  Prestar los servicios profesionales a la Oficina Asesora de planeación de la Unidad Administrativa Especial de Servicios Públicos en el desarrollo de las actividades propias de la gestión presupuestal de los proyectos de inversión.</t>
  </si>
  <si>
    <t>OCI-0001 Prestación de servicios profesionales para contribuir al desarrollo de auditorías, evaluaciones y/o seguimientos a la implementación y efectividad del Sistema de Gestión Ambiental y Sistema de Gestión de Seguridad y Salud en el Trabajo de la UAESP; planes operativos y desempeño de procesos del sistema de gestión de la UAESP, de conformidad con los procedimientos e instructivos determinados por la Oficina de Control Interno de la UAESP</t>
  </si>
  <si>
    <t>JEFE OFICINA CONTROL INTERNO</t>
  </si>
  <si>
    <t>andres.pabon@uaesp.gov.co</t>
  </si>
  <si>
    <t>OCI-0002 Prestación de servicios profesionales para contribuir al desarrollo de auditorías, evaluaciones y/o seguimientos a la implementación y efectividad del sistema gestión de la seguridad de la información; planes operativos y desempeño de procesos del sistema de gestión de la UAESP, de conformidad con los procedimientos e instructivos determinados por la Oficina de Control Interno de la UAESP</t>
  </si>
  <si>
    <t>OCI-0003 Prestación de servicios profesionales para contribuir al desarrollo de auditorías, evaluaciones y/o seguimientos a la implementación y efectividad del Modelo de Gerencia Juridica Distrital y Gestión Contractual en la UAESP; planes operativos y desempeño de procesos del sistema de gestión de la UAESP, de conformidad con los procedimientos e instructivos determinados por la Oficina de Control Interno de la UAESP</t>
  </si>
  <si>
    <t>OCI-0004 Prestación de servicios profesionales para contribuir al desarrollo de auditorías, evaluaciones y/o seguimientos Sistema Integrado de Gestión y planes operativos y desempeño de procesos del sistema de gestión de la UAESP, de conformidad con los procedimientos e instructivos determinados por la Oficina de Control Interno de la UAESP</t>
  </si>
  <si>
    <t>72103302;72154066;81111803;81111812;81112204;81112220;81112301;81112307</t>
  </si>
  <si>
    <t>TIC - 0001 Contratar los mantenimientos preventivos y correctivos con bolsa de repuestos, de los equipos tecnológicos, eléctricos y de informática, a cargo de la Unidad Administrativa Especial de Servicios Públicos (UAESP) y de los que llegare a ser responsable que garanticen el correcto funcionamiento de la Infraestructura Tecnológica de la entidad.</t>
  </si>
  <si>
    <t>72151514</t>
  </si>
  <si>
    <t xml:space="preserve">TIC - 0002 Contratar el servicio de mantenimiento preventivo y correctivo especializado con bolsa de repuestos para la planta eléctrica instalada en la Unidad Administrativa Especial de Servicios Públicos – UAESP. </t>
  </si>
  <si>
    <t>43212100;80161800;81112400</t>
  </si>
  <si>
    <t>TIC - 0003 Contratar el servicio de impresión para la Unidad Administrativa Especial de Servicios Públicos- UAESP a través la Tienda Virtual del Estado Colombiano Acuerdo Marco</t>
  </si>
  <si>
    <t>80161800;81112400</t>
  </si>
  <si>
    <t>TIC - 0004 Contratar el servicio de equipos periféricos tipo escáner para la Unidad Administrativa Especial de Servicios Públicos- UAESP a través la Tienda Virtual del Estado Colombiano Acuerdo Marco</t>
  </si>
  <si>
    <t>81111801;81112101;81111504</t>
  </si>
  <si>
    <t>TIC - 0005 Contratar el servicio de conectividad y telecomunicaciones  para el servicio y funcionamiento de la Unidad Administrativa Especial de Servicios Publicos - UAESP</t>
  </si>
  <si>
    <t>43231500;43233700;81112000</t>
  </si>
  <si>
    <t>TIC - 0006 Renovar el licenciamiento para el funcionamiento del  datacenter  alterno con  el cual la Entidad cuente con un sistema de continuidad de negocio ante cualquier tipo de eventualidad, a través la Tienda Virtual del Estado Colombiano Acuerdo Marco</t>
  </si>
  <si>
    <t>81111801;81111809;81112101;81111504</t>
  </si>
  <si>
    <t>TIC - 0007 Realizar la renovacion del licenciamiento de gestión y administración de la Solución WiFi de la Unidad Administrativa Especial de Serivicios Públicos - UAESP</t>
  </si>
  <si>
    <t xml:space="preserve">TIC - 0009 Renovar la suscripción de licencias de servicios de ofimatica suit con cuentas correos, colaborativas y BI para el desarrollo de las actividades de la Unidad Administrativa Especial de Servicios Públicos - UAESP, a través la Tienda Virtual del Estado Colombiano. </t>
  </si>
  <si>
    <t>43231512;81112501</t>
  </si>
  <si>
    <t xml:space="preserve">TIC - 0010 Renovar suscripción del licenciamiento AutoCAD para renderización y requerimientos de diseño de las áreas misionales de la Unidad Administrativa Especial de Servicios Públicos -UAESP. </t>
  </si>
  <si>
    <t>Diciembre</t>
  </si>
  <si>
    <t xml:space="preserve">TIC - 0011 Renovar el licenciamiento de AcGis de georeferenciación para el servicio de las areas misionales de la Unidad Administrativa Especial de Servicios Públicos. </t>
  </si>
  <si>
    <t>43232600;43233200;43233400;81111800</t>
  </si>
  <si>
    <t>TIC - 0012 Realizar la renovación de licenciamiento firewall y antimalware (antivirus) para control de la seguridad informática perimetral y administración de la seguridad informática en los dispositivos de usuario final de la Unidad Administrativa Especial de Servicios Públicos – UAESP.</t>
  </si>
  <si>
    <t>43231500;81112500</t>
  </si>
  <si>
    <t>TIC - 0014 Renovar el licenciamiento de generacion de respaldos  de  la  información de  la  Unidad  Administrativa  Especial  de Servicios Públicos –UAESP.</t>
  </si>
  <si>
    <t>43231501;81111811</t>
  </si>
  <si>
    <t xml:space="preserve">TIC- 0015 Renovar el licenciamiento de la herramienta de mesa de ayuda para el soporte y solicitudes de servicios TI de la Unidad Administrativa Especial de Servicios Públicos - UAESP. </t>
  </si>
  <si>
    <t>45121501;45121506</t>
  </si>
  <si>
    <t>TIC- 0016 Realizar la adquisición de una solución de video conferencia para la Unidad Administrativa Especial de Servicios Públicos - UAESP.</t>
  </si>
  <si>
    <t xml:space="preserve">TIC - 0017 Prestar servicios profesionales para brindar apoyo en lo relacionado con la política de Gobierno Digital de la Oficina Tic de la Unidad Administrativa Especial de Servicios Públicos - UAESP  </t>
  </si>
  <si>
    <t xml:space="preserve">TIC - 0018 Prestar apoyo en las respuestas y soluciones en temas relacionados con tecnología al personal de la Unidad Administrativa Especial de Servicios Públicos </t>
  </si>
  <si>
    <t>Prestar servicios profesionales en el desarrollo para la creación y mantenimiento de los productos digitales de la Unidad Administrativa Especial de Servicios Públicos</t>
  </si>
  <si>
    <t>Prestar apoyo en las respuestas y soluciones en temas relacionados con tecnología al personal de la Unidad Administrativa Especial de Servicios Públicos</t>
  </si>
  <si>
    <t>SAL-029. Prestar los servicios profesionales desde el punto de vista jurídico para ejercer la representación judicial, extrajudicial, y administrativa de la Entidad, así como fortalecer la gestión jurídica en los temas de derecho administrativo.</t>
  </si>
  <si>
    <t>SAL-032. Prestar los servicios profesionales desde el punto de vista jurídico para ejercer la representación judicial y extrajudicial de la Entidad, así como fortalecer la gestión jurídica en los temas de derecho penal.</t>
  </si>
  <si>
    <t>SAL-033. Prestar los servicios de apoyo a la gestión a la Subdirección de Asuntos Legales de la Unidad Administrativa Especial de Servicios Públicos – UAESP, mediante la ejecución de actividades administrativas, creación, seguimiento y actualización de bases de datos, expedientes electrónicos, organización documental de los archivos y expedientes, entre otros, en cumplimiento de la Ley 594 de 2000 y demás normas vigentes.</t>
  </si>
  <si>
    <t>SAL-034. Prestar los servicios de apoyo a la gestión a la Subdirección de Asuntos Legales de la Unidad Administrativa Especial de Servicios Públicos – UAESP, para apoyar la organización documental de los expedientes de gestión que se encuentran bajo responsabilidad de esta Subdirección, en cumplimiento de la Ley 594 de 2000 del Archivo General de la Nación y demás normas vigentes.</t>
  </si>
  <si>
    <t>SAL-035. Prestar los servicios profesionales desde el punto de vista jurídico para apoyar las actividades relacionadas con el cobro persuasivo y coactivo de las acreencias a favor de la Unidad Administrativa Especial de Servicios Públicos UAESP.</t>
  </si>
  <si>
    <t>SAL-036. Prestar los servicios profesionales desde el punto de vista jurídico para apoyar las actividades relacionadas con el cobro persuasivo y coactivo de las acreencias a favor de la Unidad Administrativa Especial de Servicios Públicos UAESP.</t>
  </si>
  <si>
    <t>SAL-037. Prestar los servicios de apoyo a la gestión para apoyar las actividades técnicas y operativas relacionadas con el cobro persuasivo y coactivo de las acreencias a favor de la Unidad Administrativa Especial de Servicios Públicos UAESP, y con los procesos administrativos sancionatorios adelantados por la Entidad.</t>
  </si>
  <si>
    <t>SAL-038. Prestar los servicios profesionales con el fin de brindar apoyo jurídico a la Entidad en los temas relacionados con el derecho disciplinario y la sustanciación de actuaciones en el grupo de asuntos disciplinarios de la Unidad Administrativa de Servicios Públicos - UAESP.</t>
  </si>
  <si>
    <t>SAL-039. Prestar los servicios profesionales con el fin de brindar apoyo jurídico a la Entidad en los temas relacionados con el derecho disciplinario y la sustanciación de actuaciones en el grupo de asuntos disciplinarios de la Unidad Administrativa de Servicios Públicos - UAESP.</t>
  </si>
  <si>
    <t>SAL-040. Prestar servicios profesionales a la Subdirección de Asuntos Legales, con el fin de brindar apoyo jurídico a la Entidad en lo atinente a la gestión de acciones y requerimientos realizados por los órganos de control, superintendencia u otros, y/o en los temas relacionados con asuntos disciplinarios, teniendo en cuenta los requerimientos solicitados por las diferentes dependencias de la Unidad Administrativa Especial de Servicios Públicos - UAESP.</t>
  </si>
  <si>
    <t>SAL-041. Prestar servicios de apoyo a la gestión a la Subdirección de Asuntos Legales de la Unidad Administrativa Especial de Servicios Públicos – UAESP, mediante la ejecución de actividades administrativas, organización documental de los expedientes de gestión, entre otros, relacionadas con la gestión del grupo interno formal de asuntos disciplinarios.</t>
  </si>
  <si>
    <t>SAL-042. Prestar los servicios profesionales especializados a la Unidad Administrativa Especial de Servicios Públicos desde el punto de vista jurídico apoyando a la gestión de todos los temas a cargo de la Subdirección de Asuntos Legales.</t>
  </si>
  <si>
    <t>SAL-043. Prestar los servicios profesionales especializados a la Unidad Administrativa Especial de Servicios Públicos desde el punto de vista jurídico apoyando a la gestión de todos los temas a cargo de la Subdirección de Asuntos Legales.</t>
  </si>
  <si>
    <t>SAL-046. Prestar los servicios profesionales a la Subdirección de Asuntos Legales, apoyando las actividades relacionadas con el mantenimiento y actualización de los documentos controlados asociados a los procesos, así como en la elaboración, consolidación y revisión de informes que deban presentarse ante las autoridades del orden nacional, distrital y a los órganos de control, realizando las conciliaciones presupuestales a que haya lugar.</t>
  </si>
  <si>
    <t>SAL-047. Prestar los servicios profesionales a la Unidad Administrativa Especial de Servicios Públicos desde el punto de vista jurídico apoyando a la gestión de los temas a cargo de la Subdirección de Asuntos Legales.</t>
  </si>
  <si>
    <t>SAL-048. Prestar los servicios profesionales desde el punto de vista jurídico para brindar apoyo en el seguimiento y/o proyecto de respuestas a los requerimientos, solicitudes y derechos de petición realizados por los diferentes entes de control y/o autoridad de orden Nacional y/o Distrital y por los ciudadanos, y que sean de competencia de la Subdirección de Asuntos Legales de la Unidad Administrativa Especial de Servicios Públicos-UAESP.</t>
  </si>
  <si>
    <t>SAL-049. Prestar los servicios profesionales jurídicos especializados a la Unidad Administrativa Especial de Servicios Públicos desde el punto de vista jurídico, apoyando la gestión de los temas contractuales en la Dirección General y en la Subdirección de Asuntos Legales, con el fin de revisar los modelos jurídicos de concesiones o contratos de explotación actuales o estructuración de esquemas a contratar, desde el punto de vista del derecho administrativo, de servicios públicos y de contratación estatal.</t>
  </si>
  <si>
    <t>SAL-050. Prestar los servicios profesionales a la Subdirección de Asuntos Legales, apoyando la ejecución de las actividades relacionadas con los procedimientos institucionales de gestión documental acorde a lo dispuesto en la normatividad archivística vigente, y que tengan relación con los documentos controlados por esta Subdirección y que hacen parte del sistema integrado de gestión de la Unidad.</t>
  </si>
  <si>
    <t>70141703;70111602;77111501;70111709;70101602</t>
  </si>
  <si>
    <t>SDF87- Aunar los esfuerzos técnicos, administrativos, financieros y logísticos necesarios para adelantar acciones tendientes a la arborización, restauración, recuperación y el mantenimiento del arbolado en pro del mejoramiento de las coberturas vegetales del Distrito Capital, en el marco de las competencias del Jardín Botánico de Bogotá y la Unidad Administrativa Especial de Servicios Públicos UAESP</t>
  </si>
  <si>
    <t>72102905</t>
  </si>
  <si>
    <t xml:space="preserve">SDF92 – Desmonte y/o demolición y reconstrucción de la cubierta, obras de adecuación y mantenimiento del inmueble denominado casa los manzanos propiedad de la UAESP, como centro de encuentro para apoyar el desarrollo de las actividades propias de guardabosques y demás actividades para la conservación y recuperación ambiental aledaña al RSDJ. </t>
  </si>
  <si>
    <t>OACRI-17. Prestar servicios para apoyar la realización de grabaciones, diseño, edición, producción y postproducción de las piezas comunicativas, las campañas educativas y los mensajes institucionales de las áreas misionales de la Unidad Administrativa Especial de Servicios Públicos.</t>
  </si>
  <si>
    <t>JEFE DE OFICINA ASESORA DE COMUNICACIONES</t>
  </si>
  <si>
    <t>OACRI-18. Prestar servicios profesionales a la Oficina de Comunicaciones y Relaciones Interinstitucionales, en el seguimiento y control de los flujos de informacion, el diligenciamiento de matrices e indicadores de gestion que se deben presentar frente a los entes de control internos y externos</t>
  </si>
  <si>
    <t>41111500</t>
  </si>
  <si>
    <t>SA- 202 Compra, instalación y puesta en funcionamiento de sistema de pesaje, tipo báscula camionera electrónica movil para la Unidad Administrativa  Especial de Servicios Pùblicos.</t>
  </si>
  <si>
    <t>RBL- 0094 Prestar los servicios profesionales a la Subdirección de Recolección, Barrido y Limpieza en el área técnica y operativa para el seguimiento de la supervisión a la interventoría del servicio público de aseo en sus distintos componentes, entre otros relacionados con la gestión integral de los residuos sólidos en el Distrito.</t>
  </si>
  <si>
    <t>RBL-0095 Prestar los Servicios Profesionales a la Unidad Administrativa Especial de Servicios Públicos - UAESP- para apoyar técnicamente y operativamente el seguimiento y la supervisión de las actividades de recolección, barrido y limpieza del servicio de aseo.</t>
  </si>
  <si>
    <t>RBL-0096 Prestar los servicios operativos a la Subdirección de Recolección, Barrido y Limpieza, para el fortalecimiento de la gestión social en la divulgación y promoción de las acciones necesarias para el manejo adecuado de los residuos sólidos en las localidades del Distrito Capital.</t>
  </si>
  <si>
    <t>RBL-0097 Prestar los servicios operativos a la Subdirección de Recolección, Barrido y Limpieza, para el fortalecimiento de la gestión social en la divulgación y promoción de las acciones necesarias para el manejo adecuado de los residuos sólidos en las localidades del Distrito Capital.</t>
  </si>
  <si>
    <t>RBL- 0098 Prestar los servicios profesionales a la Subdirección de Recolección, Barrido y Limpieza para apoyar técnicamente y operativamente el seguimiento y caracterización al manejo de residuos voluminosos críticos en todos los procesos relacionados con la gestión integral de residuos sólidos en el Distrito Capital.</t>
  </si>
  <si>
    <t>RBL-0083 Prestar los servicios profesionales a la Unidad Administrativa Especial de Servicios Públicos, para la generación y documentación de productos geográficos requeridos para el seguimiento al servicio público de aseo en la ciudad de Bogotá, en el marco de la implementación del Plan de Gestión Integral de Residuos Sólidos</t>
  </si>
  <si>
    <t>SSFAP-023 Prestar los servicios profesionales para desarrollar actividades tendientes a los procesos de planeación, programación, seguimiento, apoyo y evaluación de losproyectos de inversión y recursos asignados a la  SSFAP</t>
  </si>
  <si>
    <t>SAP-024 Prestar servicios de apoyo en actividades relacionadas con el control, organización, clasificación y archivo de los documentos físicosgenerados y recibidos por la prestación de los servicios  de alumbrado público a cargo de  la SSFAP</t>
  </si>
  <si>
    <t>SAP-025 Prestar los servicios de apoyo en actividades relacionadas con el archivo de losdocumentos físicos generados y recibidos en la Subdirección de Servicios Funerariosy Alumbrado Público, en cumplimiento de la Ley 594 de 2000 del Archivo General dela Nación y demás normas vigentes</t>
  </si>
  <si>
    <t>SAP-027 Prestar los servicios de apoyo en la atención de peticiones, quejas y reclamos del aplicativo Sistema Distrital de Quejas y Soluciones  (SDQS), relacionados con laprestación de Servicios de alumbrado público a cargo de la SSFAP</t>
  </si>
  <si>
    <t xml:space="preserve">SAP-029 Prestar los servicios profesionales como ingeniero electricista en la Subdirección de Servicios Funerarios y Alumbrado Público, orientados al apoyo en la revisión de diseños fotométricos y/o  actividades propias de la prestación del servicio de Alumbrado Público en la ciudad de Bogotá. </t>
  </si>
  <si>
    <t>OACRI-04 Prestar servicios profesionales para apoyar la coordinación de la oficina de comunicaciones y la verificación y corrección  de los contenidos producidos, asi como la presentacion de eventos y la generación de contenidos periodisticos de la Unidad Administrativa Especial de Servicios Públicos</t>
  </si>
  <si>
    <t>OACRI-05 Prestar servicios profesionales para apoyar la generación de estrategias, campañas y contenidos  institucionales para el público interno de la Unidad Administrativa Especial de Servicios Públicos.</t>
  </si>
  <si>
    <t xml:space="preserve">OACRI-06 Prestar servicios profesionales para apoyar la creación de contenidos para dar a conoccer  los pogramas, proyectos y acciones de la Unidad, así como la generación de campañas pedagógicas y cultura ciudadana y la coordinación de la realización de contenidos audiovisuales de la entidad </t>
  </si>
  <si>
    <t>OACRI-08 Prestar servicios profesionales para apoyar la realización de cubrimientos audiovisuales y la postproducccion de contenidos de las áreas misinales  de la Unidad Administrativa Especial de Servicios Públicos</t>
  </si>
  <si>
    <t>OAP-007 Prestar los servicios profesionales a la Unidad Administrativa Especial de Servicios Públicos UAESP y en particular a la Oficina Asesora de Planeación en los temas propios de participación ciudadana, rendición de cuentas, control social y seguimiento de metas alineado con lo establecido en el Modelo Integrado de Planeación y Gestión MIPG.</t>
  </si>
  <si>
    <t>Prestar servicios profesionales a la Unidad Administrativa Especial de Servicios Públicos – UAESP, en la implementación, desarrollo y mantenimiento del Modelo Integrado de Planeación y Gestión MIPG y el sistema integrado de gestión, así como realizar el seguimiento, gestión presupuestal y eficiencia del gasto de los proyectos asignados</t>
  </si>
  <si>
    <t>SAF-0037 Prestar servicios profesionales apoyando a la subdirección administrativa y financiera desde el punto de vista jurídico, con el fin de fortalecer la gestión institucional</t>
  </si>
  <si>
    <t>SAF-0052 prestar servicios profesionales apoyando a la subdirección administrativa y financiera desde el punto de vista jurídico, con el fin de fortalecer la gestión institucional</t>
  </si>
  <si>
    <t>SAF-0053 prestar servicios profesionales apoyando a la subdirección administrativa y financiera desde el punto de vista jurídico, con el fin de fortalecer la gestión institucional</t>
  </si>
  <si>
    <t>SAF-0054 prestar servicios profesionales apoyando a la subdirección administrativa y financiera desde el punto de vista jurídico, con el fin de fortalecer la gestión institucional</t>
  </si>
  <si>
    <t>SAF-0055 prestar servicios profesionales apoyando a la subdirección administrativa y financiera desde el punto de vista jurídico, con el fin de fortalecer la gestión institucional</t>
  </si>
  <si>
    <t>SAF-0056 prestar servicios profesionales apoyando a la subdirección administrativa y financiera desde el punto de vista jurídico, con el fin de fortalecer la gestión institucional</t>
  </si>
  <si>
    <t>SAF-0057 Prestar servicios de apoyo a la gestión de la Subdirección Administrativa y Financiera de la Unidad Administrativa Especial de Servicios Públicos – UAESP, a través de la ejecución de actividades relacionadas con la organización física y digital de documentación, la actualización de los inventarios documentales en el formato FUID adoptado por la Unidad y el proceso de correspondencia.</t>
  </si>
  <si>
    <t>SAF-0058 Prestar servicios profesionales a la Subdirección Administrativa y financiera en la ejecución de actividades relacionadas con la gestión financiera y contable de la UAESP.</t>
  </si>
  <si>
    <t>SAF-0092 Prestar servicios de apoyo a la gestión de la Subdirección Administrativa y Financiera de la UAESP, desarrollando actividades operativas y logísticas, que contribuyan a la gestión administrativa de la Unidad.</t>
  </si>
  <si>
    <t>55121703;55121704;46171602;39101615;42171611</t>
  </si>
  <si>
    <t xml:space="preserve">SAF-0098 Adquisición de elementos que para el desarrollo y cumplimiento del Sistema de Gestión de Seguridad y Salud en el Trabajo en la UAESP. </t>
  </si>
  <si>
    <t>SAL-053. Prestar los servicios profesionales a la Subdirección de Asuntos Legales desde el punto de vista jurídico dentro de los procesos de selección y contratación en general, en sus etapas precontractuales, contractuales y postcontractuales teniendo en cuenta los requerimientos solicitados por las diferentes dependencias de la Unidad Administrativa Especial de Servicios Públicos.</t>
  </si>
  <si>
    <t>SUBDIRECCION DE ASUNTOS LEGALES</t>
  </si>
  <si>
    <t>SDF34-Prestar servicios profesionales a la Subdirección de Disposición Final para apoyar en las actividades de seguimiento y control  de vectores, fichas del PMA y seguimiento a los informes de cumplimiento ambiental ICAS de los proyectos de optimización Fase I y Fase II, relacionados con los contratos de manejo integral de los residuos sólidos en el Distrito Capital.</t>
  </si>
  <si>
    <t>SDF35-Prestar servicios profesionales a la Subdirección de Disposición Final para apoyar en el acompañamiento de las actividades del Sistema de Gestión de Seguridad y Salud en el Trabajo (SG-SST) y que aporten al fortalecimiento y construcción del ambiente laboral y de salud, mediante la gestión técnica, logística y administrativa que requiera el área.</t>
  </si>
  <si>
    <t>SDF36-Prestar los servicios técnicos desde el componente ambiental en el área social de la Subdirección de Disposición Final apoyando en lagestión, seguimiento y control de la ejecución del plan de Gestión Social de la Zona de influencia.</t>
  </si>
  <si>
    <t>SDF38-Prestar servicios profesionales a la Subdirección de Disposición Final en el seguimiento y control a la ejecución y cumplimiento de obligaciones contractuales ambientales de los consecionarios, además de las establecidas en la licencia ambiental y/o en los actos administrativos proferidos por la autoridad ambiental.</t>
  </si>
  <si>
    <t>SDF40-Prestar servicios de apoyo en mantenimiento, cuidado y preservación de áreas adquiridas para protección y conservación ambiental en predios de influencia directa del servicio disposición final RSU  propiedad de UAESP.</t>
  </si>
  <si>
    <t>SDF48-Prestar servicios profesionales a la Subdirección de Disposición Final, apoyando las estrategias de relacionamiento y divulgación en temas de interes con la comunidad y entidades presentes en área de influencia.</t>
  </si>
  <si>
    <t>SAF-0014 Prestar servicios profesionales para apoyar a la Subdirección Administrativa y Financiera, en el marco del Sistema General de Salud y Seguridad en el Trabajo, en la ejecución de actividades de prevención y promoción, evaluación e intervención en temas relacionados con las condiciones de salud de los colaboradores de la entidad, a fin de garantizar el bienestar de los mismos.</t>
  </si>
  <si>
    <t>SAF-0017 Prestar servicios de apoyo a la gestión de la Subdirección Administrativa y Financiera de la Unidad Administrativa Especial de Servicios Públicos – UAESP, a través de la ejecución de actividades relacionadas con la organización física y digital de documentación, la actualización de los inventarios documentales en el formato FUID adoptado por la Unidad y el proceso de correspondencia.</t>
  </si>
  <si>
    <t>SA-OPS-105 Prestar servicios profesionales para apoyar a la Subdirección de Aprovechamiento de la Unidad Administrativa Especial de Servicios Públicos – UAESP-, en el apoyo a la coordinación en la construcción e implementación de la política pública del servicio de aseo, el PGIRS y el POT, de acuerdo con lo establecido en el Plan de Desarrollo Distrital y los autos de la Honorable Corte Constitucional desde el componente de aprovechamiento en el Distrito Capital.</t>
  </si>
  <si>
    <t>SA-OPS-108 Prestar los servicios de apoyo a la Subdirección de Aprovechamiento de la Unidad Administrativa Especial de Servicios Públicos -UAESP-, para implementar actividades de sistematización y gestión de la planeación y ejecución del presupuesto operativo de los diferentes proyectos de inversión  a cargo de la subdirección, coordinando con los diferentes centros de costo para que se asegure la marcha de cada uno de tales proyectos, así como planear y Controlar el manejo de ingresos y egresos de los mismos</t>
  </si>
  <si>
    <t>SAL-051. Prestar servicios de apoyo a la gestión a la Subdirección de Asuntos Legales de la Unidad Administrativa Especial de Servicios Públicos – UAESP, mediante la ejecución de actividades administrativas, organización documental de los expedientes, entre otros.</t>
  </si>
  <si>
    <t>RBL-0031 Prestar los servicios profesionales a la Subdirección de Recolección, Barrido y Limpieza apoyando a la supervisión en la revisión, control y seguimiento a las actividades realizadas por la interventoría del servicio público de aseo; así como en los aspectos técnicos y operativos relacionados con la implementación del Plan de Gestión Integral de Residuos Sólidos - PGIRS, en los programas asignados a la Subdirección de RBL.</t>
  </si>
  <si>
    <t>RBL-0039 Apoyar la Unidad Administrativa Especial de Servicios Públicos UAESP - en las acciones necesarias para el fortalecimiento de la gestión social en la divulgación y promoción para el manejo adecuado de los residuos sólidos en las localidades del Distrito Capital.</t>
  </si>
  <si>
    <t>RBL-0040 Apoyar la Unidad Administrativa Especial de Servicios Públicos UAESP - en las acciones necesarias para el fortalecimiento de la gestión social en la divulgación y promoción para el manejo adecuado de los residuos sólidos en las localidades del Distrito Capital.</t>
  </si>
  <si>
    <t>RBL-0041 Apoyar la Unidad Administrativa Especial de Servicios Públicos UAESP - en las acciones necesarias para el fortalecimiento de la gestión social en la divulgación y promoción para el manejo adecuado de los residuos sólidos en las localidades del Distrito Capital.</t>
  </si>
  <si>
    <t>TIC- -0026 Prestar apoyo de soporte técnico y funcional en la administración del Sistema de Gestión Documental ORFEO desde la oficina TIC y la Subdirección Administrativa y Financiera.</t>
  </si>
  <si>
    <t xml:space="preserve">TIC - 0027 Prestar apoyo a la Oficina de Tic en todo lo relacionado a programas informáticos y desarrollo de aplicaciones  </t>
  </si>
  <si>
    <t>80131502</t>
  </si>
  <si>
    <t>SAF-0001 Arrendamiento del inmueble ubicado en la carrera 16 no. 53-38 de la localidad de Chapinero de la ciudad de Bogotá D.C., para el funcionamiento del archivo de gestión de la UAESP</t>
  </si>
  <si>
    <t>SAF-0002 Prestar servicios profesionales para apoyar a la Subdirección Administrativa y Financiera, en los asuntos de carácter técnico de infraestructura de las sedes administrativas de la UAESP.</t>
  </si>
  <si>
    <t>SAF-0003 Prestar servicios de apoyo a la gestión de la Subdirección Administrativa y Financiera de la Unidad Administrativa Especial de Servicios Públicos – UAESP, a través de la ejecución de actividades relacionadas con la organización física y digital de documentación, la actualización de los inventarios documentales en el formato FUID adoptado por la Unidad y el proceso de correspondencia.</t>
  </si>
  <si>
    <t>SAF-0004 Prestar servicios de apoyo a la gestión de la Subdirección Administrativa y Financiera de la Unidad Administrativa Especial de Servicios Públicos – UAESP, a través de la ejecución de actividades relacionadas con la organización física y digital de documentación, la actualización de los inventarios documentales en el formato FUID adoptado por la Unidad y el proceso de correspondencia.</t>
  </si>
  <si>
    <t>SAF-0006 Prestar servicios profesionales a la subdireccion administrativa y financiera de la Unidad Administrativa Especial de Servicios Públicos – UAESP, brindando apoyo en la ejecución de actividades relacionadas con la gestión y administración del talento humano, así como aquellas de índole financiero y contable</t>
  </si>
  <si>
    <t>SAF-0007 Prestar servicios profesionales para apoyar a la Subdirección Administrativa y Financiera en el proceso de Gestión de Talento Humano en lo pertinente a las actividades de Plan Estratégico de Talento Humano</t>
  </si>
  <si>
    <t>SAF-0008 Prestar servicios profesionales para apoyar a la Subdirección Administrativa y Financiera en la implementación, coordinación y ejecución de las actividades del Sistema de Seguridad y Salud en el Trabajo en los temas de su especialidad.</t>
  </si>
  <si>
    <t>SAF-0009 Prestar los servicios profesionales en la Subdirección Administrativa y Financiera, para la Administración y ejecución de las actividades del Sistema de Gestión de Seguridad y Salud en el Trabajo – SGSST de la Unidad y las normas que lo regulan.</t>
  </si>
  <si>
    <t>SAF-0010 Prestar servicios profesionales para apoyar a la Unidad Administrativa Especial de Servicios Públicos de Bogotá, en los proyectos de carácter técnico de la infraestructura de sus sedes administrativas.</t>
  </si>
  <si>
    <t>SAF-0011 Prestar servicios profesionales a la Subdirección Administrativa y Financiera de la Unidad desde el punto de vista financiero en los asuntos que le sean requeridos</t>
  </si>
  <si>
    <t>SAF-0012 Prestar servicios de apoyo a la gestión de la Subdirección Administrativa y Financiera de la Unidad Administrativa Especial de Servicios Públicos – UAESP, a través de la ejecución de actividades relacionadas con la organización física y digital de documentación, la actualización de los inventarios documentales en el formato FUID adoptado por la Unidad y el proceso de correspondencia.</t>
  </si>
  <si>
    <t>RBL-0024 Prestar apoyo operativo a la Subdirección de Recolección, Barrido y Limpieza, para el seguimiento del servicio público de aseo especialmente en sus componentes de recolección, barrido y limpieza, y los procesos relacionados con la gestión documental.</t>
  </si>
  <si>
    <t>RBL-0025 Prestar los servicios profesionales a la Subdirección de Recolección, Barrido y Limpieza apoyando a la supervisión en la revisión, control y seguimiento a las actividades realizadas por la interventoría del servicio público de aseo, así como en los aspectos técnicos y operativos relacionados con la prestación del servicio.</t>
  </si>
  <si>
    <t>RBL-0026 Prestar los servicios profesionales a la Subdirección de Recolección,Barrido y Limpieza de la Unidad Administrativa Especial de Servicios Públicos – UAESP, en el apoyo a la supervisión, especialmente en aspectos de gestión empresarial y en el seguimiento de los componentes comerciales y financieros del esquema de prestación del servicio público de aseo en el Distrito Capital.</t>
  </si>
  <si>
    <t>RBL-0027 Prestar los servicios profesionales a la Subdirección de Recolección, Barrido y Limpieza apoyando a la supervisión en la revisión, control y seguimiento a las actividades realizadas por la interventoría del servicio público de aseo, así como en los aspectos técnicos y operativos relacionados con la prestación del servicio.</t>
  </si>
  <si>
    <t>RBL-0028 Prestar los servicios profesionales a la Subdirección de Recolección, Barrido y Limpieza apoyando a la supervisión en la revisión, control y seguimiento a las actividades realizadas por la interventoría del servicio público de aseo; así como en los aspectos técnicos y operativos relacionados con la implementación del Plan de Gestión Integral de Residuos Sólidos - PGIRS, en los programas asignados a la Subdirección de RBL.</t>
  </si>
  <si>
    <t>RBL-0029 Prestar los servicios profesionales a la Subdirección de Recolección, Barrido y Limpieza de la Unidad Administrativa Especial de Servicios Públicos, apoyando a la supervisión en los aspectos de carácter técnico, operativo, normativo, ambiental, sanitario y de calidad, inherentes a los esquemas de prestación del servicio y de gestión integral de residuos sólidos generados en el Distrito Capital.</t>
  </si>
  <si>
    <t>RBL-0030 Prestar los servicios profesionales a la Subdirección de Recolección, Barrido y Limpieza apoyando a la supervisión en la revisión, control y seguimiento a las actividades realizadas por la interventoría del servicio público de aseo; así como en los aspectos técnicos y operativos relacionados con la implementación del Plan de Gestión Integral de Residuos Sólidos - PGIRS, en los programas asignados a la Subdirección de RBL.</t>
  </si>
  <si>
    <t>SAF-0075 Prestar servicios de apoyo a la gestión de la Subdirección Administrativa y Financiera de la Unidad Administrativa Especial de Servicios Públicos – UAESP, a través de la ejecución de actividades relacionadas con la organización física y digital de documentación, la actualización de los inventarios documentales en el formato FUID adoptado por la Unidad y el proceso de correspondencia.</t>
  </si>
  <si>
    <t>SAF-0076 Prestar servicios de apoyo a la gestión a la Subdirección Administrativa y Financiera de la UAESP desarrollando las actividades de conducción de vehículos automotores con la responsabilidad y habilidad requerida, procurando el uso adecuado del automotor asignado y cumpliendo con las normas de tránsito</t>
  </si>
  <si>
    <t>SA-OPS-059 Prestación de servicios de apoyo a la gestión relacionada con la separación insitu de los residuos de construcción y demolición -RCD- que están mezclados y se encuentran en los puntos críticos y/o de arrojo clandestino de la ciudad de Bogotá, asignados por la Unidad Administrativa Especial de Servicios Publicas -UAESP-, que le permita obtener a la organización de recicladores el material aprovechable de cada punto para la zona 11</t>
  </si>
  <si>
    <t>SA-OPS-064 Prestar los servicios de apoyo a la de la Subdirección de Aprovechamiento para realizar el seguimiento y gestión en los procesos de adquisición, análisis de viabilidad y uso de suelo de los predios para proyectos de Aprovechamiento.</t>
  </si>
  <si>
    <t>SA-OPS-065 Prestar Servicios profesionales a la Subdirección de Aprovechamiento para desarrollar los procesos de gestión territorial mediante la estrategia de Cultura Ciudadana “La Basura no es Basura”, la implementación de acciones afirmativas y la identificación y formalización de recicladores de oficio en el registro RURO.</t>
  </si>
  <si>
    <t>SA-OPS-066 Prestar los servicios profesionales a la Subdirección de Aprovechamiento, para implementar procesos de fortalecimiento a las organizaciones de recicladores de oficio, promover la formalización de acuerdo al Decreto 596 de 2016 y la implementación de acciones afirmativas establecidas por las sentencias de la Honorable Corte Constitucional.</t>
  </si>
  <si>
    <t>SA-OPS-067 Prestar los servicios profesionales a la Subdirección de Aprovechamiento, para implementar procesos de fortalecimiento a las organizaciones de recicladores de oficio, promover la formalización de acuerdo al Decreto 596 de 2016 y la implementación de acciones afirmativas establecidas por las sentencias de la Honorable Corte Constitucional.</t>
  </si>
  <si>
    <t>SA-OPS-068 Prestar servicios de apoyo a la gestión de la Subdirección de Aprovechamiento, en la implementación de procesos y proyectos de aprovechamiento y tratamiento de residuos, en el marco de la política de economía circular y del manejo integral de residuos sólidos.</t>
  </si>
  <si>
    <t>SA-OPS-070 Prestar servicios de apoyo a la gestión de la Subdirección de Aprovechamiento, en la implementación de procesos y proyectos de aprovechamiento y tratamiento de residuos, en el marco de la política de economía circular y del manejo integral de residuos sólidos.</t>
  </si>
  <si>
    <t xml:space="preserve">SA-OPS-071 Prestar servicios profesionales a la Subdirección de Aprovechamiento, en la formulación e implementación de procesos y proyectos de aprovechamiento y tratamiento de residuos, en el marco de la política de economía circular y del manejo integral de residuos sólidos. </t>
  </si>
  <si>
    <t xml:space="preserve">SA-OPS-072 Prestar servicios profesionales a la Subdirección de Aprovechamiento, en la formulación e implementación de procesos y proyectos de aprovechamiento y tratamiento de residuos, en el marco de la política de economía circular y del manejo integral de residuos sólidos. </t>
  </si>
  <si>
    <t xml:space="preserve">SA-OPS-073 Prestar servicios profesionales a la Subdirección de Aprovechamiento, en la formulación e implementación de procesos y proyectos de aprovechamiento y tratamiento de residuos, en el marco de la política de economía circular y del manejo integral de residuos sólidos. </t>
  </si>
  <si>
    <t>SA-OPS-074 Prestar los servicios de apoyo a la gestión mediante la atención presencial, telefónica y/o virtual, gestionando las peticiones, solicitudes, reclamos y trámites de los ciudadanos, población recicladora de oficio y organizaciones de recicladores, así como en la caracterización de la información obtenida en los puntos de atención establecidos por la entidad.</t>
  </si>
  <si>
    <t>SA-OPS-102 Prestar servicios profesionales a la Subdirección de Aprovechamiento de la Unidad Administrativa Especial de Servicios Públicos – UAESP-, apoyando la formulación e implementación de procesos de aprovechamiento y tratamiento de residuos en el marco de la política de economía circular y del manejo integral de residuos sólidos, así como lo establecido en el Plan de Desarrollo Distrital, las normas de aprovechamiento y los autos de la Honorable Corte Constitucional desde el componente de aprovechamiento en el Distrito Capital.</t>
  </si>
  <si>
    <t>SA-OPS-111 Prestar servicios profesionales a la Subdirección de Aprovechamiento para ejecutar las acciones encaminadas a la implementación de la Estrategia de cultura ciudadana "La basura no es basura" en los diferentes territorios de Bogotá, en articulación con el desarrollo de acciones afirmativas a la población recicladora de oficio, en el marco de la gestión de residuos sólidos.</t>
  </si>
  <si>
    <t xml:space="preserve">TIC - 0023 Prestar  servicios  profesionales  de  soporte  técnico,  desarrollo  e  implementación  de nuevas  funcionalidades  sobre  el  Sistema  de  Gestión  Documental - Orfeo  y  archivo  en  su articulación con el Sistema Integrado de Gestión institucional de la Unidad Administrativa Especial de Servicios Públicos – UAESP. </t>
  </si>
  <si>
    <t>OACRI-02 Prestar servicios profesionales para apoyar las actividades de edición, diseño, producción y post producción audiovisual para la generación de contenidos relacionados con la Unidad Administrativa Especial de Servicios Públicos</t>
  </si>
  <si>
    <t>OACRI-03 Prestar servicios profesionales para apoyar la elaboración de material periodístico de la UAESP para su divulgacion, así como, el efectivo relacionamiento con medios de comunicación y la creación de  campañas de posicionamiento y cultura ciudadana de la entidad</t>
  </si>
  <si>
    <t>SA-OPS-198 Prestar los servicios Profesionales a la Subdirección de Aprovechamiento, en la administración depuración, trasformación, actualización de datos con diferentes metodologías, aplicaciones y tecnologías; y a partir de los sistemas transaccionales de la UAESP generar información y reportes.</t>
  </si>
  <si>
    <t>81112204;81112220;81112301</t>
  </si>
  <si>
    <t>TIC - 0032 Contratar los servicios técnicos especializados mediante horas de soporte, que garantice el correcto funcionamiento de la Infraestructura y servicios de la Tecnología de la Información de la Unidad Administrativa Especial de Servicios Públicos (UAESP)</t>
  </si>
  <si>
    <t>SAF-0102  Prestar servicios de apoyo a la gestión de la Subdirección Administrativa y Financiera de la Unidad Administrativa Especial de Servicios Públicos – UAESP, a través de la ejecución de actividades relacionadas con la organización física y digital de documentación, la actualización de los inventarios documentales en el formato FUID adoptado por la Unidad y el proceso de correspondencia.</t>
  </si>
  <si>
    <t>81131504</t>
  </si>
  <si>
    <t>SAF-0100 Adquisición e Implementación de un Sistema de medición a través de encuestas telefónicas automáticas, para la consolidación de reportes de atención al usuario en la UAESP.</t>
  </si>
  <si>
    <t>SAF-0103  Prestar servicios de apoyo a la gestión de la Subdirección Administrativa y Financiera de la Unidad Administrativa Especial de Servicios Públicos – UAESP, a través de la ejecución de actividades relacionadas con la organización física y digital de documentación, la actualización de los inventarios documentales en el formato FUID adoptado por la Unidad y el proceso de correspondencia.</t>
  </si>
  <si>
    <t>SAF-0101  Prestar servicios de apoyo a la gestión de la Subdirección Administrativa y Financiera de la Unidad Administrativa Especial de Servicios Públicos – UAESP, a través de la ejecución de actividades relacionadas con la organización física y digital de documentación, la actualización de los inventarios documentales en el formato FUID adoptado por la Unidad y el proceso de correspondencia.</t>
  </si>
  <si>
    <t>SAF-0104 Prestar servicios de apoyo a la gestión de la Subdirección Administrativa y Financiera de la UAESP, desarrollando actividades operativas y logísticas, que contribuyan a la gestión administrativa de la Unidad.</t>
  </si>
  <si>
    <t>RBL-0078 Prestar los servicios operativos a la Subdirección de Recolección, Barrido y Limpieza, para el fortalecimiento de la gestión social en la divulgación y promoción de las acciones necesarias para el manejo adecuado de los residuos sólidos en las localidades del Distrito Capital.</t>
  </si>
  <si>
    <t>RBL- 0079 Prestar los servicios profesionales a la Subdirección de Recolección, Barrido y Limpieza en el seguimiento a la prestación del servicio público de aseo, especialmente en el componente de corte de césped y poda de árboles en el Distrito Capital.</t>
  </si>
  <si>
    <t>OAP-015 Prestar los servicios profesionales para apoyar a la Oficina Asesora de Planeación de la Unidad Administrativa Especial de Servicios Públicos, para el desarrollo de las actividades requeridas en cumplimiento de los planes de acción, y alertas tempranas de las políticas públicas con enfoque poblacional, diferencial y de derechos humanos.</t>
  </si>
  <si>
    <t>OAP-016 Prestar los servicios de apoyo administrativo a la Oficina Asesora de Planeación OAP, en las actividades de clasificación, depuración y organización de los documentos fisicos o virtuales, cuyo tramite debe ser ajustado a  la normativa vigente en gestión documental.</t>
  </si>
  <si>
    <t>SAF-0024 Prestar servicios profesionales para apoyar a la Subdirección Administrativa y Financiera, a través del registro de las operaciones presupuestales en aplicativos, así como en la organización de los documentos físicos y digitales producidos en la misma.</t>
  </si>
  <si>
    <t>SAF-0025 Prestar servicios profesionales apoyando a la Subdirección Administrativa y Financiera en las actividades inherentes al servicio de atención al ciudadano de la Unidad Administrativa Especial de Servicios Públicos – UAESP con el fin de fortalecer la gestión institucional.</t>
  </si>
  <si>
    <t>TIC - 0025 Prestar servicios profesionales en apoyo a los requerimientos técnicos y de buenas prácticas que genere la mesa de ayuda de la Oficina de TIC de la UAESP</t>
  </si>
  <si>
    <t>SDF39-Prestar los servicios profesionales a la Subdirección de Disposición Final en informes de cumplimiento ambiental ICAs y seguimiento de actividades inmersas en la Licencia Ambiental del Relleno Sanitario - predio Doña Juana.</t>
  </si>
  <si>
    <t>SDF41-Prestar servicios de apoyo en mantenimiento, cuidado y preservación de áreas adquiridas para protección y conservación ambiental en predios de influencia directa del servicio disposición final RSU  propiedad de UAESP.</t>
  </si>
  <si>
    <t>SDF42-Prestar servicios de apoyo en mantenimiento, cuidado y preservación de áreas adquiridas para protección y conservación ambiental en predios de influencia directa del servicio disposición final RSU  propiedad de UAESP.</t>
  </si>
  <si>
    <t xml:space="preserve">SDF43-Prestación de servicios profesionales para brindar apoyo a la Subdirección de Disposición Final de la UAESP, desde el componente de la ingeniería civil, en obras de actividades operativas y de infraestructura que requiera el área. </t>
  </si>
  <si>
    <t>SDF44-Prestar servicios profesionales a la Subdirección de Disposición Final en apoyo al Plan de Manejo Ambiental y las obligaciones de la Licencia Ambiental respecto a las compensaciones forestales de UAESP.</t>
  </si>
  <si>
    <t xml:space="preserve">SDF45-Prestar servicios profesionales a la Subdirección de Disposición final de la UAESP para apoyar desde el componente de ingeniería industrial la gestión en la prestación del servicio en el manejo de los residuos sólidos en los predios Doña Juana. </t>
  </si>
  <si>
    <t>SDF46-Prestar servicios profesionales para apoyar a la Subdirección de Disposición Final, del seguimiento a la licencia ambiental en lo referente a obras civiles, cierres de celdas o zonas de disposición final, Seguimiento a cronogramas, apoyo técnico al estado de las obras de arte y en la construcción de obras civiles.</t>
  </si>
  <si>
    <t>SDF49-Prestar los servicios profesionales a la subdirección de Disposición Final para apoyar la implementación del PGS, seguimiento del PMA y medidas de compensación en la zona de influencia del proyecto sanitario Doña Juana.</t>
  </si>
  <si>
    <t>SDF50-Prestar servicios profesionales a la Subdirección de Disposición Final en apoyo a las actividades asociadas al componente social en el área de influencia indirecta por la gestión de residuos en Doña Juana.</t>
  </si>
  <si>
    <t>SDF51-B-Prestar servicios profesionales como especialista en Tratamiento de Aguas  para realizar el apoyo a la Supervisión en el marco del desarrollo de contratos de Consultorías para la gestión de residuos a cargo de la Subdirección de Disposición final de la UAESP.</t>
  </si>
  <si>
    <t>SDF52-B-Prestar servicios profesionales como especialista en Tratamiento de Residuos para realizar el apoyo a la Supervisión en el marco del desarrollo de contratos de Consultorías para la gestión de residuos a cargo de la Subdirección de Disposición final de la UAESP.</t>
  </si>
  <si>
    <t>SAL-19. Prestar servicios de apoyo a la gestión a la Subdirección de Asuntos Legales de la Unidad Administrativa Especial de Servicios Públicos – UAESP, mediante la ejecución de actividades administrativas, organización de expedientes, actualización de  bases de datos, entre otros, con el fin de apoyar los requerimientos y gestión del grupo de contratación y de los sistemas de información del mismo.</t>
  </si>
  <si>
    <t>SAL-020. Prestar servicios profesionales a la Subdirección de Asuntos Legales, desde el punto de vista técnico para la implementación del Sistema Electrónico de Contratación Pública II.</t>
  </si>
  <si>
    <t>SA-OPS-171 Prestar Servicios profesionales a la Subdirección de Aprovechamiento para desarrollar los procesos de gestión territorial mediante la estrategia de Cultura Ciudadana “La Basura no es Basura”, la implementación de acciones afirmativas y la identificación y formalización de recicladores de oficio en el registro RURO.</t>
  </si>
  <si>
    <t>SA-OPS-172 Prestar Servicios profesionales a la Subdirección de Aprovechamiento para desarrollar los procesos de gestión territorial mediante la estrategia de Cultura Ciudadana “La Basura no es Basura”, la implementación de acciones afirmativas y la identificación y formalización de recicladores de oficio en el registro RURO.</t>
  </si>
  <si>
    <t>SA-OPS-173 Prestar servicios de apoyo a la gestión en la Subdirección de Aprovechamiento para la administración de las bodegas o ECAS y en procesos de sensibilización en el área de influencia a cargo de la UAESP, en temas como recolección, verificación y seguimiento de los datos relacionados con el aprovechamiento y en la atención a la población recicladora de oficio.</t>
  </si>
  <si>
    <t>SA-OPS-174 Prestar servicios de apoyo a la gestión en la Subdirección de Aprovechamiento para la administración de las bodegas o ECAS y en procesos de sensibilización en el área de influencia a cargo de la UAESP, en temas como recolección, verificación y seguimiento de los datos relacionados con el aprovechamiento y en la atención a la población recicladora de oficio.</t>
  </si>
  <si>
    <t>SA-OPS-175 Prestar servicios profesionales a la Subdirección de Aprovechamiento para ejecutar las acciones encaminadas a la implementación de la Estrategia de cultura ciudadana "La basura no es basura" en los diferentes territorios de Bogotá, en articulación con el desarrollo de acciones afirmativas a la población recicladora de oficio, en el marco de la gestión de residuos sólidos.</t>
  </si>
  <si>
    <t>SA-OPS-176 Prestar servicios de apoyo a la gestión de la Subdirección de Aprovechamiento, en la formulación de iniciativas de emprendimiento en el marco del reciclaje y de la economía circular en el componente de RCD proveniente de pequeños generadores en el Distrito Capital incluido su aprovechamiento y separación in situ de los puntos críticos y/o de arrojo clandestino en la ciudad de Bogotá.</t>
  </si>
  <si>
    <t>SA-OPS-177 Prestar servicios de apoyo a la gestión de la Subdirección de Aprovechamiento, en la formulación de iniciativas de emprendimiento en el marco del reciclaje y de la economía circular en el componente de RCD proveniente de pequeños generadores en el Distrito Capital incluido su aprovechamiento y separación in situ de los puntos críticos y/o de arrojo clandestino en la ciudad de Bogotá.</t>
  </si>
  <si>
    <t>OAP-014 Prestar servicios profesionales a la Oficina Asesora de Planeación –OAP de la   Unidad Administrativa Especial de Servicios Especiales Públicos UAESP, para apoyar  el seguimiento y mantenimiento del Plan de mejoramiento interno y externo de la OAP, así como apoyar las actividades para el fortalecimiento del Modelo Integrado de Planeación y Gestión – MIPG UAESP.</t>
  </si>
  <si>
    <t xml:space="preserve">Prestar los servicios profesionales a la Subdirección de Asuntos Legales desde el punto de vista jurídico dentro de los procesos de selección y contratación en general, en sus etapas precontractuales, contractuales y postcontractuales, teniendo en cuenta los requerimientos solicitados por las diferentes dependencias de la Unidad Administrativa Especial de Servicios Públicos - </t>
  </si>
  <si>
    <t>SA-OPS-156 Prestar los servicios profesionales a la Subdirección de Aprovechamiento de la Unidad Administrativa Especial de Servicios Públicos -UAESP-, para implementar procesos de fortalecimiento a las organizaciones de recicladores de oficio, el desarrollo de actividades de separación de residuos en la fuente, divulgación de la normatividad, políticas y lineamientos distritales en laPrestación del servicio público de aseo en las localidades de Bogotá y sus zonas rurales, en el marco de la formalización, acciones afirmativas, Decreto 596 de 2016 y las sentencias de la honorable corte constitucional.</t>
  </si>
  <si>
    <t>SA-OPS-166 Prestar servicios profesionales en el Punto Vive Digital De la Unidad Administrativa Especial de Servicios Públicos - UAESP- en el desarrollo de las actividades programadas y de capacitación en el componente informático a la población recicladora de oficio de la Ciudad.</t>
  </si>
  <si>
    <t>3057866144</t>
  </si>
  <si>
    <t xml:space="preserve">SSF-005 Prestar los servicios profesionales especializados a la Subdirección de Servicios Funerarios y Alumbrado Público en temas de arquitectura y patrimonio cultural inmueble, relacionados con la prestación de los servicios funerarios en los Cementerios de propiedad del Distrito Capital </t>
  </si>
  <si>
    <t>SSF-007 Prestar los servicios profesionales especializados a la Subdirección de Servicios Funerarios y Alumbrado Público en el componente ambiental, relacionados con la prestación de los servicios funerarios en los Cementerios de propiedad del Distrito</t>
  </si>
  <si>
    <t xml:space="preserve">SSF-009 Prestar los servicios profesionales para realizar el apoyo en los componentes financiero  y estadístico a los contratos a cargo de la Subdirección de Servicios Funerarios y Alumbrado Público. </t>
  </si>
  <si>
    <t>SSF-012 Prestar los servicios profesionales en la Subdirección de Servicios Funerarios y Alumbrado Público en el ámbito de la ingeniería civil, para apoyar el seguimiento y control de las actividades relacionadas con infraestructura  en los Cementerios propiedad del Distrito Capital.</t>
  </si>
  <si>
    <t>SSF-015 Prestar los servicios de apoyo a la Subdirección de Servicios Funerarios y Alumbrado Público, brindando acompañamiento en atención al ciudadano,  solicitudes y peticiones relacionadas principalmente con el programa de Subsidios Funerarios y los servicios a cargo de la Subdirección.</t>
  </si>
  <si>
    <t>RBL-0084 Prestar los servicios profesionales a la Subdirección de Recolección, Barrido y Limpieza apoyando a la supervisión en la revisión, control y seguimiento a las actividades realizadas por la interventoría del servicio público de aseo, así como en los aspectos técnicos y operativos relacionados con la prestación del servicio</t>
  </si>
  <si>
    <t>RBL-0085 Prestar los servicios profesionales a la Subdirección de Recolección, Barrido y Limpieza de la Unidad Administrativa de Servicios Públicos -UAESP en la promoción y divulgación de estrategias técnicas pedagógicas y campañas orientadas al manejo responsable de los residuos sólidos en el Distrito Capital</t>
  </si>
  <si>
    <t>RBL-0086 Prestar los servicios profesionales a la Subdirección de Recolección, Barrido y Limpieza, apoyando la gestión externa de residuos hospitalarios y similares, para el seguimiento, planeación, control, revisión y verificación de las políticas, planes, programas, actividades y procesos, enmarcados en los componentes de gestión y supervisión técnico operativo, ambiental, sanitario, normativo y de seguridad industrial y salud ocupacional.</t>
  </si>
  <si>
    <t>RBL-0087 Prestar los servicios profesionales a la subdirección de Recolección, Barrido y Limpieza para apoyar técnicamente el seguimiento al manejo de residuos voluminosos críticos en todos los procesos relacionados con la gestión integral de residuos sólidos en el Distrito Capital.</t>
  </si>
  <si>
    <t>RBL-0088 Prestar los servicios profesionales a la Subdirección de Recolección, Barrido y Limpieza apoyando a la supervisión en la revisión, control y seguimiento a las actividades realizadas por la interventoría del servicio público de aseo, así como en los aspectos técnicos y operativos relacionados con la prestación del servicio.</t>
  </si>
  <si>
    <t>RBL-0091 Apoyar la Unidad Administrativa Especial de Servicios Públicos UAESP - en las acciones necesarias para el fortalecimiento de la gestión social en la divulgación y promoción para el manejo adecuado de los residuos sólidos en las localidades del Distrito Capital.</t>
  </si>
  <si>
    <t>RBL-0089 Apoyar la Unidad Administrativa Especial de Servicios Públicos UAESP - en las acciones necesarias para el fortalecimiento de la gestión social en la divulgación y promoción para el manejo adecuado de los residuos sólidos en las localidades del Distrito Capital.</t>
  </si>
  <si>
    <t>RBL-0090 Apoyar la Unidad Administrativa Especial de Servicios Públicos UAESP - en las acciones necesarias para el fortalecimiento de la gestión social en la divulgación y promoción para el manejo adecuado de los residuos sólidos en las localidades del Distrito Capital.</t>
  </si>
  <si>
    <t>RBL-0092 Apoyar la Unidad Administrativa Especial de Servicios Públicos UAESP - en las acciones necesarias para el fortalecimiento de la gestión social en la divulgación y promoción para el manejo adecuado de los residuos sólidos en las localidades del Distrito Capital.</t>
  </si>
  <si>
    <t>RBL-0093 Prestar los servicios profesionales a la Subdirección de Recolección, Barrido y Limpieza en el seguimiento a la prestación del servicio público de aseo, en especial a aquellos residuos de manejo especial y críticos enmarcados en los procesos relacionados con la gestión integral de residuos sólidos en el Distrito Capital.</t>
  </si>
  <si>
    <t>RBL-0001 Prestar los servicios profesionales a la Unidad Administrativa Especial de Servicios Públicos  UAESP, en el seguimiento al servicio público de aseo y la gestión integral de residuos, en lo que respecta al análisis y consolidación de información estadística, geográfica, cartográfica y espacial del Distrito.</t>
  </si>
  <si>
    <t>RBL-0004 Prestar los servicios profesionales a la Unidad Administrativa Especial de Servicios Públicos  UAESP en la gestión Jurídica y Administrativa de la Subdirección de Recolección, Barrido y Limpieza  RBL, apoyando la supervisión del servicio de aseo, y todos los procesos relacionados con la gestión integral de los residuos sólidos en el Distrito.</t>
  </si>
  <si>
    <t>RBL-0005 Prestar los servicios profesionales a la Subdirección de Recolección Barrido y Limpieza desde el punto de vista jurídico en general y en especial en el seguimiento a la prestación del servicio público de aseo, en la ciudad de Bogotá.</t>
  </si>
  <si>
    <t>RBL-0006 Prestar servicios profesionales a la Subdirección de Recolección Barrido y Limpieza de la Unidad Administrativa Especial de servicios Públicos - UAESP, desde el punto de vista jurídico en general y en especial en aquellos asuntos relacionados con la prestación del servicio de aseo en la ciudad de Bogotá.</t>
  </si>
  <si>
    <t>RBL-0007 Prestar los servicios profesionales a la Subdirección de Recolección, Barrido y Limpieza  RBL - para brindar apoyo en el seguimiento de las actividades relacionadas con los aspectos técnicos, regulatorios y ambientales de la prestación del servicio público de aseo en el Distrito Capital.</t>
  </si>
  <si>
    <t>RBL-0008 Prestar los servicios profesionales a la Subdirección de Recolección,Barrido y Limpieza –RBL -para brindar apoyo en las actividades relacionadas con los aspectos técnicos, ambientales y operativos inherentes al seguimiento de la prestación del servicio público de aseo en el Distrito Capital.</t>
  </si>
  <si>
    <t>RBL-0009 Prestar los servicios profesionales a la Unidad Administrativa Especialde Servicios Públicos –UAESP-, para apoyar el seguimiento del serviciode aseo en los aspectos relacionados con la gestión integral de residuos sólidos, especialmente sectores subnormales y áreas rurales en la ciudadde Bogotá.</t>
  </si>
  <si>
    <t>RBL-0010 Prestar los servicios profesionales a la Subdirección de Recolección, Barrido y Limpieza en el seguimiento a la prestación del servicio público de aseo, especialmente en el componente de corte de césped y poda de árboles en el Distrito Capital.</t>
  </si>
  <si>
    <t>RBL-0011 Prestar los servicios profesionales a la Subdirección de Recolección,Barrido y Limpieza en el seguimiento a la prestación del servicio público de aseo, especialmente en el componente de corte de césped y poda de árboles, así como aspectos ambientales relativos al manejo de los residuos sólidos en el Distrito Capital.</t>
  </si>
  <si>
    <t>RBL-0012 Prestar los servicios profesionales a la Unidad Administrativa Especial de Servicios Públicos, apoyando a la supervisión en el seguimiento del servicio de aseo en sus componentes de recolección, barrido y limpieza CLUS, especialmente en las actividades de corte de césped y poda de árboles.</t>
  </si>
  <si>
    <t>RBL-0015 Prestar los servicios profesionales a la Subdirección de Recolección, Barrido y Limpieza de la Unidad Administrativa de Servicios Públicos -UAESP en la promoción y divulgación de estrategias técnicas pedagógicas y campañas orientadas al manejo responsable de los residuos sólidos en el Distrito Capital.</t>
  </si>
  <si>
    <t>RBL-0016 Prestar los servicios profesionales para apoyar la Subdirección de Recolección, Barrido y Limpieza de la Unidad Administrativa Especial de Servicios Públicos en aspectos Presupuestales, Planeamiento y Gestión de orden Administrativo, Presupuestal y Financiero</t>
  </si>
  <si>
    <t>RBL-0017 Prestar los servicios profesionales a la Unidad Administrativa Especial de Servicios Públicos - UAESP-, para apoyar el seguimiento del servicio de aseo en los aspectos de orden presupuestal, planeamiento y gestión administrativa de la Subdirección de Recolección, Barrido y Limpieza - RBL.</t>
  </si>
  <si>
    <t>RBL-0019 Prestar los servicios técnicos a la Subdirección de Recolección, Barrido y Limpieza de la UAESP, brindando apoyo administrativo y documental en los procedimientos relacionados con la gestión integral de los residuos sólidos en el Distrito, en sus componentes de recolección, barrido y limpieza CLUS.</t>
  </si>
  <si>
    <t>RBL-0032 Prestar los servicios profesionales a la Subdirección de Recolección, Barrido y Limpieza apoyando a la supervisión en la revisión, control y seguimiento a las actividades realizadas por la interventoría del servicio público de aseo, así como en los aspectos técnicos y operativos relacionados con la prestación del servicio.</t>
  </si>
  <si>
    <t>RBL-0033 Prestar los Servicios Profesionales a la Unidad Administrativa Especial de Servicios Públicos - UAESP- para apoyar técnicamente y operativamente el seguimiento y la supervisión de las actividades de recolección, barrido y limpieza del servicio de aseo.</t>
  </si>
  <si>
    <t>RBL-0034 Prestar los servicios de apoyo a la Subdirección de Recolección, Barrido y Limpieza RBL  realizando actividades tendientes a fortalecer la gestión administrativa, documental y archivo de los procesos relacionados con el seguimiento a la prestación del servicio público de aseo y de residuos sólidos en el Distrito.</t>
  </si>
  <si>
    <t>RBL-0035 Prestar los servicios de apoyo a la Subdirección de Recolección, Barrido y Limpieza RBL  realizando actividades tendientes a fortalecer la gestión administrativa, documental y archivo de los procesos relacionados con el seguimiento a la prestación del servicio público de aseo y de residuos sólidos en el Distrito.</t>
  </si>
  <si>
    <t>RBL-0036 Prestar los servicios de apoyo a la Subdirección de Recolección, Barrido y Limpieza RBL  realizando actividades tendientes a fortalecer la gestión administrativa, documental y archivo de los procesos relacionados con el seguimiento a la prestación del servicio público de aseo y de residuos sólidos en el Distrito.</t>
  </si>
  <si>
    <t>RBL-0037 Apoyar la Unidad Administrativa Especial de Servicios Públicos - UAESP, en las acciones necesarias para el fortalecimiento de la gestión social pedagógica y demás acciones tendientes a promover la separación en lafuente, así como el manejo adecuado de los residuos sólidos en elDistrito Capital.</t>
  </si>
  <si>
    <t>SDF08-Prestar los servicios profesionales para apoyar a la Subdirección de Disposición Final en el seguimiento y control de las obligaciones contractuales de los consultores, constructores y consecionarios contratados por UAESP.</t>
  </si>
  <si>
    <t>SDF14-Prestar servicios profesionales a la Subdirección de Disposición final de la UAESP apoyando el seguimiento, control y operación de plantas y unidades que conforman los sistemas de tratamiento de lixiviados y la gestión de residuos en Doña Juana.</t>
  </si>
  <si>
    <t>SDF15-Prestación de servicios profesionales de asesoría y apoyo a la UAESP en las actividades de estructuración, contratación y seguimiento de planes, programas y proyectos que tenga a cargo la Entidad.</t>
  </si>
  <si>
    <t>SDF16-Prestación de servicios profesionales para brindar apoyo técnico a la Subdirección de Disposición Final de la UAESP, desde el componente de la ingeniería civil, en las actividades de apoyo y seguimiento en el cumplimiento de las obligaciones contractuales de los concesionarios.</t>
  </si>
  <si>
    <t>SDF17-Prestar servicios profesionales para apoyar a la UAESP, en el seguimiento y revisión de las actividades en proyectos arquitectonicos a cargo de la Subdirección de Disposición Final que le sean asignadas.</t>
  </si>
  <si>
    <t>SDF21-Prestar los servicios profesionales apoyando a la Subdirección de Disposición Final en el seguimiento y control de equipos hidraulicos, mecánicos, eléctricos, de los procesos operativos en la gestión de residuos en predios Doña Juana.</t>
  </si>
  <si>
    <t xml:space="preserve">SDF22-Prestar los servicios profesionales a la Subdirección de Disposición Final de la Unidad Administrativa Especial de Servicios Públicos UAESP, apoyando la inspección, seguimiento y control al Sistema de Gestión de Seguridad y Salud en el trabajo en el marco del desarrollo del cumplimiento de los contratos de Consultorías, obras y de concesión. </t>
  </si>
  <si>
    <t>SDF27-Prestar servicios profesionales a la Subdirección de Disposición Final apoyando técnicamente en el análisis, gestión, seguimiento y control en la operación del  componente de gas, en el marco del desarrollo del contrato de consultoría No.130 E de 2011.</t>
  </si>
  <si>
    <t>DG-001. Prestar los servicios profesionales especializados a la Dirección General de la UNIDAD ADMINISTRATIVA ESPECIAL DE SERVICIOS PUBLICOS - UAESP, para apoyar la gestión relacionada con las actividades propias de las corporaciones públicas de elección popular – Concejo de Bogotá y Congreso de la República, para el desarrollo de la misión de la Unidad y el cumplimiento de sus objetivos para fortalecer la entidad.</t>
  </si>
  <si>
    <t>DG-002. Prestar servicios de apoyo a la gestión, coadyuvando en los trámites, procesos y procedimientos de gestión que se deban desarrollar en la Dirección General de la Unidad Administrativa Especial de Servicios Públicos – UAESP.</t>
  </si>
  <si>
    <t>SAP-007 Prestar servicios profesionales en la Subdirección de Servicios Funerarios y Alumbrado Público para apoyar la ejecución de lasactividades relacionadas con la prestación del servicio de alumbrado público.</t>
  </si>
  <si>
    <t>SSFAP-010 Prestar los servicios profesionales para apoyar a la Subdirección de Servicios Funerarios y Alumbrado Público en el seguimiento alcomponente financiero de los contratos relacionados con los servicios funerarios y la prestación del servicio de alumbrado público</t>
  </si>
  <si>
    <t>Prestar los servicios de ingeniería especializados, para realizar acompañamiento y apoyo a la Subdirección de Servicios Funerarios yAlumbrado Público, desde el punto de vista tarifario y regulatorio en la prestación del servicio de alumbrado público en la ciudad deBogotá.</t>
  </si>
  <si>
    <t>SAP-012 Prestar los servicios profesionales a la Subdirección de Servidos Funerarios y Alumbrado Público, para el desarrollo de las gestiones y/o actividades relacionadas con la prestación del servicio de Alumbrado Público en Bogotá</t>
  </si>
  <si>
    <t>SAP-013 Prestación de servicios profesionales de  apoyo a la Subdirección de Servicios Funerarios y Alumbrado Público, en el ámbito de la ingeniería, en  lo relacionado con nuevas tecnologías en la prestación del servicio de alumbrado público</t>
  </si>
  <si>
    <t>SAP-014 Prestar los servicios técnicos a la Subdirección de Servicios Funerarios y Alumbrado Público, en el área de alumbrado público para apoyarlas gestiones y/o actividades técnicas de los proyectos de infraestructura de alumbrado público.</t>
  </si>
  <si>
    <t>SAP-015 Prestar los servicios profesionales en el ámbito de la ingeniería en la Subdirección de Servicios Funerarios y Alumbrado Público, orientados a las actividades de apoyo a la Supervisión y Control  del contrato de interventoría a la prestación del servicio de Alumbrado Público en la ciudad de Bogotá.</t>
  </si>
  <si>
    <t>SAP-018 Prestar los servicios profesionales en apoyo a la SSFAP en el compañamiento a los usuarios del servicio de alumbrado públicodesde el componente social  en el relacionamiento interinstitucional y comunitario que  garantice la correcta prestación del servicio de alumbrado público</t>
  </si>
  <si>
    <t>SAP-019 Prestar los servicios profesionales en apoyo a la SSFAP desde el componentesocial y comunitario sirviendo como  interlocutor entre el  operador ,interventoría y UAESP  para garantizar la correcta prestación del servicio alumbrado público</t>
  </si>
  <si>
    <t xml:space="preserve">SSFAP-021 Prestar los servicios profesionales desde el ámbito legal, para apoyar las actividades relacionadas con la prestación de los servicios Funerarios y Alumbrado Público a cargo de la Subdirección de Servicios Funerarios y Alumbrado Público. </t>
  </si>
  <si>
    <t>SAP-022 Prestar los servicios profesionales especializados a la Subdirección de Servicios Funerarios y Alumbrado Público en temas ambientales y sanitarios, relacionados con la prestación del servicio de Alumbrado Público en el Distrito Capital.</t>
  </si>
  <si>
    <t>SA-063 Realizar las adecuaciones o reparaciones locativas, arquitectónicas y la construcción de la planta de transformación de residuos orgánicos a monto agotable, de diferentes Localidades de Bogotá D.C., a fin de garantizar los procesos de aprovechamiento, estandarización y modernización tecnológica de las plantas de aprovechamiento de orgánicos a cargo de la Unidad Administrativa Especial de Servicios Publicas -UAESP.</t>
  </si>
  <si>
    <t>76121702;77101704;77111602</t>
  </si>
  <si>
    <t xml:space="preserve">SA-069 Adelantar la operación, producción y comercialización de una planta de compostaje y lombricultura, para el fortalecimiento , implementación y estandarización del proceso de producción de abonos (compost o bioabono y humus sólido y líquido) a partir del aprovechamiento de residuos sólidos orgánicos, implementando estrategias para sensibilización ambiental e implementación de estrategias de mercadeo para una comercialización efectiva del producto terminado, logrando disminuir el enterramiento de materiales en el predio de Doña Juana en la marco del Plan de Desarrollo Distrital "Un Nuevo Contrato Social y Ambiental para la Bogotá del Siglo XXI" </t>
  </si>
  <si>
    <t>SDF53-B- Prestar servicios profesionales como especialista Financiero para realizar el apoyo a la Supervisión en el marco del desarrollo de contratos de Consultorías para la gestión de residuos a cargo de la Subdirección de Disposición final de la UAESP.</t>
  </si>
  <si>
    <t xml:space="preserve">SDF54-B-Prestar servicios profesionales como especialista en Geotécnia o Geología para realizar el apoyo a la Supervisión en el marco del desarrollo de contratos de Consultorías para la gestión de residuos a cargo de la Subdirección de Disposición final de la UAESP. </t>
  </si>
  <si>
    <t xml:space="preserve">SDF55-B-Prestar servicios profesionales como especialista en Estructuras para realizar el apoyo a la Supervisión en el marco del desarrollo de contratos de Consultorías para la gestión de residuos a cargo de la Subdirección de Disposición final de la UAESP. </t>
  </si>
  <si>
    <t xml:space="preserve">SDF56-B-Prestar servicios profesionales como especialista en Hidrogeología para realizar el apoyo a la Supervisión en el marco del desarrollo de contratos de Consultorías para la gestión de residuos a cargo de la Subdirección de Disposición final de la UAESP. </t>
  </si>
  <si>
    <t xml:space="preserve">SDF57-B-Prestar servicios profesionales como especialista en Presupuesto para realizar el apoyo a la Supervisión en el marco del desarrollo de contratos de Consultorías para la gestión de residuos a cargo de la Subdirección de Disposición final de la UAESP. </t>
  </si>
  <si>
    <t xml:space="preserve">SDF58-B-Prestar servicios profesionales como Electromecánico para realizar el apoyo a la Supervisión en el marco del desarrollo de contratos de Consultorías para la gestión de residuos a cargo de la Subdirección de Disposición final de la UAESP. </t>
  </si>
  <si>
    <t xml:space="preserve">SDF59-B-Prestar servicios profesionales en áreas de la Ingeniería Civil para realizar el apoyo a la Supervisión en el marco del desarrollo de contratos de Consultorías para la gestión de residuos a cargo de la Subdirección de Disposición final de la UAESP. </t>
  </si>
  <si>
    <t xml:space="preserve">SDF60-B-Prestar servicios profesionales en áreas de la Ingeniería Ambiental y/o Sanitaria para realizar el apoyo a la Supervisión en el marco del desarrollo de contratos de Consultorías para la gestión de residuos a cargo de la Subdirección de Disposición final de la UAESP. </t>
  </si>
  <si>
    <t>RBL-0099 Prestar los servicios operativos a la Subdirección de Recolección, Barrido y Limpieza, para el fortalecimiento de la gestión social en la divulgación y promoción de las acciones necesarias para el manejo adecuado de los residuos sólidos en las localidades del Distrito Capital.</t>
  </si>
  <si>
    <t>RBL-0100 Prestar los servicios operativos a la Subdirección de Recolección, Barrido y Limpieza, para el fortalecimiento de la gestión social en la divulgación y promoción de las acciones necesarias para el manejo adecuado de los residuos sólidos en las localidades del Distrito Capital.</t>
  </si>
  <si>
    <t>RBL-0101 Prestar los servicios operativos a la Subdirección de Recolección, Barrido y Limpieza, para el fortalecimiento de la gestión social en la divulgación y promoción de las acciones necesarias para el manejo adecuado de los residuos sólidos en las localidades del Distrito Capital.</t>
  </si>
  <si>
    <t>RBL-0102 Prestar los servicios operativos a la Subdirección de Recolección, Barrido y Limpieza, para el fortalecimiento de la gestión social en la divulgación y promoción de las acciones necesarias para el manejo adecuado de los residuos sólidos en las localidades del Distrito Capital.</t>
  </si>
  <si>
    <t>RBL-0103 Prestar los servicios operativos a la Subdirección de Recolección, Barrido y Limpieza, para el fortalecimiento de la gestión social en la divulgación y promoción de las acciones necesarias para el manejo adecuado de los residuos sólidos en las localidades del Distrito Capital.</t>
  </si>
  <si>
    <t>RBL-0104 Prestar los servicios operativos a la Subdirección de Recolección, Barrido y Limpieza, para el fortalecimiento de la gestión social en la divulgación y promoción de las acciones necesarias para el manejo adecuado de los residuos sólidos en las localidades del Distrito Capital.</t>
  </si>
  <si>
    <t>RBL-0105 Prestar los servicios operativos a la Subdirección de Recolección, Barrido y Limpieza, para el fortalecimiento de la gestión social en la divulgación y promoción de las acciones necesarias para el manejo adecuado de los residuos sólidos en las localidades del Distrito Capital.</t>
  </si>
  <si>
    <t>RBL-0107 Prestar los servicios operativos a la Subdirección de Recolección, Barrido y Limpieza, para el fortalecimiento de la gestión social en la divulgación y promoción de las acciones necesarias para el manejo adecuado de los residuos sólidos en las localidades del Distrito Capital.</t>
  </si>
  <si>
    <t>RBL-0106Prestar los servicios operativos a la Subdirección de Recolección, Barrido y Limpieza, para el fortalecimiento de la gestión social en la divulgación y promoción de las acciones necesarias para el manejo adecuado de los residuos sólidos en las localidades del Distrito Capital.</t>
  </si>
  <si>
    <t>RBL-0108 Prestar los servicios operativos a la Subdirección de Recolección, Barrido y Limpieza, para el fortalecimiento de la gestión social en la divulgación y promoción de las acciones necesarias para el manejo adecuado de los residuos sólidos en las localidades del Distrito Capital.</t>
  </si>
  <si>
    <t>RBL-0109 Prestar los servicios operativos a la Subdirección de Recolección, Barrido y Limpieza, para el fortalecimiento de la gestión social en la divulgación y promoción de las acciones necesarias para el manejo adecuado de los residuos sólidos en las localidades del Distrito Capital.</t>
  </si>
  <si>
    <t>RBL-0110 Prestar los servicios operativos a la Subdirección de Recolección, Barrido y Limpieza, para el fortalecimiento de la gestión social en la divulgación y promoción de las acciones necesarias para el manejo adecuado de los residuos sólidos en las localidades del Distrito Capital.</t>
  </si>
  <si>
    <t>RBL-0111 Prestar los servicios operativos a la Subdirección de Recolección, Barrido y Limpieza, para el fortalecimiento de la gestión social en la divulgación y promoción de las acciones necesarias para el manejo adecuado de los residuos sólidos en las localidades del Distrito Capital.</t>
  </si>
  <si>
    <t>RBL-0112 Prestar los servicios operativos a la Subdirección de Recolección, Barrido y Limpieza, para el fortalecimiento de la gestión social en la divulgación y promoción de las acciones necesarias para el manejo adecuado de los residuos sólidos en las localidades del Distrito Capital.</t>
  </si>
  <si>
    <t>RBL-0113 Prestar los servicios operativos a la Subdirección de Recolección, Barrido y Limpieza, para el fortalecimiento de la gestión social en la divulgación y promoción de las acciones necesarias para el manejo adecuado de los residuos sólidos en las localidades del Distrito Capital.</t>
  </si>
  <si>
    <t>SAL-056. Prestar servicios profesionales a la Subdirección de Asuntos legales para apoyar en la revisión, análisis y estructuración técnica de los diferentes procesos de selección que requieran las dependencias de la entidad, así como en la rendición de conceptos técnicos en las etapas contractuales y postcontractuales de los contratos celebrados por la UAESP, en los que éstos sean requeridos.</t>
  </si>
  <si>
    <t>SAL-057. Prestar los servicios profesionales para articular y hacer el seguimiento técnico y control de calidad de los avalúos comerciales de bienes inmuebles, los cuales son base de los proceso de adquisición predial por enajenación voluntaria, expropiación administrativa y judicial que adquiera la UAESP en la vigencia 2021</t>
  </si>
  <si>
    <t>DG-007- Prestar los servicios profesionales a la Dirección General para brindar apoyo en las actividades relacionadas con los aspectos técnicos y operativos inherentes al seguimiento de la prestación de los servicios que le sean asignados a cargo de la Unidad Administrativa Especial de Servicios Públicos – en el Distrito Capital.</t>
  </si>
  <si>
    <t>SAF-0118 Prestar servicios de apoyo a la gestión de la Subdirección Administrativa y Financiera de la Unidad Administrativa Especial de Servicios Públicos – UAESP, a través de la ejecución de actividades relacionadas con la organización física y digital de documentación, la actualización de los inventarios documentales en el formato FUID adoptado por la Unidad y el proceso de correspondencia.</t>
  </si>
  <si>
    <t>SAF-0119 Prestar servicios de apoyo a la gestión de la Subdirección Administrativa y Financiera de la Unidad Administrativa Especial de Servicios Públicos – UAESP, a través de la ejecución de actividades relacionadas con la organización física y digital de documentación, la actualización de los inventarios documentales en el formato FUID adoptado por la Unidad y el proceso de correspondencia.</t>
  </si>
  <si>
    <t>SAF-0120 Prestar servicios de apoyo a la gestión de la Subdirección Administrativa y Financiera de la Unidad Administrativa Especial de Servicios Públicos – UAESP, a través de la ejecución de actividades relacionadas con la organización física y digital de documentación, la actualización de los inventarios documentales en el formato FUID adoptado por la Unidad y el proceso de correspondencia.</t>
  </si>
  <si>
    <t>SAF-0123 Prestar servicios de apoyo a la gestión a la Subdirección Administrativa y Financiera de la UAESP, apoyando en la ejecución de las actividades que conlleven a la optimización y seguimiento del Plan de Seguridad Vial y movilidad segura.</t>
  </si>
  <si>
    <t>SAF-0122 Prestar servicios profesionales para apoyar a la Subdirección Administrativa y Financiera de la Unidad Administrativa Especial de Servicios Públicos – UAESP en el fortalecimiento de la gestión del talento humano</t>
  </si>
  <si>
    <t>SAF-0124 Prestar los servicios de apoyo a la gestión a la Subdirección Administrativa y Financiera, en temas relacionados con el proceso de atención al ciudadano, de conformidad con lo dispuesto en la normatividad vigente y los procedimientos establecidos por la Entidad, contribuyendo en las labores de optimización de la gestión administrativa de la misma.</t>
  </si>
  <si>
    <t>SAF-0117 Prestar servicios de apoyo a la gestión a la Subdirección Administrativa y Financiera de la UAESP desarrollando las actividades de conducción de vehículos automotores con la responsabilidad y habilidad requerida, procurando el uso adecuado del automotor asignado y cumpliendo con las normas de tránsito.</t>
  </si>
  <si>
    <t>SAF-0121 Prestar servicios profesionales a la Subdirección Administrativa y financiera en la ejecución de actividades relacionadas con la gestión financiera y contable de la UAESP.</t>
  </si>
  <si>
    <t>Prestar los servicios profesionales a la Subdirección de Aprovechamiento de la Unidad Administrativa Especial de Servicios Públicos -UAESP-, para implementar procesos de fortalecimiento a las organizaciones de recicladores de oficio, el desarrollo de actividades de separación de residuos en la fuente, divulgación de la normatividad, políticas y lineamientos distritales en laPrestación del servicio público de aseo en las localidades de Bogotá y sus zonas rurales, en el marco de la formalización, acciones afirmativas, Decreto 596 de 2016 y las sentencias de la honorable corte constitucional.</t>
  </si>
  <si>
    <t>SSF-004 Prestar los servicios profesionales a la Subdirección de Servicios Funerarios y Alumbrado Público para apoyar el seguimiento y control técnico de los contratos a cargo de la Subdirección relacionados con la prestación de servicios funerarios.</t>
  </si>
  <si>
    <t xml:space="preserve">SSF-006 Prestar los servicios de apoyo a la Subdirección de Servicios Funerarios y Alumbrado Público, en el adelantamiento, revisión y trámite de Subsidios Funerarios y servicios a cargo de la Subdirección. </t>
  </si>
  <si>
    <t xml:space="preserve">SSF-008 Prestar los servicios profesionales a la Subdirección de Servicios Funerarios y Alumbrado Público, para apoyar técnicamente y desde el componente sanitario las actividades de gestión y seguimiento relacionadas con la prestación de los servicios funerarios en los Cementerios de propiedad del Distrito. </t>
  </si>
  <si>
    <t>SSF-011 Prestar los servicios profesionales en la Subdirección de Servicios Funerarios y Alumbrado Público en el ámbito contable para apoyar lo relacionado con la prestación de los servicios funerarios.</t>
  </si>
  <si>
    <t>SSF-013 Prestar los servicios profesionales en la Subdirección de Servicios Funerarios y Alumbrado Público para apoyar en el acompañamiento psicológico a los usuarios de los servicios funerarios en los Cementerios propiedad del distrito</t>
  </si>
  <si>
    <t>SSF-014 Prestar los servicios profesionales de apoyo y asistencia técnica desde el componente social y comunitario para gestionar las relaciones con los grupos de interés afectos a los servicios funerarios en los cementerios de propiedad del distrito.</t>
  </si>
  <si>
    <t>SSF-016 Prestar los servicios de apoyo en el archivo virtual  de servicios funerarios en el  Sistema de Gestión Documental Orfeo de la Subdirección de Servicio Funerario y Alumbrado Público – SSFAP.</t>
  </si>
  <si>
    <t>SSF-018 Prestar los servicios de apoyo en la atención de peticiones, quejas y reclamos del aplicativo Sistema Distrital de Quejas y Soluciones  (SDQS), relacionados con la prestación de Servicios Funerarios a cargo de la SSFAP</t>
  </si>
  <si>
    <t xml:space="preserve">SSF-019 Prestar los servicios profesionales para apoyar los procesos legales y contractuales de la subdirección de servicios funerarios y alumbrado público </t>
  </si>
  <si>
    <t>SDF28-Prestar los servicios profesionales para apoyar a la Subdirección de Disposición Final, desde el punto de vista jurídico en atención a requerimientos de los entes de control y asuntos administrativos y sociales.</t>
  </si>
  <si>
    <t>SDF30-Prestación de servicio de apoyo asistencial a la UAESP, en las actividades de seguimiento y control en el componente de puntos críticos y/o arrojo clandestino en el proceso de descargue, separación, traslado, tratamiento, acopio de materiales limpios y envió de rechazos a celda.</t>
  </si>
  <si>
    <t>SDF37-Prestar servicios profesionales de apoyo a la Subdirección de Disposición Final en el seguimiento de los componentes técnicos y administrativos derivados del servicio.</t>
  </si>
  <si>
    <t xml:space="preserve">SAP-032 Prestar los servicios de apoyo a la Subdirección de Servicios Funerarios y Alumbrado Público, brindando acompañamiento desde el componente social, en lo relacionado con la prestación del servicio de alumbrado público. </t>
  </si>
  <si>
    <t>SAP-033 Prestar los servicios de apoyo en actividades relacionadas con el archivo de los documentos físicos generados y recibidos en la Subdirección de Servicios Funerarios y Alumbrado Público, en cumplimiento de la Ley 594 de 2000 del Archivo General de la Nación y demás normas vigentes</t>
  </si>
  <si>
    <t>OBJETO</t>
  </si>
  <si>
    <t>VALOR EN EL PAA</t>
  </si>
  <si>
    <t xml:space="preserve">ACTIVIDAD </t>
  </si>
  <si>
    <t>NUMERO VIABILIDAD</t>
  </si>
  <si>
    <t>RADICADO</t>
  </si>
  <si>
    <t xml:space="preserve">FECHA  VIABILIDAD </t>
  </si>
  <si>
    <t xml:space="preserve">CODIGO PROYECTO </t>
  </si>
  <si>
    <t xml:space="preserve">PROYECTO </t>
  </si>
  <si>
    <t>AREA SOLICITANTE</t>
  </si>
  <si>
    <t>VALOR VIABILIDAD</t>
  </si>
  <si>
    <t>META PI</t>
  </si>
  <si>
    <t xml:space="preserve">TIPO DEL GASTO </t>
  </si>
  <si>
    <t xml:space="preserve">COMPONENTE DEL GASTO </t>
  </si>
  <si>
    <t>CONCEPTO DEL  GASTO</t>
  </si>
  <si>
    <t xml:space="preserve">FUENTE </t>
  </si>
  <si>
    <t>ESTADO</t>
  </si>
  <si>
    <t>NO CDP</t>
  </si>
  <si>
    <t xml:space="preserve">FECHA DE CDP </t>
  </si>
  <si>
    <t xml:space="preserve">VALOR DEL CDP </t>
  </si>
  <si>
    <t xml:space="preserve">ANULACION PARCIAL O TOTAL </t>
  </si>
  <si>
    <t>FECHA DE ANULACION</t>
  </si>
  <si>
    <t>Número de CRP</t>
  </si>
  <si>
    <t>Fecha de registro</t>
  </si>
  <si>
    <t>Fecha Inicial</t>
  </si>
  <si>
    <t>Fecha Final</t>
  </si>
  <si>
    <t>Compromiso</t>
  </si>
  <si>
    <t>No. Compromiso</t>
  </si>
  <si>
    <t>Número Doc.  Beneficiario</t>
  </si>
  <si>
    <t>Nombre  Beneficiario</t>
  </si>
  <si>
    <t>Valor CRP</t>
  </si>
  <si>
    <t>diferencia entre cdp y crp</t>
  </si>
  <si>
    <t xml:space="preserve">GIROS ENERO </t>
  </si>
  <si>
    <t>GIROS FEBRERO</t>
  </si>
  <si>
    <t xml:space="preserve">GIROS MARZO </t>
  </si>
  <si>
    <t xml:space="preserve">GIROS ABRIL </t>
  </si>
  <si>
    <t xml:space="preserve">GIROS MAYO </t>
  </si>
  <si>
    <t>GIROS JUNIO</t>
  </si>
  <si>
    <t>Columna32</t>
  </si>
  <si>
    <t>Columna33</t>
  </si>
  <si>
    <t>Columna34</t>
  </si>
  <si>
    <t>Columna35</t>
  </si>
  <si>
    <t>Columna36</t>
  </si>
  <si>
    <t>Columna37</t>
  </si>
  <si>
    <t>Columna38</t>
  </si>
  <si>
    <t>Columna39</t>
  </si>
  <si>
    <t>Columna40</t>
  </si>
  <si>
    <t>Columna41</t>
  </si>
  <si>
    <t>Columna42</t>
  </si>
  <si>
    <t xml:space="preserve">N/A </t>
  </si>
  <si>
    <t xml:space="preserve">Servicios publicos </t>
  </si>
  <si>
    <t xml:space="preserve">133011602380000007569 </t>
  </si>
  <si>
    <t>Transformación Gestión integral de residuos sólidos hacia una cultura de aprovechamiento y valorización de residuos en el distrito capital  Bogotá</t>
  </si>
  <si>
    <t>Pago de servicios públicos del Centro Multipropósito ubicado en elpredio la Isla propiedad de la UAESP, en Mochuelo Alto.</t>
  </si>
  <si>
    <t>FACTURAS</t>
  </si>
  <si>
    <t>CODENSA S.A. ESP</t>
  </si>
  <si>
    <t xml:space="preserve">N/A ADICION </t>
  </si>
  <si>
    <t>Personal</t>
  </si>
  <si>
    <t>133011605560000007628</t>
  </si>
  <si>
    <t>Fortalecimiento efectivo en la gestión institucional  Bogotá</t>
  </si>
  <si>
    <t>PRORROGA Y ADICION No. 1 CONTRATO N° UAESP-311-2020, cuyo objeto degasto corresponde a: “Prestar servicios profesionales apoyando a lasubdirección administrativa y financiera desde el punto de vistajurídico, con el fin de fortalecer la gestión institucional”.</t>
  </si>
  <si>
    <t>CONTRATO DE PRESTACION DE SERVICIOS</t>
  </si>
  <si>
    <t>MARIA FERNANDA SIERRA FORERO</t>
  </si>
  <si>
    <t xml:space="preserve"> 2-Aumentar en al menos un 25% la capacidad en la arquitectura tecnológica, subsanando las necesidades que coadyuven a fortalecer y mantener la misma.</t>
  </si>
  <si>
    <t>Prestar apoyo en las respuestas y soluciones en temas relacionados contecnología al personal de la Unidad Administrativa Especial de ServiciosPúblicos.</t>
  </si>
  <si>
    <t>Prestar servicios profesionales apoyando desde el punto de vista técnicoen el seguimiento al Sistema de Información para la Gestión de AseoSIGAB y a los proyectos estratégicos que adelante la Oficina de TIC dela UAESP.</t>
  </si>
  <si>
    <t>JOSE WILSON MACIAS GONZALEZ</t>
  </si>
  <si>
    <t>Prestar los servicios de apoyo profesional a la Subdirección deAprovechamiento de la Unidad Administrativa Especial de ServiciosPúblicos UAESP, para apoyo en la coordinación de la implementación deacciones afirmativas a la población recicladora de oficio,implementación de actividades de cultura ciudadana en el marco de lagestión de residuos sólidos e interlocución con los diferentes actoreslocales.</t>
  </si>
  <si>
    <t>ANGELICA CRISTINA SIERRA SANCHEZ</t>
  </si>
  <si>
    <t>Prestar servicios profesionales a la Subdirección de Aprovechamiento dela Unidad Administrativa Especial de Servicios Públicos – UAESP,apoyando la formulación e implementación de procesos de aprovechamientoy tratamiento de residuos en el marco de la política de economíacircular y del manejo integral de residuos sólidos, así como loestablecido en el Plan de Desarrollo Distrital, las normas deaprovechamiento y los autos de la Honorable Corte Constitucional desdeel componente de aprovechamiento en el Distrito Capital.</t>
  </si>
  <si>
    <t>GABRIEL FELIPE SABOGAL ROJAS</t>
  </si>
  <si>
    <t>Prestar servicios profesionales a la Subdirección de Aprovechamiento dela Unidad Administrativa Especial de Servicios Públicos -UAESP-, paraapoyar la coordinación a la construcción e implementación de laspolíticas definidas en el Plan de Gestión Integral de Residuos Sólidos -PGIRS-, Plan de Ordenamiento Territorial -POT-, Residuos de laDemolición y Construcción -RCD- y modelo de aprovechamiento de acuerdocon lo establecido en el Plan de Desarrollo Distrital y los autos de laHonorable Corte Constitucional desde el componente de aprovechamiento enel Distrito Capital.</t>
  </si>
  <si>
    <t>ANDRES  HERRERA AGUILAR</t>
  </si>
  <si>
    <t>ZAMIR  MOSQUERA GARCIA</t>
  </si>
  <si>
    <t>Adquisición de impresoras térmicas para el proceso de carnetización de población recicladora de oficio que se encuentra en el Registro Único de Recicladores, de Oficio-RURO- de la Unidad Administrativa Especial de Servicios Públicos-UAESP</t>
  </si>
  <si>
    <t>Adquisicion de impresoras</t>
  </si>
  <si>
    <t>Adquisición de impresoras térmicas para el proceso de carnetización depoblación recicladora de oficio que se encuentra en el Registro Único deRecicladores de Oficio-RURO- de la Unidad Administrativa Especial deServicios Públicos-UAESP-.</t>
  </si>
  <si>
    <t>CONTRATO DE COMPRAVENTA</t>
  </si>
  <si>
    <t>IDENTICO S A S</t>
  </si>
  <si>
    <t>SDF66-Realizar las obras de restauración y recuperación del predio Yerbabuena Fase II.</t>
  </si>
  <si>
    <t>REALIZAR LAS OBRAS DE RESTAURACIÓN Y RECUPERACIÓN DEL PREDIO YERBABUENA.</t>
  </si>
  <si>
    <t>CONTRATO DE OBRA</t>
  </si>
  <si>
    <t>CARLOS HERNAN ARIAS BETANCOURTH</t>
  </si>
  <si>
    <t>Prestar los servicios profesionales como ingeniero electricista de la Subdirección de Servicios Funerarios y  Alumbrado Público, orientados al apoyo de las gestiones y/o actividades técnicas y de seguimiento a la prestación del servicio de Alumbrado Público en la ciudad de Bogotá".</t>
  </si>
  <si>
    <t>133011603450000007652</t>
  </si>
  <si>
    <t>Fortalecimiento gestión para la eficiencia energética del servicio de alumbrado público  Bogotá</t>
  </si>
  <si>
    <t>2-Fortalecer 100% la planeación, la gestión y la evaluación de la prestación del servicio de Alumbrado Público en el Distrito Capital, para su modernización.</t>
  </si>
  <si>
    <t>Prestar los servicios profesionales como ingeniero electricista de laSubdirección de Servicios Funerarios y Alumbrado Público, orientados alapoyo de las gestiones y/o actividades técnicas y de seguimiento a laprestación del servicio de Alumbrado Público en la ciudad de Bogotá.</t>
  </si>
  <si>
    <t>GERMAN  NAVARRO ACEVEDO</t>
  </si>
  <si>
    <t>Prestar los servicios Profesionales a la Subdirección de ServiciosFunerarios y Alumbrado Público, desde el ámbito jurídico yadministrativo a cargo del área.</t>
  </si>
  <si>
    <t>ERIKA ROCIO SARMIENTO OSPINA</t>
  </si>
  <si>
    <t>133011602370000007644</t>
  </si>
  <si>
    <t>Ampliación Gestión para la planeación ampliación  y revitalización de los servicios funerarios prestados en los cementerios de propiedad del distrito capital  Bogotá</t>
  </si>
  <si>
    <t>3- Mejorar 100% la interventoria y supervisión prestación del servicio funerario en los equipamientos del distrito</t>
  </si>
  <si>
    <t>ADICION</t>
  </si>
  <si>
    <t>ADICION Y PRORROGA No. 01 AL CONTRATO UAESP-361-2020 CUYO OBJETO ES:“PRESTAR SERVICIOS PROFESIONALES APOYANDO A LA SUBDIRECCIÓNADMINISTRATIVA Y FINANCIERA EN LAS ACTIVIDADES INHERENTES AL SERVICIO DEATENCIÓN AL CIUDADANO DE LA UNIDAD ADMINISTRATIVA ESPECIAL DE SERVICIOSPÚBLICOS – UAESP CON EL FIN DE FORTALECER LA GESTIÓN INSTITUCIONAL.”</t>
  </si>
  <si>
    <t>PAULA CAMILA VEGA BUSTOS</t>
  </si>
  <si>
    <t>Prestar servicios profesionales para apoyar todos los asuntos denaturaleza jurídica, legal y de control relacionados con la operatividadde la Oficina Asesora de Comunicaciones y RelacionesInterinstitucionales de la UAESP, tanto a nivel interno y externo.</t>
  </si>
  <si>
    <t>LUISA FERNANDA PERDOMO AVILES</t>
  </si>
  <si>
    <t>Prestar servicios profesionales para apoyar el diseño, la creación eimplementación de piezas gráficas (digitales e impresas) y videosmultimedia para la divulgación de las distintas campañas y mensajesinstitucionales internos y externos, así como la actualización de lapágina web de la Unidad Administrativa Especial de Servicios Públicos.</t>
  </si>
  <si>
    <t>MARIA ALEXANDRA BENITEZ GOMEZ</t>
  </si>
  <si>
    <t xml:space="preserve">sp bodegas </t>
  </si>
  <si>
    <t>Pago de servicios públicos de las Bodegas a cargo de la UAESP.</t>
  </si>
  <si>
    <t>OFICIO</t>
  </si>
  <si>
    <t>PROMOAMBIENTAL DISTRITO S A S ESP</t>
  </si>
  <si>
    <t>Prestar los servicios profesionales a la Subdirección de Aprovechamientode la Unidad Administrativa Especial de Servicios Públicos UAESP, paraimplementar procesos de fortalecimiento a las organizaciones derecicladores de oficio, el desarrollo de actividades de separación deresiduos en la fuente, divulgación de la normatividad, políticas ylineamientos distritales en la prestación del servicio público de aseoen las localidades de Bogotá y sus zonas rurales, en el marco de laformalización, acciones afirmativas, decreto 596 de 2016 y lassentencias de la honorable corte constitucional.</t>
  </si>
  <si>
    <t>JOHN FREDY GUTIERREZ TRASLAVIÑA</t>
  </si>
  <si>
    <t>Adición y prórroga del contrato No. Contrato No. UAESP-434-2020 cuyoobjeto es “Prestar servicios de apoyo a la gestión de la SubdirecciónAdministrativa y Financiera de la Unidad Administrativa Especial deServicios Públicos – UAESP, a través de la ejecución de actividadesrelacionadas con la organización física de la documentación, laactualización de los inventarios documentales en el formato FUIDadoptado por la Unidad y el proceso de correspondencia.”</t>
  </si>
  <si>
    <t>CARLOS HERNAN MARTINEZ MARTINEZ</t>
  </si>
  <si>
    <t>Adición y prórroga del contrato No. Contrato No. UAESP-438-2020 cuyoobjeto es “Prestar servicios de apoyo a la gestión de la SubdirecciónAdministrativa y Financiera de la Unidad Administrativa Especial deServicios Públicos – UAESP, a través de la ejecución de actividadesrelacionadas con la organización física de la documentación, laactualización de los inventarios documentales en el formato FUIDadoptado por la Unidad y el proceso de correspondencia.”</t>
  </si>
  <si>
    <t>GISELLA  PELAEZ</t>
  </si>
  <si>
    <t>Adición y Prorroga del Contrato UAESP 475/2020 cuyo objeto es: Prestarservicios profesionales para apoyar a la Unidad Administrativa Especialde Servicios Públicos de Bogotá, en los proyectos de carácter técnico dela infraestructura de sus sedes administrativas.</t>
  </si>
  <si>
    <t>CRISTIAN LEONARDO FORERO FAJARDO</t>
  </si>
  <si>
    <t>Adición y Prorroga del Contrato UAESP-474-2020 cuyo objeto es: Prestarservicios profesionales a la Subdirección Administrativa y Financiera dela Unidad desde el punto de vista financiero en los asuntos que le seanrequeridos.</t>
  </si>
  <si>
    <t>ALEXANDER  CHARRY LASSO</t>
  </si>
  <si>
    <t>Adición y Prorroga del Contrato UAESP-482-2020 cuyo objeto es: Prestarservicios profesionales para apoyar a la Subdirección Administrativa yFinanciera en el proceso de Gestión de Talento Humano en lo pertinente alas actividades de Plan Estratégico de Talento Humano.”</t>
  </si>
  <si>
    <t>JOHANNA  MENDEZ SANTOS</t>
  </si>
  <si>
    <t>Prestar los servicios de ingeniería especializados, para realizar acompañamiento y apoyo a la Subdirección de Servicios Funerarios y
Alumbrado Público, desde el punto de vista tarifario y regulatorio en la prestación del servicio de alumbrado público en la ciudad de
Bogotá.</t>
  </si>
  <si>
    <t>Prestar los servicios de ingeniería especializados, para realizaracompañamiento y apoyo a la Subdirección de Servicios Funerarios yAlumbrado Público, desde el punto de vista tarifario y regulatorio en laprestación del servicio de alumbrado público en la ciudad de Bogotá.</t>
  </si>
  <si>
    <t>DAR INFRAESTRUCTURA &amp; ENERGIA SAS</t>
  </si>
  <si>
    <t>Prestar los servicios de apoyo en el archivo virtual de alumbradopúblico en el Sistema de Gestión Documental Orfeo de la Subdirección deServicio Funerario y Alumbrado Público – SSFAP.</t>
  </si>
  <si>
    <t>JOHAN CAMILO GONZALEZ RODRIGUEZ</t>
  </si>
  <si>
    <t>293-Garantizar la operación de recolección, barrido y limpieza de los residuos sólidos al sitio de disposición final, en el marco de lo dispuesto en el PGIRS; y la supervisión de la recolección, transporte y almacenamiento temporal para disposición final de los residuos hospitalarios y similares generados en el Distrito Capital.</t>
  </si>
  <si>
    <t>13- Contratar el 100% del talento humano multidisciplinario para apoyo a la supervisión de la prestación de las actividades concesionadas mediante ASE y gestión de hospitalarios.</t>
  </si>
  <si>
    <t>Prestar los servicios técnicos y operativos a la Unidad AdministrativaEspecial de Servicios Públicos - UAESP, para apoyar a la supervisión enel seguimiento de las actividades de la Subdirección de Recolección,Barrido y Limpieza del servicio público aseo.</t>
  </si>
  <si>
    <t>NICOLAS  GRAJALES FONNEGRA</t>
  </si>
  <si>
    <t>Prestar los servicios profesionales a la Unidad Administrativa Especialde Servicios Públicos UAESP, para el seguimiento del servicio de aseo ensus componentes de recolección, barrido y limpieza CLUS, y todos losprocesos relacionados con la gestión integral de los residuos sólidosdel Distrito.</t>
  </si>
  <si>
    <t>Prestar apoyo a la subdirección de aprovechamiento de la UAESP paraefectuar procesos de sensibilización en el área de influencia de lasbodegas o ECAS a cargo de la UAESP, recolección, verificación yseguimiento a los datos relacionados con el aprovechamiento, atención ala población recicladora de oficio y apoyo en la administración de talesbodegas o ECAS.</t>
  </si>
  <si>
    <t>LAURA JINETH AGUILERA RAMIREZ</t>
  </si>
  <si>
    <t>Adición y Prorroga No. 1 al contrato No. UAESP-427-2020 cuyo objeto esPrestar los servicios técnicos a la Unidad Administrativa Especial deServicios Públicos – UAESP en la implementación, desarrollo ymantenimiento del Modelo Integrado de Planeación y Gestión - MIPG; enparticular, lo relacionado con la Dimensión quinta de Información yComunicación en particular con Política de Gestión Estadística.</t>
  </si>
  <si>
    <t>JAIME ENRIQUE DAVILA OLIVEROS</t>
  </si>
  <si>
    <t>Prestar los servicios de apoyo profesional a la Subdirección deAprovechamiento de la Unidad Administrativa Especial de ServiciosPúblicos UAESP, para realizar acompañamiento en la implementación deacciones afirmativas a la población recicladora de oficio,implementación de actividades de cultura ciudadana en el marco de lagestión de residuos sólidos e interlocución con los diferentes actoreslocales.</t>
  </si>
  <si>
    <t>LAURA XIMENA GONZALEZ SUAREZ</t>
  </si>
  <si>
    <t>MELBA ZENAIDA ERAZO ROMERO</t>
  </si>
  <si>
    <t>WILMER DANIEL GUTIERREZ PULIDO</t>
  </si>
  <si>
    <t>FRANCISCO JAVIER RESTREPO CRUZ</t>
  </si>
  <si>
    <t>SA-OPS-140 Prestar apoyo a la Subdirección de Aprovechamiento de laUnidad Administrativa Especial de Servicios Públicos -UAESP- paraefectuar procesos de sensibilización en el área de influencia de lasbodegas o ECAS a cargo de la UAESP, recolección, verificación yseguimiento a los datos relacionados con el aprovechamiento, atención ala población recicladora de oficio y apoyo en la administración de talesbodegas o ECAS.</t>
  </si>
  <si>
    <t>80802215</t>
  </si>
  <si>
    <t>DOUGLAS MIGUEL GOMEZ SANCHEZ</t>
  </si>
  <si>
    <t>SAF-0047 - PRESTAR SERVICIOS PROFESIONALES A LA SUBDIRECCIÓNADMINISTRATIVA Y FINANCIERA DE LA UAESP EN LA CONSOLIDACIÓN, REGISTRO,REPORTE Y SEGUIMIENTO DE LA INFORMACIÓN PROPIA DE LA GESTIÓN DEFINANCIERA.</t>
  </si>
  <si>
    <t>1031121067</t>
  </si>
  <si>
    <t>WNTHER  ORTIZ CABEZAS</t>
  </si>
  <si>
    <t>MARIA XIMENA AMAYA</t>
  </si>
  <si>
    <t>484</t>
  </si>
  <si>
    <t>288</t>
  </si>
  <si>
    <t>1019041314</t>
  </si>
  <si>
    <t>YANETH PATRICIA BARON OSORIO</t>
  </si>
  <si>
    <t>18-Formular una (1) estrategia de cultura ciudadana “Reciclar es la salida” (“Bogotá verde”, etc.) para la dignificación, separación en la fuente, orientada al cambio cultural y comportamental para la separación y el reciclaje.</t>
  </si>
  <si>
    <t>DIEGO FELIPE RODRIGUEZ GOMEZ</t>
  </si>
  <si>
    <t>OSCAR DANILO RENGIFO MAHECHA</t>
  </si>
  <si>
    <t>CESAR AUGUSTO ORTEGA VARGAS</t>
  </si>
  <si>
    <t xml:space="preserve">Permiso ambiental </t>
  </si>
  <si>
    <t>Pago por seguimiento al Expediente POC0071-00 por permiso ambientalcitado por la ANLA para el año 2018.</t>
  </si>
  <si>
    <t xml:space="preserve">licencia ambiental </t>
  </si>
  <si>
    <t>Pagos por seguimiento al Expediente LAM7710-00 referente al desarrollode la licencia ambiental concesionada con la ANLA para los años 2018,2019 y 2020.</t>
  </si>
  <si>
    <t>LORENA ALEJANDRA LIEVANO VALLECILLA</t>
  </si>
  <si>
    <t>KATHERIN  ALVAREZ ALONSO</t>
  </si>
  <si>
    <t>CRISTINA  BUSTAMANTE MORON</t>
  </si>
  <si>
    <t>Prestar servicios profesionales para apoyar a la Subdirección deAprovechamiento de la Unidad Administrativa Especial de ServiciosPúblicos – UAESP, en la construcción e implementación de la políticapública del servicio de aseo, el PGIRS y el POT, de acuerdo con loestablecido en el Plan de Desarrollo Distrital y los autos de laHonorable Corte Constitucional desde el componente de aprovechamiento enel Distrito Capital.</t>
  </si>
  <si>
    <t>VANNESA HERCILIA MORENO GARCIA</t>
  </si>
  <si>
    <t>Prestar servicios profesionales a la Subdirección de Aprovechamiento dela Unidad Administrativa Especial de Servicios Públicos – UAESP,apoyando la construcción y el proceso de formulación de iniciativas deemprendimiento en el marco del reciclaje y de la economía circular en elcomponente de RCD proveniente de pequeños generadores en el DistritoCapital incluido su aprovechamiento y separación in situ de los puntoscríticos y/o de arrojo clandestino en la ciudad de Bogotá, asignados porla UAESP a organizaciones de recicladores.</t>
  </si>
  <si>
    <t>JHENNY PAOLA ROJAS SOLER</t>
  </si>
  <si>
    <t>CARLOS JAIME OROZCO GUTIERREZ</t>
  </si>
  <si>
    <t>Prestar servicios profesionales a la Subdirección de Aprovechamiento dela Unidad Administrativa Especial de Servicios Públicos -UAESP-, paraapoyar en la construcción e implementación de la Política Pública delServicio de Aseo, el Plan de Gestión Integral de Residuos Sólidos -PGIRS-, Plan de Ordenamiento Territorial -POT-, Residuos de laDemolición y Construcción -RCD- y en el modelo de aprovechamiento deacuerdo con lo establecido en el Plan de Desarrollo Distrital y losautos de la Honorable Corte Constitucional desde el componente deaprovechamiento en el Distrito Capital.</t>
  </si>
  <si>
    <t>MARIA PAULA ROJAS AMADOR</t>
  </si>
  <si>
    <t>JOHN ALEJANDRO ARISTIZABAL BEDOYA TERMINACIÓN ANTICIPADA</t>
  </si>
  <si>
    <t>Prestar los servicios de apoyo a la de la Subdirección deAprovechamiento, para apoyo en la administración y actualización dedatos con el conjunto de metodologías, aplicaciones y tecnologías parareunir, depurar y transformar datos de los sistemas transaccionales eninformación estructurada que permitan suministrar información.</t>
  </si>
  <si>
    <t>JAVIER ALBERTO VARGAS CASAS</t>
  </si>
  <si>
    <t>FRANCISCO  SUAVITA GARCIA</t>
  </si>
  <si>
    <t>11-Desarrollar el 100 % de proyectos de innovación y desarrollo en pos del fortalecimiento de las cadenas de valor</t>
  </si>
  <si>
    <t>Prestar los Servicios de apoyo a la Unidad Administrativa Especial deServicios Públicos -UAESP- en el soporte jurídico y normativo de losproyectos y actividades relacionadas con el aprovechamiento de residuossólidos, gestión social, implementación de acciones afirmativas ycultura ciudadana.</t>
  </si>
  <si>
    <t>MARY LORENA TRUJILLO RAMIREZ</t>
  </si>
  <si>
    <t>SSF-022 Prestar los servicios profesionales en la Subdirección de Servicios Funerarios y Alumbrado Público,
, para realizar el acompañamiento jurídico y legal a los
beneficiarios y usuarios de los servicios funerarios. en los Cementerios propiedad del Distrito</t>
  </si>
  <si>
    <t>personal</t>
  </si>
  <si>
    <t>SSF-022 Prestar los servicios profesionales en la Subdirección deServicios Funerarios y Alumbrado Público, para realizar elacompañamiento jurídico y legal a los beneficiarios y usuarios de losservicios funerarios en los Cementerios propiedad del Distrito.</t>
  </si>
  <si>
    <t>1024557996</t>
  </si>
  <si>
    <t>DIANA JULIETH CORREDOR AVELLANEDA</t>
  </si>
  <si>
    <t>Prestar los servicios de apoyo técnico a la Subdirección de Recolección,Barrido y Limpieza, realizando actividades tendientes a fortalecer lagestión administrativa, gestión documental y gestión del SistemaDistrital de Quejas y Soluciones, de los procesos relacionados con elseguimiento a la prestación del servicio de aseo en el Distrito.</t>
  </si>
  <si>
    <t>MARIA ALEJANDRA DURAN GONZALEZ</t>
  </si>
  <si>
    <t>DANIEL FELIPE HURTADO BAQUERO</t>
  </si>
  <si>
    <t>Prestar los servicios profesionales a la Subdirección de ServiciosFunerarios y Alumbrado Público para la incorporación de lainfraestructura al sistema de alumbrado público y apoyar las demásactividades propias del servicio de Alumbrado Público a cargo del área.</t>
  </si>
  <si>
    <t>MIGUEL ANGEL BUENO OCAMPO</t>
  </si>
  <si>
    <t>Prestar servicios de apoyo a la gestión a la Subdirección de AsuntosLegales de la Unidad Administrativa Especial de Servicios Públicos –UAESP, mediante la ejecución de actividades administrativas,organización documental de los expedientes, entre otros.</t>
  </si>
  <si>
    <t>ALHISON VANESA GARZON CASTAÑEDA</t>
  </si>
  <si>
    <t>Prestar los servicios profesionales a la Subdirección de Asuntos Legalesdesde el punto de vista financiero y técnico dentro de los procesos deselección y contratación en general, en sus etapas precontractuales,contractuales y postcontractuales, teniendo en cuenta los requerimientossolicitados por las diferentes dependencias de la Unidad AdministrativaEspecial de Servicios Públicos.</t>
  </si>
  <si>
    <t>FABELLA  GUERRERO ESPINOZA</t>
  </si>
  <si>
    <t>NELSON FERNANDO VILLAMIL RUSSY</t>
  </si>
  <si>
    <t>Prestar servicios profesionales desde el punto de vista jurídico paraacompañar a la UAESP en el desarrollo de las actuaciones de carácteradministrativo que se adelanten al interior de la entidad y las demásactividades que se requieran.</t>
  </si>
  <si>
    <t>GLORIA YANNETH TORRES MANCIPE</t>
  </si>
  <si>
    <t xml:space="preserve">Prestar servicios profesionales de acompañamiento técnico en las etapas precontractual, ejecución y postcontractual de los proyectos y/o contratos que estén a cargo de la Oficina de TIC de la UAESP 
</t>
  </si>
  <si>
    <t>Prestar servicios profesionales de acompañamiento técnico en las etapasprecontractual, ejecución y postcontractual de los proyectos y/ocontratos que estén a cargo de la Oficina de TIC de la UAESP.</t>
  </si>
  <si>
    <t>JAVIER HERNANDO FORERO SANDOVAL</t>
  </si>
  <si>
    <t>RBL-0010 Prestar los servicios profesionales a la Subdirección deRecolección, Barrido y Limpieza en el seguimiento a la prestación delservicio público de aseo, especialmente en el componente de corte decésped y poda de árboles en el Distrito Capital.</t>
  </si>
  <si>
    <t>1022377002</t>
  </si>
  <si>
    <t>ANA MARIA RUEDA FAJARDO</t>
  </si>
  <si>
    <t>Prestar servicios profesionales de soporte técnico, desarrollo de nuevosrequerimientos e implementación en el sistema de información SICAPITALadministrado por la Oficina TIC de la UAESP.</t>
  </si>
  <si>
    <t>JOHN KENNEDY LEON CASTIBLANCO</t>
  </si>
  <si>
    <t>SSF-005 Prestar los servicios profesionales especializados a laSubdirección de Servicios Funerarios y Alumbrado Público en temas dearquitectura y patrimonio cultural inmueble, relacionados con laprestación de los servicios funerarios en los Cementerios de propiedaddel Distrito Capital.</t>
  </si>
  <si>
    <t>80012820</t>
  </si>
  <si>
    <t>CAMILO ANDRES AVILA HERNANDEZ</t>
  </si>
  <si>
    <t>Prestar servicios profesionales de soporte técnico, desarrollo eimplementación de nuevas funcionalidades y ajustes en el sistema deinformación SICAPITAL administrado por la Oficina TIC de la UAESP.</t>
  </si>
  <si>
    <t>SERGIO ALFONSO RODRIGUEZ GUERRERO</t>
  </si>
  <si>
    <t>17- Realizar saneamiento Predial, a través de un (1) modelo adecuación en Servicios Públicos e infraestructura.</t>
  </si>
  <si>
    <t>Adición y Prorroga al contrato UAESP-454-2020, Prestar serviciosprofesionales a la Subdirección de Disposición final de la UAESPapoyando la gestión, supervisión, seguimiento y control del servicio dedisposición final en el RSDJ, en el marco del desarrollo del contrato deinterventoría y contratos de concesión del Relleno Sanitario Doña Juanaen el componente de lixiviados desde el área de la ingeniería.</t>
  </si>
  <si>
    <t>MARIBEL  PATACON PEDRAZA</t>
  </si>
  <si>
    <t>Adición y Prorroga del Contrato UAESP- 426- 2020 cuyo objeto es: Prestarservicios de apoyo a la gestión de la Subdirección Administrativa yFinanciera de la Unidad Administrativa Especial de Servicios Públicos –UAESP, a través de la ejecución de actividades relacionadas con laorganización física de la documentación, la actualización de losinventarios documentales en el formato FUID adoptado por la Unidad y elproceso de correspondencia.</t>
  </si>
  <si>
    <t>ERIKA MARCELA MEDINA SATOVA</t>
  </si>
  <si>
    <t xml:space="preserve">ADICON </t>
  </si>
  <si>
    <t xml:space="preserve">Personal </t>
  </si>
  <si>
    <t>Adición y Prorroga al contrato UAESP-465-2020, Prestar serviciosprofesionales a la Subdirección de Disposición Final, para que apoye lagestión, supervisión, seguimiento y control del servicio de disposiciónfinal en el RSDJ, en su componente de lixiviados y pondajes, en el marcodel desarrollo del contrato de Interventoría y contratos de concesióndel Relleno Sanitario Doña Juana.</t>
  </si>
  <si>
    <t>JHON JAIRO VERA BUITRAGO</t>
  </si>
  <si>
    <t>Adición y Prorroga del Contrato UAESP 389/2020 cuyo objeto es: Prestarservicios de apoyo a la gestión de la Subdirección Administrativa yFinanciera de la Unidad Administrativa Especial de Servicios Públicos –UAESP, a través de la ejecución de actividades relacionadas con laorganización física y digital de documentación, la actualización de losinventarios documentales en el formato FUID adoptado por la Unidad y elproceso de correspondencia.</t>
  </si>
  <si>
    <t>DARLY ANDREA SALAZAR BLANCO</t>
  </si>
  <si>
    <t>Prestar los servicios profesionales a la Subdirección de Asuntos Legalesdesde el punto de vista jurídico dentro de los procesos de selección ycontratación en general, en sus etapas precontractuales, contractuales ypostcontractuales, teniendo en cuenta los requerimientos solicitados porlas diferentes dependencias de la Unidad Administrativa Especial deServicios Públicos.</t>
  </si>
  <si>
    <t>ARIEL FERNANDO GENES SALAZAR</t>
  </si>
  <si>
    <t>Adición y prórroga del contrato No. Contrato No. UAESP-461-2020 cuyoobjeto es “Prestar servicios de apoyo a la gestión de la SubdirecciónAdministrativa y Financiera de la Unidad Administrativa Especial deServicios Públicos – UAESP, a través de la ejecución de actividadesrelacionadas con la organización física de la documentación, laactualización de los inventarios documentales en el formato FUIDadoptado por la Unidad y el proceso de correspondencia.”</t>
  </si>
  <si>
    <t>GABRIELA  MARTINEZ RAMIREZ</t>
  </si>
  <si>
    <t>Adición y prórroga del contrato No. Contrato No. UAESP-351-2020 cuyoobjeto es “Prestar servicios profesionales apoyando a la SubdirecciónAdministrativa y Financiera desde el punto de vista jurídico, con el finde fortalecer la gestión institucional.”</t>
  </si>
  <si>
    <t>YEIMI ALEXANDRA CARDONA TOMBE</t>
  </si>
  <si>
    <t>Adición y prórroga del contrato No. Contrato No. UAESP-497-2020 cuyoobjeto es “Prestar servicios profesionales para apoyar a la SubdirecciónAdministrativa y Financiera, en los asuntos de carácter técnico deinfraestructura de las sedes administrativas de la UAESP.”</t>
  </si>
  <si>
    <t>JEISSON HERNANDO ECHAVARRIA CADENA</t>
  </si>
  <si>
    <t>Adición y Prórroga No. 1 al contrato de prestación de serviciosprofesionales No. UAESP-481-2020, cuyo objeto es: “Prestar serviciosprofesionales para apoyar a la Subdirección Administrativa y Financieraen la implementación, coordinación y ejecución de las actividades delSistema de Seguridad y Salud en el Trabajo en los temas de suespecialidad”.</t>
  </si>
  <si>
    <t>JAIRO IVAN VARGAS QUIROGA</t>
  </si>
  <si>
    <t>Adición y Prórroga No. 1 al contrato de prestación de serviciosprofesionales No. UAESP-487-2020, cuyo objeto es: “Prestar serviciosprofesionales a la Subdirección Administrativa y Financiera de la UnidadAdministrativa Especial de Servicios Públicos- UAESP, brindando apoyo enla ejecución de actividades relacionadas con la gestión y administracióndel talento humano, así como aquellas de índole financiero y contable”.</t>
  </si>
  <si>
    <t>LUIS JAVIER RODRIGUEZ LUQUE</t>
  </si>
  <si>
    <t>Adición y Prórroga No.1 al contrato de prestación de serviciosprofesionales No. UAESP-480-2020, cuyo objeto es: “Prestar los serviciosprofesionales en la Subdirección Administrativa y Financiera, para laAdministración y ejecución de las actividades del Sistema de Gestión deSeguridad y Salud en el Trabajo – SGSST de la Unidad y las normas que loregulan”</t>
  </si>
  <si>
    <t>PABLO CESAR GARCIA ANGEL</t>
  </si>
  <si>
    <t>PRORROGA Y ADICION No. 1 CONTRATO N° UAESP-452-2020, cuyo objeto degasto corresponde a: “Prestar servicios profesionales para apoyar a laSubdirección Administrativa y Financiera en la ejecución de losprogramas del Sistema de Seguridad y Salud en el Trabajo en el ámbitodel riesgo psicosocial en el personal de la UAESP.”.</t>
  </si>
  <si>
    <t>LADY JOHANNA PINZON ALFONSO</t>
  </si>
  <si>
    <t>Adición y Prorroga No. 1 al contrato No. UAESP- 424- 2020 cuyo objeto esPrestar los servicios profesionales a la Unidad Administrativa Especialde Servicios Públicos – UAESP en la implementación, desarrollo ymantenimiento del Modelo Integrado de Planeación y Gestión MIPG,Dimensión 2 Direccionamiento Estratégico y Planeación, en particular lorelacionado con las Políticas de Planeación Institucional, Gestiónpresupuestal y eficiencia del gasto público, formulando los planesprogramas y proyectos de inversión que se deriven de la aplicación deellas, presentando los informes requeridos de acuerdo con la metodologíaestablecida.</t>
  </si>
  <si>
    <t>CHIRLEY  CHAMORRO MONTOYA</t>
  </si>
  <si>
    <t>PRORROGA Y ADICION No. 1 CONTRATO N° UAESP-539-2020, cuyo objeto degasto corresponde a: “Prestar servicios de apoyo a la gestión de laSubdirección Administrativa y Financiera de la Unidad AdministrativaEspecial de Servicios Públicos – UAESP, a través de la ejecución deactividades relacionadas con la organización física y digital dedocumentación, la actualización de los inventarios documentales en elformato FUID adoptado por la Unidad y el proceso de correspondencia.”.</t>
  </si>
  <si>
    <t>BRILLIT ANGELICA GARCIA MARIN</t>
  </si>
  <si>
    <t>PRORROGA Y ADICION No. 1 CONTRATO N° UAESP-462-2020, cuyo objeto degasto corresponde a: “Prestar servicios de apoyo a la gestión de laSubdirección Administrativa y Financiera de la Unidad AdministrativaEspecial de Servicios Públicos – UAESP, a través de la ejecución deactividades relacionadas con la organización física de la documentación,la actualización de los inventarios documentales en el formato FUIDadoptado por la Unidad y el proceso de correspondencia.”</t>
  </si>
  <si>
    <t>OSCAR ALDOVER GUERRERO SUAREZ</t>
  </si>
  <si>
    <t>Prestar servicios profesionales a la Unidad Administrativa Especial deServicios Públicos – UAESP, en la implementación, desarrollo ymantenimiento del Modelo Integrado de Planeación y Gestión MIPG y elsistema integrado de gestión, así como realizar el seguimiento, gestiónpresupuestal y eficiencia del gasto de los proyectos asignados.</t>
  </si>
  <si>
    <t>ANDREA  RODRIGUEZ CETINA</t>
  </si>
  <si>
    <t>PRORROGA Y ADICION No. 1 CONTRATO N° UAESP-366-2020, cuyo objeto degasto corresponde a: “Prestar servicios de apoyo a la gestión de laSubdirección Administrativa y Financiera, a través del registro de lasoperaciones presupuestales en aplicativos, así como en la organizaciónde los documentos físicos y digitales producidos en la misma.”</t>
  </si>
  <si>
    <t>HUGO ALEJANDRO LOPEZ LOPEZ</t>
  </si>
  <si>
    <t>Adición y Prorroga al contrato UAESP-473-2020, Prestar los serviciosprofesionales para apoyar a la Subdirección de Disposición Final en lostemas tarifarios, regulatorios y administrativos de su competencia.</t>
  </si>
  <si>
    <t>OSWALDO ALFONSO ARIAS RODRIGUEZ</t>
  </si>
  <si>
    <t>Adición y Prorroga al contrato UAESP-464-2020, Prestar los serviciosprofesionales para apoyar a la Subdirección de Disposición Final elseguimiento y control de las obligaciones contractuales de los serviciosprestados por de la UAESP en el Relleno Sanitario Doña Juana.</t>
  </si>
  <si>
    <t>ELKIN EMIR CABRERA BARRERA</t>
  </si>
  <si>
    <t>Prestar servicios de apoyo en el seguimiento de los inventarios yplataformas tecnológicas que se encuentren a cargo de la UnidadAdministrativa Especial de Servicios Públicos – UAESP.</t>
  </si>
  <si>
    <t>79598339</t>
  </si>
  <si>
    <t>OMAR FERNANDO MARTINEZ GAMBOA</t>
  </si>
  <si>
    <t>interventoria</t>
  </si>
  <si>
    <t>Prorroga y adición Nº 9 del contrato 244 de 2017, cuyo objeto es:“Realizar la interventoría técnica, operativa, social, administrativa,financiera, ambiental, jurídica, de seguridad industrial y de saludocupacional, relacionadas con el contrato de concesión No. 311 de 2013,suscrito entre la Unidad Administrativa Especial de Servicios Públicos –UAESP – e Inversiones Monte Sacro Ltda, cuyo objeto es “la prestacióndel servicio de destino final en equipamientos de propiedad del DistritoCapital y su Administración, Operación, Mantenimiento y Vigilancia, porun término de cinco (5) años mediante Contrato de Concesión enconcordancia con lo estipulado en el pliego de condiciones, las normasmencionadas en el numeral 1.7, el Plan de Manejo Ambiental, la licenciaambiental, el Manual Operativo y todas aquellas normas pertinentesvigentes que regulen la prestación de este servicio”</t>
  </si>
  <si>
    <t>CONTRATO DE INTERVENTORIA</t>
  </si>
  <si>
    <t>COMPAÑIA DE PROYECTOS TECNICOS CPT S A</t>
  </si>
  <si>
    <t>Adición y prórroga del contrato No. Contrato No. UAESP-421-2020 cuyoobjeto es “Prestar servicios de apoyo a la gestión de la SubdirecciónAdministrativa y Financiera de la Unidad Administrativa Especial deServicios Públicos – UAESP, a través de la ejecución de actividadesrelacionadas con la organización física de la documentación, laactualización de los inventarios documentales en el formato FUIDadoptado por la Unidad y el proceso de correspondencia.”</t>
  </si>
  <si>
    <t>OLGA MIREYA SANTOS GONZALEZ</t>
  </si>
  <si>
    <t xml:space="preserve">Conectividad </t>
  </si>
  <si>
    <t>11 - Gastos de comercialización y producción</t>
  </si>
  <si>
    <t>EMPRESA DE TELECOMUNICACIONES DE BOGOTÁ S.A. E.S.P. - ETB S.A. ESP</t>
  </si>
  <si>
    <t>RBL-0016 Prestar los servicios profesionales para apoyar la Subdirecciónde Recolección, Barrido y Limpieza de la Unidad Administrativa Especialde Servicios Públicos en aspectos Presupuestales, Planeamiento y Gestiónde orden Administrativo, Presupuestal y Financiero.</t>
  </si>
  <si>
    <t>GILBERTO  ACOSTA PARRA</t>
  </si>
  <si>
    <t>RBL-0004 Prestar los servicios profesionales a la Unidad AdministrativaEspecial de Servicios Públicos UAESP en la gestión Jurídica yAdministrativa de la Subdirección de Recolección, Barrido y LimpiezaRBL, apoyando la supervisión del servicio de aseo, y todos los procesosrelacionados con la gestión integral de los residuos sólidos en elDistrito.</t>
  </si>
  <si>
    <t>DIEGO ANDRES SOLER MARROQUIN</t>
  </si>
  <si>
    <t>RBL-0006 Prestar servicios profesionales a la Subdirección deRecolección Barrido y Limpieza de la Unidad Administrativa Especial deservicios Públicos - UAESP, desde el punto de vista jurídico en generaly en especial en aquellos asuntos relacionados con la prestación delservicio de aseo en la ciudad de Bogotá.</t>
  </si>
  <si>
    <t>LUZ ELENA GOMEZ LEYVA</t>
  </si>
  <si>
    <t>RBL-0017 Prestar los servicios profesionales a la Unidad AdministrativaEspecial de Servicios Públicos - UAESP-, para apoyar el seguimiento delservicio de aseo en los aspectos de orden presupuestal, planeamiento ygestión administrativa de la Subdirección de Recolección, Barrido yLimpieza - RBL.</t>
  </si>
  <si>
    <t>NATH YURY ROLDAN RAMOS</t>
  </si>
  <si>
    <t>RBL-0059 Prestar los servicios profesionales a la Unidad AdministrativaEspecial de Servicios Públicos UAESP, para el seguimiento del serviciode aseo en sus componentes de recolección, barrido y limpieza CLUS, ytodos los procesos relacionados con la gestión integral de los residuossólidos del Distrito.</t>
  </si>
  <si>
    <t>JOHAN SEBASTIAN PEREZ JIMENEZ</t>
  </si>
  <si>
    <t>RBL-0032 Prestar los servicios profesionales a la Subdirección deRecolección, Barrido y Limpieza apoyando a la supervisión en larevisión, control y seguimiento a las actividades realizadas por lainterventoría del servicio público de aseo, así como en los aspectostécnicos y operativos relacionados con la prestación del servicio.</t>
  </si>
  <si>
    <t>ILSE CAROLINA RAMIREZ BARROS</t>
  </si>
  <si>
    <t>RBL-0019 Prestar los servicios técnicos a la Subdirección deRecolección, Barrido y Limpieza de la UAESP, brindando apoyoadministrativo y documental en los procedimientos relacionados con lagestión integral de los residuos sólidos en el Distrito, en suscomponentes de recolección, barrido y limpieza CLUS.</t>
  </si>
  <si>
    <t>CHRISTIAN ULISES ALVARADO SARMIENTO</t>
  </si>
  <si>
    <t>RBL-0033 Prestar los Servicios Profesionales a la Unidad AdministrativaEspecial de Servicios Públicos - UAESP- para apoyar técnicamente yoperativamente el seguimiento y la supervisión de las actividades derecolección, barrido y limpieza del servicio de aseo.</t>
  </si>
  <si>
    <t>JOSE IVAN RIOS ORJUELA</t>
  </si>
  <si>
    <t>RBL-0005 Prestar los servicios profesionales a la Subdirección deRecolección Barrido y Limpieza desde el punto de vista jurídico engeneral y en especial en el seguimiento a la prestación del serviciopúblico de aseo, en la ciudad de Bogotá.</t>
  </si>
  <si>
    <t>LEONARDO ANDRES FONSECA FAJARDO</t>
  </si>
  <si>
    <t>RBL-0007 Prestar los servicios profesionales a la Subdirección deRecolección, Barrido y Limpieza RBL - para brindar apoyo en elseguimiento de las actividades relacionadas con los aspectos técnicos,regulatorios y ambientales de la prestación del servicio público de aseoen el Distrito Capital.</t>
  </si>
  <si>
    <t>MARIA FERNANDA JARAMILLO TRUJILLO</t>
  </si>
  <si>
    <t>SAF-0014 - PRESTAR SERVICIOS PROFESIONALES PARA APOYAR A LA SUBDIRECCIÓNADMINISTRATIVA Y FINANCIERA, EN EL MARCO DEL SISTEMA GENERAL DE SALUD YSEGURIDAD EN EL TRABAJO, EN LA EJECUCIÓN DE ACTIVIDADES DE PREVENCIÓN YPROMOCIÓN, EVALUACIÓN E INTERVENCIÓN EN TEMAS RELACIONADOS CON LASCONDICIONES DE SALUD DE LOS COLABORADORES DE LA ENTIDAD, A FIN DEGARANTIZAR EL BIENESTAR DE LOS MISMOS.</t>
  </si>
  <si>
    <t>SONIA  GUTIERREZ BARRETO</t>
  </si>
  <si>
    <t>SAF-0081- PRESTAR SERVICIOS DE APOYO A LA GESTIÓN A LA SUBDIRECCIÓNADMINISTRATIVA Y FINANCIERA DE LA UAESP DESARROLLANDO LAS ACTIVIDADES DECONDUCCIÓN DE VEHÍCULOS AUTOMOTORES CON LA RESPONSABILIDAD Y HABILIDADREQUERIDA, PROCURANDO EL USO ADECUADO DEL AUTOMOTOR ASIGNADO YCUMPLIENDO CON LAS NORMAS DE TRÁNSITO.</t>
  </si>
  <si>
    <t>JHONN JAIRO GONZALEZ ROMERO</t>
  </si>
  <si>
    <t>SAF-0029 Prestar servicios de apoyo a la gestión de la SubdirecciónAdministrativa y Financiera de la Unidad Administrativa Especial deServicios Públicos – UAESP, a través de la ejecución de actividadesrelacionadas con la organización física y digital de documentación, laactualización de los inventarios documentales en el formato FUIDadoptado por la Unidad y el proceso de correspondencia.</t>
  </si>
  <si>
    <t>OLIVERIO  OME GUEVARA</t>
  </si>
  <si>
    <t>SSF-018 Prestar los servicios de apoyo en la atención de peticiones, quejas y reclamos del aplicativo Sistema Distrital de Quejas y Soluciones  (SDQS), relacionados con la
prestación de Servicios Funerarios a cargo de la SSFAP</t>
  </si>
  <si>
    <t>SSF-018 Prestar los servicios de apoyo en la atención de peticiones,quejas y reclamos del aplicativo Sistema Distrital de Quejas ySoluciones (SDQS), relacionados con la prestación de ServiciosFunerarios a cargo de la SSFAP.</t>
  </si>
  <si>
    <t>MIGUEL ANGEL ROJAS LEAL</t>
  </si>
  <si>
    <t>SSF-015 Prestar los servicios de apoyo a la Subdirección de ServiciosFunerarios y Alumbrado Público, brindando acompañamiento en atención alciudadano, solicitudes y peticiones relacionadas principalmente con elprograma de Subsidios Funerarios y los servicios a cargo de laSubdirección.</t>
  </si>
  <si>
    <t>ROLFE  ORTIZ CRUZ</t>
  </si>
  <si>
    <t>SDF38-Prestar servicios profesionales a la Subdirección de DisposiciónFinal en el seguimiento y control a la ejecución y cumplimiento deobligaciones contractuales ambientales de los concesionarios, además delas establecidas en la licencia ambiental y/o en los actosadministrativos proferidos por la autoridad ambiental.</t>
  </si>
  <si>
    <t>JENIFER ALEJANDRA PRIETO RINCON</t>
  </si>
  <si>
    <t>SDF09-Prestación de servicio de apoyo asistencial a la UAESP, en lasactividades de seguimiento y control en el componente de puntos críticosy/o arrojo clandestino en el proceso de descargue, separación, traslado,tratamiento, acopio de materiales limpios y envió de rechazos a celda.</t>
  </si>
  <si>
    <t>JHONATAN ASTRUAL SOLER VIRGUEZ</t>
  </si>
  <si>
    <t>SDF29-Prestar servicios profesionales a la Subdirección de Disposiciónfinal de la UAESP, para apoyar desde el componente técnico y ambientalen las actividades de gestión y seguimiento de las fichas de Plan deManejo Ambiental y control de pesaje.</t>
  </si>
  <si>
    <t>LINA PAOLA GARZON MARIN</t>
  </si>
  <si>
    <t>SDF07-Prestar servicios profesionales a la Subdirección de DisposiciónFinal para apoyar en el acompañamiento de las actividades en proyectosde fortalecimiento social, mediante la gestión técnica, logística yadministrativa que requiera el área.</t>
  </si>
  <si>
    <t>NOHORA EMILEY GUTIERREZ ZARATE</t>
  </si>
  <si>
    <t xml:space="preserve">SDF33-Prestar servicios profesionales a la Subdirección de Disposición Final, apoyando en formulación de proyectos productivos para manejo de ovinos, semovientes, caninos, en temas de lombricultura, compostaje y seguimiento a los establecidos dentro del Plan de Gestión Social y el PGIRS, así como seguimiento a Fichas Sociales.
</t>
  </si>
  <si>
    <t>SDF33-Prestar servicios profesionales a la Subdirección de DisposiciónFinal, apoyando en formulación de proyectos productivos para manejo deovinos, semovientes, caninos, en temas de lombricultura, compostaje yseguimiento a los establecidos dentro del Plan de Gestión Social y elPGIRS, así como seguimiento a Fichas Sociales.</t>
  </si>
  <si>
    <t>OSCAR EDUARDO FUENTES MEJIA</t>
  </si>
  <si>
    <t>SDF25-Prestar los servicios profesionales de apoyo a la gestión en laSubdirección de Disposición Final desde el componente operativo ytécnico en todo lo relacionado con la maquinaria, vehículos y equiposexistentes en la operación diaria en celda del Relleno sanitario delpoligono licenciado.</t>
  </si>
  <si>
    <t>RAUL  GOMEZ GOMEZ</t>
  </si>
  <si>
    <t>SDF48-Prestar servicios profesionales a la Subdirección de DisposiciónFinal, apoyando las estrategias de relacionamiento y divulgación entemas de interés con la comunidad y entidades presentes en área deinfluencia.</t>
  </si>
  <si>
    <t>SILVANA  AGUILAR CHACON</t>
  </si>
  <si>
    <t>SDF42-Prestar servicios de apoyo en mantenimiento, cuidado ypreservación de áreas adquiridas para protección y conservaciónambiental en predios de influencia directa del servicio disposiciónfinal RSU propiedad de UAESP.</t>
  </si>
  <si>
    <t>379</t>
  </si>
  <si>
    <t>275</t>
  </si>
  <si>
    <t>1033733719</t>
  </si>
  <si>
    <t>FELIX ALBERTO PINZON MONTOYA</t>
  </si>
  <si>
    <t>SA-OPS-092 Prestar los servicios profesionales a la Subdirección deAprovechamiento de la Unidad Administrativa Especial de ServiciosPúblicos -UAESP-, en lo correspondiente a la planeación, el seguimientoa la implementación y el desarrollo de actividades de aprovechamiento enel marco del servicio público de aseo conforme a lo establecido en lasnormas, políticas y planes distritales y/o nacionales.</t>
  </si>
  <si>
    <t>ANDRES FELIPE CURREA ROJAS</t>
  </si>
  <si>
    <t>SA-OPS-105 Prestar servicios profesionales para apoyar a la Subdirecciónde Aprovechamiento de la Unidad Administrativa Especial de ServiciosPúblicos – UAESP-, en el apoyo a la coordinación en la construcción eimplementación de la política pública del servicio de aseo, el PGIRS yel POT, de acuerdo con lo establecido en el Plan de Desarrollo Distritaly los autos de la Honorable Corte Constitucional desde el componente deaprovechamiento en el Distrito Capital.</t>
  </si>
  <si>
    <t>CARLOS RODOLFO BORJA HERRERA</t>
  </si>
  <si>
    <t>SA-OPS-116 Prestar servicios profesionales para apoyar a la Subdirecciónde Aprovechamiento de la Unidad Administrativa Especial de ServiciosPúblicos – UAESP-, en la construcción e implementación de la políticapública del servicio de aseo, el PGIRS y el POT, de acuerdo con loestablecido en el Plan de Desarrollo Distrital y los autos de laHonorable Corte Constitucional desde el componente de aprovechamiento enel Distrito Capital.</t>
  </si>
  <si>
    <t>DIEGO FERNANDO ORTIZ ROZO</t>
  </si>
  <si>
    <t>SA-OPS-108 Prestar los servicios de apoyo a la Subdirección deAprovechamiento de la Unidad Administrativa Especial de ServiciosPúblicos -UAESP-, para implementar actividades de sistematización ygestión de la planeación y ejecución del presupuesto operativo de losdiferentes proyectos de inversión a cargo de la subdirección,coordinando con los diferentes centros de costo para que se asegure lamarcha de cada uno de tales proyectos, así como planear y Controlar elmanejo de ingresos y egresos de los mismos.</t>
  </si>
  <si>
    <t>ANGELA PAOLA GOMEZ SANCHEZ</t>
  </si>
  <si>
    <t>RBL-0042 Apoyar la Unidad Administrativa Especial de Servicios PúblicosUAESP - en las acciones necesarias para el fortalecimiento de la gestiónsocial en la divulgación y promoción para el manejo adecuado de losresiduos sólidos en las localidades del Distrito Capital.</t>
  </si>
  <si>
    <t>52173965</t>
  </si>
  <si>
    <t>INGRID LILIANA GUILLOTT GAMEZ</t>
  </si>
  <si>
    <t>SA-OPS-102 Prestar servicios profesionales a la Subdirección deAprovechamiento de la Unidad Administrativa Especial de ServiciosPúblicos – UAESP-, apoyando la formulación e implementación de procesosde aprovechamiento y tratamiento de residuos en el marco de la políticade economía circular y del manejo integral de residuos sólidos, así comolo establecido en el Plan de Desarrollo Distrital, las normas deaprovechamiento y los autos de la Honorable Corte Constitucional desdeel componente de aprovechamiento en el Distrito Capital.</t>
  </si>
  <si>
    <t>CHRISTIAN ANDRES MILLAN CANO</t>
  </si>
  <si>
    <t>SA-OPS-138 Prestar apoyo a la Subdirección de Aprovechamiento de laUnidad Administrativa Especial de Servicios Públicos -UAESP-, paraefectuar procesos de sensibilización en el área de influencia de lasbodegas o ECAS a cargo de la UAESP, recolección, verificación yseguimiento a los datos relacionados con el aprovechamiento, atención ala población recicladora de oficio y apoyo en la administración de talesbodegas o ECAS.</t>
  </si>
  <si>
    <t>79757441</t>
  </si>
  <si>
    <t>GERMAN  LOPEZ HURTADO</t>
  </si>
  <si>
    <t>SAP-014 Prestar los servicios técnicos a la Subdirección de Servicios Funerarios y Alumbrado Público, en el área de alumbrado público para apoyar
las gestiones y/o actividades técnicas de los proyectos de infraestructura de alumbrado público.</t>
  </si>
  <si>
    <t>SAP-014 Prestar los servicios técnicos a la Subdirección de ServiciosFunerarios y Alumbrado Público, en el área de alumbrado público paraapoyar las gestiones y/o actividades técnicas de los proyectos deinfraestructura de alumbrado público.</t>
  </si>
  <si>
    <t>213</t>
  </si>
  <si>
    <t>142</t>
  </si>
  <si>
    <t>98397289</t>
  </si>
  <si>
    <t>JORGE ALBERTO NAVARRO CAICEDO</t>
  </si>
  <si>
    <t>SA-OPS-139 Prestar apoyo a la Subdirección de Aprovechamiento de laUnidad Administrativa Especial de Servicios Públicos -UAESP-, paraefectuar procesos de sensibilización en el área de influencia de lasbodegas o ECAS a cargo de la UAESP, recolección, verificación yseguimiento a los datos relacionados con el aprovechamiento, atención ala población recicladora de oficio y apoyo en la administración de talesbodegas o ECAS.</t>
  </si>
  <si>
    <t>CLAUDIA PATRICIA MORALES RAMIREZ</t>
  </si>
  <si>
    <t>SAP-013 Prestación de servicios profesionales de apoyo a la Subdirecciónde Servicios Funerarios y Alumbrado Público, en el ámbito de laingeniería, en lo relacionado con nuevas tecnologías en la prestacióndel servicio de alumbrado público.</t>
  </si>
  <si>
    <t>243186</t>
  </si>
  <si>
    <t>BLAS  GALENO SAEZ</t>
  </si>
  <si>
    <t>SSFAP-021 Prestar los servicios profesionales desde el ámbito legal,para apoyar las actividades relacionadas con la prestación de losservicios Funerarios y Alumbrado Público a cargo de la Subdirección deServicios Funerarios y Alumbrado Público.</t>
  </si>
  <si>
    <t>79600155</t>
  </si>
  <si>
    <t>NELSON ALIRIO MUÑOZ LEGUIZAMON</t>
  </si>
  <si>
    <t>SA-OPS-152 Prestar apoyo a la Subdirección de Aprovechamiento de laUnidad Administrativa Especial de Servicios Públicos -UAESP- paraefectuar procesos de sensibilización en el área de influencia de lasbodegas o ECAS a cargo de la UAESP, recolección, verificación yseguimiento a los datos relacionados con el aprovechamiento, atención ala población recicladora de oficio y apoyo en la administración de talesbodegas o ECAS.</t>
  </si>
  <si>
    <t>466</t>
  </si>
  <si>
    <t>349</t>
  </si>
  <si>
    <t>1128062721</t>
  </si>
  <si>
    <t>OSCAR IVAN ACEVEDO CONDE</t>
  </si>
  <si>
    <t>SA-OPS-157 Prestar apoyo a la Subdirección de Aprovechamiento de laUnidad Administrativa Especial de Servicios Públicos -UAESP- paraefectuar procesos de sensibilización en el área de influencia de lasbodegas o ECAS a cargo de la UAESP, recolección, verificación yseguimiento a los datos relacionados con el aprovechamiento, atención ala población recicladora de oficio y apoyo en la administración de talesbodegas o ECAS.</t>
  </si>
  <si>
    <t>475</t>
  </si>
  <si>
    <t>359</t>
  </si>
  <si>
    <t>79916116</t>
  </si>
  <si>
    <t>HERNAN MAURICIO LEON BARRERA</t>
  </si>
  <si>
    <t>SA-OPS-050 Prestación de servicios de apoyo a la gestión relacionada con la separación insitu de los residuos de construcción y demolición -RCD- que están mezclados y se encuentran en los puntos críticos y/o de arrojo clandestino de la ciudad de Bogotá, asignados por la Unidad Administrativa Especial de Servicios Publicas -UAESP-,que le permita obtener a la organización de recicladores el material aprovechable de cada punto para la zona 2</t>
  </si>
  <si>
    <t>01-Activos fijos</t>
  </si>
  <si>
    <t>SA-OPS-050 Prestación de servicios de apoyo a la gestión relacionada conla separación insitu de los residuos de construcción y demolición -RCD-que están mezclados y se encuentran en los puntos críticos y/o de arrojoclandestino de la ciudad de Bogotá, asignados por la UnidadAdministrativa Especial de Servicios Publicas -UAESP-,que le permitaobtener a la organización de recicladores el material aprovechable decada punto para la zona 2</t>
  </si>
  <si>
    <t>SA-OPS-166 Prestar servicios profesionales en el Punto Vive Digital Dela Unidad Administrativa Especial de Servicios Públicos - UAESP- en eldesarrollo de las actividades programadas y de capacitación en elcomponente informático a la población recicladora de oficio de laCiudad.</t>
  </si>
  <si>
    <t>SERGIO REINEL DIAZ</t>
  </si>
  <si>
    <t>SA-OPS-112 Prestar servicios profesionales para apoyar a la Subdirecciónde Aprovechamiento de la Unidad Administrativa Especial de ServiciosPúblicos – UAESP-, en la construcción e implementación de la políticapública del servicio de aseo, el PGIRS y el POT, de acuerdo con loestablecido en el Plan de Desarrollo Distrital y los autos de laHonorable Corte Constitucional desde el componente de aprovechamiento enel Distrito Capital.</t>
  </si>
  <si>
    <t>KATERINE DEL CARMEN SERRANO POVEDA</t>
  </si>
  <si>
    <t>SA-OPS-117 Prestar los servicios de apoyo profesional a la Subdirecciónde Aprovechamiento de la Unidad Administrativa Especial de ServiciosPúblicos -UAESP-, paraRealizar acompañamiento en la implementación deacciones afirmativas a la población recicladora de oficio,implementación de actividades de cultura ciudadana en el marco de lagestión de residuos sólidos e interlocución con los diferentes actoreslocales.</t>
  </si>
  <si>
    <t>NELSON VLADIMIR CRUZ MEJIA</t>
  </si>
  <si>
    <t>SA-OPS-163 Prestar servicios de apoyo a la Subdirección deAprovechamiento de la Unidad Administrativa Especial de ServiciosPúblicos – UAESP, apoyando la construcción y el proceso de formulaciónde iniciativas de emprendimiento en el marco del reciclaje y de laeconomía circular en el componente de RCD proveniente de pequeñosgeneradores en el Distrito Capital incluido su aprovechamiento yseparación in situ de los puntos críticos y/o de arrojo clandestino enla ciudad de Bogotá, asignados por la UAESP a organizaciones derecicladores.</t>
  </si>
  <si>
    <t>450</t>
  </si>
  <si>
    <t>339</t>
  </si>
  <si>
    <t>51649012</t>
  </si>
  <si>
    <t>MARIA DEL PILAR QUINCHE RIOS</t>
  </si>
  <si>
    <t>SAF-0028 Prestar servicios de apoyo a la gestión de la SubdirecciónAdministrativa y Financiera de la Unidad Administrativa Especial deServicios Públicos – UAESP, a través de la ejecución de actividadesrelacionadas con la organización física y digital de documentación, laactualización de los inventarios documentales en el formato FUIDadoptado por la Unidad y el proceso de correspondencia.</t>
  </si>
  <si>
    <t>SANDRA MILENA LONDOÑO SANTAMARIA</t>
  </si>
  <si>
    <t>SAF 0050 Prestar servicios de apoyo a la gestión a la subdirecciónadministrativa y financiera de la UAESP desarrollando las actividades deconducción de vehículos automotores con la responsabilidad y habilidadrequerida, procurando el uso adecuado del automotor asignado ycumpliendo con las normas de tránsito.</t>
  </si>
  <si>
    <t>80076790</t>
  </si>
  <si>
    <t>JUAN CAMILO RAMIREZ GONZALEZ</t>
  </si>
  <si>
    <t>SAF-0017 Renglón 194 PAA. “Prestar servicios de apoyo a la gestión de laSubdirección Administrativa y Financiera de la Unidad AdministrativaEspecial de Servicios Públicos – UAESP, a través de la ejecución deactividades relacionadas con la organización física y digital dedocumentación, la actualización de los inventarios documentales en elformato FUID adoptado por la Unidad y el proceso de correspondencia.”</t>
  </si>
  <si>
    <t>ERIKA DANIELA MIRANDA MAHECHA</t>
  </si>
  <si>
    <t>Prestar los servicios profesionales apoyando a la Unidad AdministrativaEspecial de Servicios Públicos UAESP en el seguimiento del servicio deaseo en sus componentes de recolección, barrido y limpieza CLUS, y todoslos procesos relacionados con la gestión integral de los residuossólidos en el Distrito.</t>
  </si>
  <si>
    <t>SERGIO NICOLAS CARDENAS BARRERA</t>
  </si>
  <si>
    <t>RBL-0001 Prestar los servicios profesionales a la Unidad AdministrativaEspecial de Servicios Públicos UAESP, en el seguimiento al serviciopúblico de aseo y la gestión integral de residuos, en lo que respecta alanálisis y consolidación de información estadística, geográfica,cartográfica y espacial del Distrito.</t>
  </si>
  <si>
    <t>YENCY CATERIN LAGOS RUIZ</t>
  </si>
  <si>
    <t>RBL-0002 Prestar los servicios profesionales a la Unidad Administrativa Especial de Servicios Públicos, para apoyar la analítica, la exploración y los métodos de visualización de datos espaciales y no espaciales estratégicos, para el seguimiento al servicio público de aseo en el área urbana y rural de la ciudad de Bogotá, en el marco de actualización del Plan de Gestión Integral de Residuos Sólidos.</t>
  </si>
  <si>
    <t>RBL-0002 Prestar los servicios profesionales a la Unidad AdministrativaEspecial de Servicios Públicos, para apoyar la analítica, la exploracióny los métodos de visualización de datos espaciales y no espacialesestratégicos, para el seguimiento al servicio público de aseo en el áreaurbana y rural de la ciudad de Bogotá, en el marco de actualización delPlan de Gestión Integral de Residuos Sólidos.</t>
  </si>
  <si>
    <t>RBL-0003 Prestar los servicios profesionales a la Unidad Administrativa Especial de Servicios Públicos, para la generación y documentación de productos geográficos requeridos para el seguimiento al servicio público de aseo en el área urbana y rural de la ciudad de Bogotá, en el marco de la actualización del Plan de Gestión Integral de Residuos Sólidos.</t>
  </si>
  <si>
    <t>RBL-0003 Prestar los servicios profesionales a la Unidad AdministrativaEspecial de Servicios Públicos, para la generación y documentación deproductos geográficos requeridos para el seguimiento al servicio públicode aseo en el área urbana y rural de la ciudad de Bogotá, en el marco dela actualización del Plan de Gestión Integral de Residuos Sólidos.</t>
  </si>
  <si>
    <t>RBL-0009 Prestar los servicios profesionales a la Unidad AdministrativaEspecial de Servicios Públicos –UAESP-, para apoyar el seguimiento delservicio de aseo en los aspectos relacionados con la gestión integral deresiduos sólidos, especialmente sectores subnormales y áreas rurales enla ciudad de Bogotá.</t>
  </si>
  <si>
    <t>ANDREA TATIANA PINO RODRIGUEZ</t>
  </si>
  <si>
    <t>RBL-0011 Prestar los servicios profesionales a la Subdirección deRecolección, Barrido y Limpieza en el seguimiento a la prestación delservicio público de aseo, especialmente en el componente de corte decésped y poda de árboles, así como aspectos ambientales relativos almanejo de los residuos sólidos en el Distrito Capital.</t>
  </si>
  <si>
    <t>RBL-0012 Prestar los servicios profesionales a la Unidad AdministrativaEspecial de Servicios Públicos, apoyando a la supervisión en elseguimiento del servicio de aseo en sus componentes de recolección,barrido y limpieza CLUS, especialmente en las actividades de corte decésped y poda de árboles.</t>
  </si>
  <si>
    <t>MAIRA SOFIA MUÑOZ RODRIGUEZ</t>
  </si>
  <si>
    <t>RBL-0057 Prestar los servicios profesionales apoyando a la Subdirecciónde Recolección, Barrido y Limpieza, en la articulación de lasactividades técnico operativas necesarias para el fortalecimiento delservicio público de aseo en el Distrito y en el apoyo a la supervisiónque se realiza a la interventoría del servicio de aseo.</t>
  </si>
  <si>
    <t>JULIAN ALFONSO VARGAS VARGAS</t>
  </si>
  <si>
    <t>SDF40-Prestar servicios de apoyo en mantenimiento, cuidado ypreservación de áreas adquiridas para protección y conservaciónambiental en predios de influencia directa del servicio disposiciónfinal RSU propiedad de UAESP.</t>
  </si>
  <si>
    <t>ABEL GUILLERMO VILLADA</t>
  </si>
  <si>
    <t>SDF11-Prestar servicios profesionales a la Subdirección de Disposiciónfinal de la UAESP apoyando el seguimiento y la gestión de residuos enDoña Juana, para la operación en celda, estabilidad de taludes yaspectos geotécnicos.</t>
  </si>
  <si>
    <t>ANDRES GERARDO CASTAÑEDA CAMARGO</t>
  </si>
  <si>
    <t>SDF23-Prestar servicios profesionales para apoyar a la Subdirección deDisposición Final en las actividades asociadas a los temasadministrativos y de gestión que requiera el área.</t>
  </si>
  <si>
    <t>ANGIE MILEIDY RAMIREZ CALDERON</t>
  </si>
  <si>
    <t>SDF36-Prestar los servicios técnicos desde el componente ambiental en el área social de la Subdirección de Disposición Final apoyando en la
gestión, seguimiento y control de la ejecución del plan de Gestión Social de la Zona de influencia.</t>
  </si>
  <si>
    <t>SDF36-Prestar los servicios técnicos desde el componente ambiental en elárea social de la Subdirección de Disposición Final apoyando en lagestión, seguimiento y control de la ejecución del plan de GestiónSocial de la Zona de influencia.</t>
  </si>
  <si>
    <t>AURA CRISTINA GARCIA OTALORA</t>
  </si>
  <si>
    <t>SDF26-Prestar apoyo en servicios técnicos para el seguimiento y controlen proyectos de manejo, separación de RPCC y tratamiento de RCD enactividades misionales de la Subdirección de Disposición Final de laUnidad Administrativa Especial de Servicios Públicos.</t>
  </si>
  <si>
    <t>CARLOS EDUARDO GAMEZ AVILA</t>
  </si>
  <si>
    <t>SDF24-Prestar servicios profesionales a la Subdirección de DisposiciónFinal de la UAESP apoyando la gestión de los componentes económicos,financieros y administrativos del área.</t>
  </si>
  <si>
    <t>DIEGO ALEJANDRO MORENO PEREZ</t>
  </si>
  <si>
    <t>SDF03-Prestar servicios profesionales para apoyar a la Subdirección deDisposición Final en las actividades asociadas a los temasadministrativos, presupuestales y de gestión que requiera el área.</t>
  </si>
  <si>
    <t>FLOR NIDIA RIVEROS MARTHA</t>
  </si>
  <si>
    <t>SDF04-Prestar servicios profesionales de apoyo a la subdirección dedisposición final en los temas de planeación, gestión presupuestal yseguimiento a la inversión.</t>
  </si>
  <si>
    <t>JEIMY LIZETH ALFONSO RIVERA</t>
  </si>
  <si>
    <t>SAP-019 Prestar los servicios profesionales en apoyo a la SSFAP desde el componente
social y comunitario sirviendo como  interlocutor entre el  operador ,interventoría y UAESP  para garantizar la correcta prestación del servicio alumbrado público</t>
  </si>
  <si>
    <t>SAP-019 Prestar los servicios profesionales en apoyo a la SSFAP desde elcomponente social y comunitario sirviendo como interlocutor entre eloperador, interventoría y UAESP para garantizar la correcta prestacióndel servicio alumbrado público.</t>
  </si>
  <si>
    <t>FABIAN ALBERTO RODRIGUEZ HURTADO</t>
  </si>
  <si>
    <t>SAP-018 Prestar los servicios profesionales en apoyo a la SSFAP en el compañamiento a los usuarios del servicio de alumbrado público
desde el componente social  en el relacionamiento interinstitucional y comunitario que  garantice la correcta prestación del servicio de alumbrado público</t>
  </si>
  <si>
    <t>SAP-018 Prestar los servicios profesionales en apoyo a la SSFAP en elcompañamiento a los usuarios del servicio de alumbrado público desde elcomponente social en el relacionamiento interinstitucional y comunitarioque garantice la correcta prestación del servicio de alumbrado público.</t>
  </si>
  <si>
    <t>ANGELICA  CASTAÑEDA CASTELLANOS</t>
  </si>
  <si>
    <t>SSF-017 Prestar servicios de apoyo en actividades relacionadas con el control, organización, clasificación y archivo de los documentos físicos
generados y recibidos por la prestación de los servicios funerarios a cargo de  la SSFAP</t>
  </si>
  <si>
    <t>SSF-017 Prestar servicios de apoyo en actividades relacionadas con elcontrol, organización, clasificación y archivo de los documentos físicosgenerados y recibidos por la prestación de los servicios funerarios acargo de la SSFAP.</t>
  </si>
  <si>
    <t>ANDRES FELIPE CHAVARRIA ROMERO</t>
  </si>
  <si>
    <t>SSF-009 Prestar los servicios profesionales para realizar el apoyo enlos componentes financiero y estadístico a los contratos a cargo de laSubdirección de Servicios Funerarios y Alumbrado Público.</t>
  </si>
  <si>
    <t>GILMA MARIA ORJUELA RODRIGUEZ</t>
  </si>
  <si>
    <t>SSFAP-023 Prestar los servicios profesionales para desarrollar actividades tendientes a los procesos de planeación, programación, seguimiento, apoyo y evaluación de los
proyectos de inversión y recursos asignados a la  SSFAP</t>
  </si>
  <si>
    <t>SSFAP-023 Prestar los servicios profesionales para desarrollaractividades tendientes a los procesos de planeación, programación,seguimiento, apoyo y evaluación de los proyectos de inversión y recursosasignados a la SSFAP.</t>
  </si>
  <si>
    <t>DIANA MARITZA SANDOVAL MALDONADO</t>
  </si>
  <si>
    <t>SSF-007 Prestar los servicios profesionales especializados a laSubdirección de Servicios Funerarios y Alumbrado Público en elcomponente ambiental, relacionados con la prestación de los serviciosfunerarios en los Cementerios de propiedad del Distrito.</t>
  </si>
  <si>
    <t>ANA LORENA ORTIZ MEJIA</t>
  </si>
  <si>
    <t>SSFAP-010 Prestar los servicios profesionales para apoyar a la Subdirección de Servicios Funerarios y Alumbrado Público en el seguimiento al
componente financiero de los contratos relacionados con los servicios funerarios y la prestación del servicio de alumbrado público</t>
  </si>
  <si>
    <t>SSFAP-010 Prestar los servicios profesionales para apoyar a laSubdirección de Servicios Funerarios y Alumbrado Público en elseguimiento al componente financiero de los contratos relacionados conlos servicios funerarios y la prestación del servicio de alumbradopúblico.</t>
  </si>
  <si>
    <t>JOHN WILLIAM ABRIL ESPITIA</t>
  </si>
  <si>
    <t>SSF-012 Prestar los servicios profesionales en la Subdirección deServicios Funerarios y Alumbrado Público en el ámbito de la ingenieríacivil, para apoyar el seguimiento y control de las actividadesrelacionadas con infraestructura en los Cementerios propiedad delDistrito Capital.</t>
  </si>
  <si>
    <t>MANUEL ALBERTO SILVA GARCIA</t>
  </si>
  <si>
    <t>SDF35-Prestar servicios profesionales a la Subdirección de DisposiciónFinal para apoyar en el acompañamiento de las actividades del Sistema deGestión de Seguridad y Salud en el Trabajo (SG-SST) y que aporten alfortalecimiento y construcción del ambiente laboral y de salud, mediantela gestión técnica, logística y administrativa que requiera el área.</t>
  </si>
  <si>
    <t>52476800</t>
  </si>
  <si>
    <t>MARIBELL  CASTELLANOS OVIEDO</t>
  </si>
  <si>
    <t>OACRI-02 Prestar servicios profesionales para apoyar las actividades deedición, diseño, producción y post producción audiovisual para lageneración de contenidos relacionados con la Unidad AdministrativaEspecial de Servicios Públicos.</t>
  </si>
  <si>
    <t>ANDREA CAROLINA GARZON MANRIQUE</t>
  </si>
  <si>
    <t>OACRI-03 Prestar servicios profesionales para apoyar la elaboración dematerial periodístico de la UAESP para su divulgación, así como, elefectivo relacionamiento con medios de comunicación y la creación decampañas de posicionamiento y cultura ciudadana de la entidad.</t>
  </si>
  <si>
    <t>DIANA  OLAYA TORRES</t>
  </si>
  <si>
    <t xml:space="preserve">ADICION </t>
  </si>
  <si>
    <t>Adición y prorroga al contrato UAESP-559-2020, Prestación de servicio deapoyo asistencial a la UAESP, en las actividades de supervisión,seguimiento y control en el componente de puntos críticos y/o arrojoclandestino en el proceso de descargue, separación, traslado, acopio demateriales limpios y envío de rechazos a celda, en turnos de 8 horasdía.</t>
  </si>
  <si>
    <t>LAURA DANIELA CADENA CABANA</t>
  </si>
  <si>
    <t>SAP-025 Prestar los servicios de apoyo en actividades relacionadas con el archivo de los
documentos físicos generados y recibidos en la Subdirección de Servicios Funerarios
y Alumbrado Público, en cumplimiento de la Ley 594 de 2000 del Archivo General de
la Nación y demás normas vigentes</t>
  </si>
  <si>
    <t>SAP-025 Prestar los servicios de apoyo en actividades relacionadas conel archivo de los documentos físicos generados y recibidos en laSubdirección de Servicios Funerarios y Alumbrado Público, encumplimiento de la Ley 594 de 2000 del Archivo General de la Nación ydemás normas vigentes.</t>
  </si>
  <si>
    <t>MARTHA ROCIO BERTEL SOLORZANO</t>
  </si>
  <si>
    <t>SAP-022 Prestar los servicios profesionales especializados a la Subdirección de Servicios Funerarios y Alumbrado Público en temas ambientales
 y sanitarios, relacionados con la prestación del servicio de Alumbrado Público en el Distrito Capital.</t>
  </si>
  <si>
    <t>SAP-022 Prestar los servicios profesionales especializados a laSubdirección de Servicios Funerarios y Alumbrado Público en temasambientales y sanitarios, relacionados con la prestación del servicio deAlumbrado Público en el Distrito Capital.</t>
  </si>
  <si>
    <t>HELBER LEONARDO CASAS CAMARGO</t>
  </si>
  <si>
    <t>SAP-024 Prestar servicios de apoyo en actividades relacionadas con el control, organización, clasificación y archivo de los documentos físicos
generados y recibidos por la prestación de los servicios  de alumbrado público a cargo de  la SSFAP</t>
  </si>
  <si>
    <t>SAP-024 Prestar servicios de apoyo en actividades relacionadas con elcontrol, organización, clasificación y archivo de los documentos físicosgenerados y recibidos por la prestación de los servicios de alumbradopúblico a cargo de la SSFAP.</t>
  </si>
  <si>
    <t>CARLOS DANIEL  CLEVES ESTRADA</t>
  </si>
  <si>
    <t>SAP-007 Prestar servicios profesionales en la Subdirección de Servicios Funerarios y Alumbrado Público para apoyar la ejecución de las
actividades relacionadas con la prestación del servicio de alumbrado público.</t>
  </si>
  <si>
    <t>SAP-007 Prestar servicios profesionales en la Subdirección de ServiciosFunerarios y Alumbrado Público para apoyar la ejecución de lasactividades relacionadas con la prestación del servicio de alumbradopúblico.</t>
  </si>
  <si>
    <t>1101177083</t>
  </si>
  <si>
    <t>ANDRES JULIAN ARIZA CASTELLANOS</t>
  </si>
  <si>
    <t>SAP-015 Prestar los servicios profesionales en el ámbito de laingeniería en la Subdirección de Servicios Funerarios y Alumbradopúblico, orientados a las actividades de apoyo a la Supervisión yControl del contrato de interventoría a la prestación del servicio deAlumbrado público en la ciudad de Bogotá́.</t>
  </si>
  <si>
    <t>1026554676</t>
  </si>
  <si>
    <t>NATALIA  LOZANO SIERRA</t>
  </si>
  <si>
    <t>RBL-0045 Prestar los servicios profesionales a la Subdirección deRecolección, Barrido y Limpieza, apoyando la gestión externa de residuoshospitalarios y similares, para el seguimiento, planeación, control,revisión y verificación de las políticas, planes, programas, actividadesy procesos, enmarcados en los componentes de gestión y supervisióntécnico operativo, ambiental, sanitario, normativo y de seguridadindustrial y salud ocupacional.</t>
  </si>
  <si>
    <t>1090472275</t>
  </si>
  <si>
    <t>ANA MARIA AGUDELO FONTECHA</t>
  </si>
  <si>
    <t>RBL-0034 Prestar los servicios de apoyo a la Subdirección deRecolección, Barrido y Limpieza RBL realizando actividades tendientes afortalecer la gestión administrativa, documental y archivo de losprocesos relacionados con el seguimiento a la prestación del serviciopúblico de aseo y de residuos sólidos en el Distrito.</t>
  </si>
  <si>
    <t>52025361</t>
  </si>
  <si>
    <t>MARTHA TERESA ORTIZ BARAHONA</t>
  </si>
  <si>
    <t>RBL-0035 Prestar los servicios de apoyo a la Subdirección deRecolección, Barrido y Limpieza RBL realizando actividades tendientes afortalecer la gestión administrativa, documental y archivo de losprocesos relacionados con el seguimiento a la prestación del serviciopúblico de aseo y de residuos sólidos en el Distrito.</t>
  </si>
  <si>
    <t>JULIAN GUILLERMO CASTAÑEDA ORTIZ</t>
  </si>
  <si>
    <t>RBL-0036 Prestar los servicios de apoyo a la Subdirección deRecolección, Barrido y Limpieza RBL realizando actividades tendientes afortalecer la gestión administrativa, documental y archivo de losprocesos relacionados con el seguimiento a la prestación del serviciopúblico de aseo y de residuos sólidos en el Distrito.</t>
  </si>
  <si>
    <t>GIOVANNI ANDRES RAMIREZ HUILA</t>
  </si>
  <si>
    <t>SAP-012 Prestar los servicios profesionales a la Subdirección de Servidos Funerarios y Alumbrado Público, para el desarrollo de las gestiones
 y/o actividades relacionadas con la prestación del servicio de Alumbrado Público en Bogotá</t>
  </si>
  <si>
    <t>SAP-012 Prestar los servicios profesionales a la Subdirección deServidos Funerarios y Alumbrado Público, para el desarrollo de lasgestiones y/o actividades relacionadas con la prestación del servicio deAlumbrado Público en Bogotá.</t>
  </si>
  <si>
    <t>79308544</t>
  </si>
  <si>
    <t>JUAN HERNANDO CAMACHO GUERRERO</t>
  </si>
  <si>
    <t>TIC - 0022 Prestar servicios profesionales en todo lo relacionado con laelaboración y revisión de aspectos técnicos de la Oficina de Tic.</t>
  </si>
  <si>
    <t>CRISTIAN SEBASTIAN BELLO ROJAS</t>
  </si>
  <si>
    <t>TIC - 0020 Prestar apoyo en las respuestas y soluciones en temasrelacionados con tecnología al personal de la Unidad AdministrativaEspecial de Servicios Públicos.</t>
  </si>
  <si>
    <t>DAIRO DANIEL CONTRERAS BOLAÑO</t>
  </si>
  <si>
    <t>TIC - 0023 Prestar servicios profesionales de soporte técnico,desarrollo e implementación de nuevas funcionalidades sobre el Sistemade Gestión Documental - Orfeo y archivo en su articulación con elSistema Integrado de Gestión institucional de la Unidad AdministrativaEspecial de Servicios Públicos – UAESP</t>
  </si>
  <si>
    <t>EDGAR FERNANDO VARGAS BUITRAGO</t>
  </si>
  <si>
    <t>TIC - 0021 Prestar servicios profesionales apoyando desde el punto devista técnico la ejecución de asuntos relacionados con los recursosinformáticos y de telecomunicaciones administrados por la Oficina TIC dela Unidad Administrativa Especial de Servicios Públicos.</t>
  </si>
  <si>
    <t>FABIAN ANDRES LOZANO AGUILAR</t>
  </si>
  <si>
    <t>TIC - 0024 Prestar servicios profesionales en el seguimiento de losproyectos TI de la Oficina de TIC de la UAESP</t>
  </si>
  <si>
    <t>JACQUELINE  MUÑOZ MEDINA</t>
  </si>
  <si>
    <t>TIC - 0019 Prestar servicios profesionales para brindar apoyo en lorelacionado con la política de Gobierno Digital de la Oficina Tic de laUnidad Administrativa Especial de Servicios Públicos - UAESP.</t>
  </si>
  <si>
    <t>RUBEN ESTEBAN BUITRAGO DAZA</t>
  </si>
  <si>
    <t>Adición y prórroga del contrato No. Contrato No. UAESP-569-2020 cuyoobjeto es “Prestar servicios de apoyo a la gestión de la SubdirecciónAdministrativa y Financiera de la Unidad Administrativa Especial deServicios Públicos – UAESP, a través de la ejecución de actividadesrelacionadas con la organización física de la documentación, laactualización de los inventarios documentales en el formato FUIDadoptado por la Unidad y el proceso de correspondencia.”</t>
  </si>
  <si>
    <t>BRIGITTE VALENTINA MESA CASTAÑEDA</t>
  </si>
  <si>
    <t>SAP-029 Prestar los servicios profesionales como ingeniero electricistaen la Subdirección de Servicios Funerarios y Alumbrado Público,orientados al apoyo en la revisión de diseños fotométricos y/oactividades propias de la prestación del servicio de Alumbrado Públicoen la ciudad de Bogotá.</t>
  </si>
  <si>
    <t>ANDERSON  MUÑOZ PEREZ</t>
  </si>
  <si>
    <t>SA-OPS-121 Prestar los servicios profesionales a la Subdirección deAprovechamiento de la Unidad Administrativa Especial de ServiciosPúblicos -UAESP-, para implementar procesos de fortalecimiento a lasorganizaciones de recicladores de oficio, el desarrollo de actividadesde separación de residuos en la fuente, divulgación de la normatividad,políticas y lineamientos distritales en la Prestación del serviciopúblico de aseo en las localidades de Bogotá y sus zonas rurales, en elmarco de la formalización, acciones afirmativas, decreto 596 de 2016 ylas sentencias de la honorable corte constitucional.</t>
  </si>
  <si>
    <t>1014198511</t>
  </si>
  <si>
    <t>DIEGO ARMANDO ZABALETA POVEDA</t>
  </si>
  <si>
    <t>OACRI-04 Prestar servicios profesionales para apoyar la coordinación dela oficina de comunicaciones y la verificación y corrección de loscontenidos producidos, así como la presentación de eventos y lageneración de contenidos periodísticos de la Unidad AdministrativaEspecial de Servicios Públicos.</t>
  </si>
  <si>
    <t>KAREN MARIA ACERO PATERNINA</t>
  </si>
  <si>
    <t>OACRI-05 Prestar servicios profesionales para apoyar la generación deestrategias, campañas y contenidos institucionales para el públicointerno de la Unidad Administrativa Especial de Servicios Públicos.</t>
  </si>
  <si>
    <t>MARCELA  SALAZAR JARAMILLO</t>
  </si>
  <si>
    <t>OACRI-06 Prestar servicios profesionales para apoyar la creación decontenidos para dar a conocer los programas, proyectos y acciones de laUnidad, así como la generación de campañas pedagógicas y culturaciudadana y la coordinación de la realización de contenidosaudiovisuales de la entidad.</t>
  </si>
  <si>
    <t>LAURA MELISSA GAMEZ RAMIREZ</t>
  </si>
  <si>
    <t>OAP-007 Prestar los servicios profesionales a la Unidad AdministrativaEspecial de Servicios Públicos UAESP y en particular a la OficinaAsesora de Planeación en los temas propios de participación ciudadana,rendición de cuentas, control social y seguimiento de metas alineado conlo establecido en el Modelo Integrado de Planeación y Gestión MIPG.</t>
  </si>
  <si>
    <t>NUBIA VIVIANA FONSECA RINCON</t>
  </si>
  <si>
    <t>SA-OPS-128 Prestar los servicios de apoyo profesional a la Subdirecciónde Aprovechamiento de la Unidad Administrativa Especial de ServiciosPúblicos -UAESP-, para Realizar acompañamiento en la implementación deacciones afirmativas a la población recicladora de oficio,implementación de actividades de cultura ciudadana en el marco de lagestión de residuos sólidos e interlocución con los diferentes actoreslocales.</t>
  </si>
  <si>
    <t>156</t>
  </si>
  <si>
    <t>80212228</t>
  </si>
  <si>
    <t>CARLOS EDUARDO ARANGO MORALES</t>
  </si>
  <si>
    <t>CAFETERIA Y ASEO</t>
  </si>
  <si>
    <t>SAF-0033 Adquirir por medio del Acuerdo Marco de Precios CCE -972-1-AMP-2019 el servicio de aseo e insumos de aseo, jardinería y cafetería paratodos los bienes muebles que se encuentran en propiedad y en figura dearrendamiento a nombre de la Unidad Administrativa Especial de ServiciosPúblicos.</t>
  </si>
  <si>
    <t>ORDEN DE COMPRA</t>
  </si>
  <si>
    <t>SERVICIOS DE ASEO, CAFETERIA Y MANTENIMIENTO INSTITUCIONAL OUTSOURCING SEASIN LIMITADA</t>
  </si>
  <si>
    <t>PRORROGA Y ADICION No. 1 CONTRATO N° UAESP-540-2020, cuyo objeto degasto corresponde a: “Prestar servicios de apoyo a la gestión de laSubdirección Administrativa y Financiera de la Unidad AdministrativaEspecial de Servicios Públicos – UAESP, a través de la ejecución deactividades relacionadas con la organización física de la documentación,la actualización de los inventarios documentales en el formato FUIDadoptado por la Unidad y el proceso de correspondencia.”</t>
  </si>
  <si>
    <t>MARCO AURELIO LEGUIZAMON VARGAS</t>
  </si>
  <si>
    <t>SA-OPS-156 Prestar los servicios profesionales a la Subdirección deAprovechamiento de la Unidad Administrativa Especial de ServiciosPúblicos -UAESP-, para implementar procesos de fortalecimiento a lasorganizaciones de recicladores de oficio, el desarrollo de actividadesde separación de residuos en la fuente, divulgación de la normatividad,políticas y lineamientos distritales en laPrestación del serviciopúblico de aseo en las localidades de Bogotá y sus zonas rurales, en elmarco de la formalización, acciones afirmativas, Decreto 596 de 2016 ylas sentencias de la honorable corte constitucional.</t>
  </si>
  <si>
    <t>1015452061</t>
  </si>
  <si>
    <t>NANCY PAOLA ORTIZ CARDONA</t>
  </si>
  <si>
    <t>SDF18-Apoyar a la Subdirección de Disposición Final brindando soportetécnico y administrativo en actividades culturales, lúdicas y deportivasque se desarrollen en el marco del Plan de Gestión Social de la Unidaden zona de influencia donde UAESP realice actividades.</t>
  </si>
  <si>
    <t>JUAN ESTEBAN TUMAY ACHAGUA</t>
  </si>
  <si>
    <t>SDF20-Prestar servicios profesionales a la Subdirección de DisposiciónFinal de la UAESP para apoyar desde el componente de ingeniería, elseguimiento y control en la gestión de separación, tratamiento yaprovechamiento de residuos sólidos.</t>
  </si>
  <si>
    <t>CLAUDIA JIMENA MUÑOZ PAREDES</t>
  </si>
  <si>
    <t>SAF-0026 Prestar servicios profesionales a la SubdirecciónAdministrativa y Financiera de la Unidad Administrativa Especial deServicios Públicos – UAESP, en la ejecución de actividades relacionadascon la gestión contable de la entidad.</t>
  </si>
  <si>
    <t>39544977</t>
  </si>
  <si>
    <t>CONSUELO  AGUILAR LOTTA</t>
  </si>
  <si>
    <t>SDF17-Prestar servicios profesionales para apoyar a la UAESP, en elseguimiento y revisión de las actividades en proyectos arquitectónicos acargo de la Subdirección de Disposición Final que le sean asignadas.</t>
  </si>
  <si>
    <t>417</t>
  </si>
  <si>
    <t>311</t>
  </si>
  <si>
    <t>51698131</t>
  </si>
  <si>
    <t>ELIZABETH  GARCIA URUEÑA</t>
  </si>
  <si>
    <t>SDF32-Prestar los servicios profesionales a la Subdirección deDisposición Final, apoyando en el desarrollo de políticas, planes y/oprogramas que contribuyan a la ejecución del Plan de Gestión Social, asícomo en el seguimiento de las fichas sociales del Plan de manejoAmbiental.</t>
  </si>
  <si>
    <t>RICARDO ENRIQUE RODRIGUEZ SANCHEZ</t>
  </si>
  <si>
    <t>PAGO</t>
  </si>
  <si>
    <t>Cubrir el pago de los aportes al sistema de riesgos laborales de los contratistas de prestación de servicios personales de la UAESP clasificados en riesgos laborales</t>
  </si>
  <si>
    <t>Cubrir el pago de los aportes al sistema de riesgos laborales de loscontratistas de prestación de servicios personales de la UAESPclasificados en riesgos laborales.</t>
  </si>
  <si>
    <t>RESOLUCION</t>
  </si>
  <si>
    <t>900126860</t>
  </si>
  <si>
    <t>UNIDAD ADMINISTRATIVA ESPECIAL DE SERVIC IOS PUBLICOS - UAESP</t>
  </si>
  <si>
    <t>SSF-008 Prestar los servicios profesionales a la Subdirección deServicios Funerarios y Alumbrado Público, para apoyar técnicamente ydesde el componente sanitario las actividades de gestión y seguimientorelacionadas con la prestación de los servicios funerarios en losCementerios de propiedad del Distrito.</t>
  </si>
  <si>
    <t>1093215537</t>
  </si>
  <si>
    <t>JULIAN DAVID NARANJO VELASQUEZ</t>
  </si>
  <si>
    <t xml:space="preserve">SDF31-Prestar los servicios profesionales en el componente jurídico relacionado con predios, licencia ambiental y demás requerimientos en seguimiento y control de las operaciones desarrolladas en los predios Doña Juana, en coordinación con la Subdirección de Asuntos Legales. 
</t>
  </si>
  <si>
    <t>SDF31-Prestar los servicios profesionales en el componente jurídicorelacionado con predios, licencia ambiental y demás requerimientos enseguimiento y control de las operaciones desarrolladas en los prediosDoña Juana, en coordinación con la Subdirección de Asuntos Legales.</t>
  </si>
  <si>
    <t>PEDRO OLIVERIO AVILA ROMERO</t>
  </si>
  <si>
    <t>SDF34-Prestar servicios profesionales a la Subdirección de DisposiciónFinal para apoyar en las actividades de seguimiento y control devectores, fichas del PMA y seguimiento a los informes de cumplimientoambiental ICAS de los proyectos de optimización Fase I y Fase II,relacionados con los contratos de manejo integral de los residuossólidos en el Distrito Capital.</t>
  </si>
  <si>
    <t>LILIANA  CASTILLO GUERRERO</t>
  </si>
  <si>
    <t>SA-OPS-143 Prestar apoyo a la Subdirección de Aprovechamiento de laUnidad Administrativa Especial de Servicios Públicos -UAESP- paraefectuar procesos de sensibilización en el área de influencia de lasbodegas o ECAS a cargo de la UAESP, recolección, verificación yseguimiento a los datos relacionados con el aprovechamiento, atención ala población recicladora de oficio y apoyo en la administración de talesbodegas o ECAS.</t>
  </si>
  <si>
    <t>414</t>
  </si>
  <si>
    <t>306</t>
  </si>
  <si>
    <t>80423862</t>
  </si>
  <si>
    <t>JHON WILSON BLANCO GOMEZ</t>
  </si>
  <si>
    <t>SA-OPS-049 Prestación de servicios de apoyo a la gestión relacionada con la separación insitu de los residuos de construcción y demolición -RCD- que están mezclados y se encuentran en los puntos críticos y/o de arrojo clandestino de la ciudad de Bogotá, asignados por la Unidad Administrativa Especial de Servicios Publicas -UAESP-, que le permita obtener a la organización de recicladores el material aprovechable de cada punto para la zona 1</t>
  </si>
  <si>
    <t>SA-OPS-049 Prestación de servicios de apoyo a la gestión relacionada conla separación insitu de los residuos de construcción y demolición -RCD-que están mezclados y se encuentran en los puntos críticos y/o de arrojoclandestino de la ciudad de Bogotá, asignados por la UnidadAdministrativa Especial de Servicios Publicas -UAESP-, que le permitaobtener a la organización de recicladores el material aprovechable decada punto para la zona 1</t>
  </si>
  <si>
    <t>SA-OPS-118 Prestar servicios profesionales a la Subdirección deAprovechamiento de la Unidad Administrativa Especial de ServiciosPúblicos – UAESP-, apoyando la construcción y el proceso de formulaciónde iniciativas de emprendimiento en el marco del reciclaje y de laeconomía circular en el componente de RCD proveniente de pequeñosgeneradores en el Distrito Capital incluido su aprovechamiento yseparación in situ de los puntos críticos y/o de arrojo clandestino enla ciudad de Bogotá, asignados por la UAESP a organizaciones derecicladores.</t>
  </si>
  <si>
    <t>DAVID SANTIAGO RODRIGUEZ PINEDA</t>
  </si>
  <si>
    <t>Prestar los servicios de apoyo a la Subdirección de Aprovechamiento dela Unidad Administrativa Especial de servicios Públicos -UAESP-, en elapoyo a la coordinación, inteligencia empresarial, planeación y revisiónde las respuestas de la subdirección a entidades públicas y privadas yentidades de control político, además de liderar el seguimiento a lasactividades y/o procesos relacionados con la planeación de lasactividades generales de la subdirección.</t>
  </si>
  <si>
    <t>53075416</t>
  </si>
  <si>
    <t>PAOLA ANDREA PAEZ BELLO</t>
  </si>
  <si>
    <t>SA-OPS-131 Prestar los servicios de apoyo profesional a la Subdirecciónde Aprovechamiento de la Unidad Administrativa Especial de ServiciosPúblicos -UAESP-, paraRealizar acompañamiento en la implementación deacciones afirmativas a la población recicladora de oficio,implementación de actividades de cultura ciudadana en el marco de lagestión de residuos sólidos e interlocución con los diferentes actoreslocales.</t>
  </si>
  <si>
    <t>79484192</t>
  </si>
  <si>
    <t>GIOVANNI  PULIDO RIVEROS</t>
  </si>
  <si>
    <t>SA-OPS-120 Prestar servicios de apoyo a la Subdirección deAprovechamiento de la Unidad Administrativa Especial de ServiciosPúblicos – UAESP-, apoyando la formulación e implementación de procesosde aprovechamiento y tratamiento de residuos en el marco de la políticade economía circular y del manejo integral de residuos sólidos, así comolo establecido en el Plan de Desarrollo Distrital, las normas deaprovechamiento y los autos de la Honorable Corte Constitucional desdeel componente de aprovechamiento en el Distrito Capital.</t>
  </si>
  <si>
    <t>MICHEL JOHAN USECHE ANGULO</t>
  </si>
  <si>
    <t>SDF13-Prestar servicios profesionales a la Subdirección de Disposiciónfinal de la UAESP apoyando el seguimiento de la operación de lossistemas de tratamiento de lixiviados y la gestión de residuos en DoñaJuana.</t>
  </si>
  <si>
    <t>1054800504</t>
  </si>
  <si>
    <t>JEISSON IVAN SANCHEZ CORTES</t>
  </si>
  <si>
    <t>SA-OPS-123 Prestar servicios profesionales para apoyar a la Subdirecciónde Aprovechamiento de la Unidad Administrativa Especial de ServiciosPúblicos – UAESP-, en la construcción e implementación de la políticapública del servicio de aseo, el PGIRS y el POT, de acuerdo con loestablecido en el Plan de Desarrollo Distrital y los autos de laHonorable Corte Constitucional desde el componente de aprovechamiento enel Distrito Capital.</t>
  </si>
  <si>
    <t>KAREN ANDREA ESPITIA CASTRO</t>
  </si>
  <si>
    <t>SA-OPS-086 Prestar los Servicios de apoyo a la Unidad AdministrativaEspecial de Servicios Públicos -UAESP- en la atención personalizada,telefónica y/o virtual; gestionar las peticiones, solicitudes reclamos ytramites de la población recicladora de oficio y organizaciones derecicladores, así como apoyar la caracterización de la informaciónobtenida en los puntos de atención establecidos por la entidad.</t>
  </si>
  <si>
    <t>79946595</t>
  </si>
  <si>
    <t>CRISTIAN  CRUZ TORO</t>
  </si>
  <si>
    <t>SA-OPS-125 Prestar los servicios de apoyo profesional a la Subdirecciónde Aprovechamiento de la Unidad Administrativa Especial de ServiciosPúblicos -UAESP-, para Realizar acompañamiento en la implementación deacciones afirmativas a la población recicladora de oficio,implementación de actividades de cultura ciudadana en el marco de lagestión de residuos sólidos e interlocución con los diferentes actoreslocales.</t>
  </si>
  <si>
    <t>DIANA FABIOLA ONOFRE JARA</t>
  </si>
  <si>
    <t>SA-OPS-126 Prestar los servicios de apoyo a la de la Subdirección deAprovechamiento, para apoyo en la administración y actualización dedatos con el conjunto de metodologías, aplicaciones y tecnologías parareunir, depurar y transformar datos de los sistemas transaccionales eninformación estructurada que permitan suministrar información.</t>
  </si>
  <si>
    <t>CRISTIAN ALFREDO CARRILLO RIVAS</t>
  </si>
  <si>
    <t>1075248998</t>
  </si>
  <si>
    <t>DIANA MILENA VILLARREAL NASAYO</t>
  </si>
  <si>
    <t>RBL-0015 Prestar los servicios profesionales a la Subdirección deRecolección, Barrido y Limpieza de la Unidad Administrativa de ServiciosPúblicos -UAESP en la promoción y divulgación de estrategias técnicaspedagógicas y campañas orientadas al manejo responsable de los residuossólidos en el Distrito Capital.</t>
  </si>
  <si>
    <t>KELLY MARCELA TORRES RISCANEVO</t>
  </si>
  <si>
    <t>RBL-0038 Prestar los servicios profesionales a la Subdirección deRecolección, Barrido y Limpieza de la Unidad Administrativa Especial deServicios Públicos - UAESP, en el apoyo a la supervisión, especialmenteen el seguimiento de los componentes comerciales y financieros delesquema de prestación del servicio público de aseo en el DistritoCapital.</t>
  </si>
  <si>
    <t>SANDRA KATERINE DELGADO CARVAJAL</t>
  </si>
  <si>
    <t>RBL-0046 Prestar los servicios profesionales a la Unidad AdministrativaEspecial de Servicios Públicos – UAESP, para apoyar la supervisión delservicio de aseo, especialmente en aspectos comerciales y financieros, ydemás procesos relacionados con la gestión integral de los residuossólidos en el Distrito.</t>
  </si>
  <si>
    <t>334</t>
  </si>
  <si>
    <t>242</t>
  </si>
  <si>
    <t>80051694</t>
  </si>
  <si>
    <t>ERICH MAURICIO CARDONA RIVILLAS</t>
  </si>
  <si>
    <t>RBL-0049 Prestar los servicios profesionales a la Unidad AdministrativaEspecial de Servicios Públicos UAESP, para apoyar técnica yoperativamente a la supervisión en el seguimiento del servicio de aseo,especialmente en sus componentes de recolección, barrido y limpieza,manejo de puntos críticos, entre otros, relacionados con la gestiónintegral de los residuos sólidos en el Distrito.</t>
  </si>
  <si>
    <t>JUAN CAMILO MONTENEGRO GUTIERREZ</t>
  </si>
  <si>
    <t>RBL-0054 Prestar apoyo técnico y administrativo a la UnidadAdministrativa Especial de Servicios Públicos –UAESP, para elseguimiento del servicio de aseo especialmente en sus componentes derecolección, barrido y limpieza, manejo de puntos críticos, entre otrosrelacionados con la gestión integral de los residuos sólidos en elDistrito.</t>
  </si>
  <si>
    <t>ZULI ANDREA COPETE JAIMES</t>
  </si>
  <si>
    <t>JENNIFER ANDREA ROMERO PAEZ</t>
  </si>
  <si>
    <t>RBL-0037 Apoyar la Unidad Administrativa Especial de Servicios Públicos- UAESP, en las acciones necesarias para el fortalecimiento de lagestión social pedagógica y demás acciones tendientes a promover laseparación en la fuente, así como el manejo adecuado de los residuossólidos en el Distrito Capital.</t>
  </si>
  <si>
    <t>IRIS MAGNOLIA SERRANO DELGADO</t>
  </si>
  <si>
    <t>SA-OPS-148 Prestar apoyo a la Subdirección de Aprovechamiento de laUnidad Administrativa Especial de Servicios Públicos -UAESP- paraefectuar procesos de sensibilización en el área de influencia de lasbodegas o ECAS a cargo de la UAESP, recolección, verificación yseguimiento a los datos relacionados con el aprovechamiento, atención ala población recicladora de oficio y apoyo en la administración de talesbodegas o ECAS.</t>
  </si>
  <si>
    <t>1000572410</t>
  </si>
  <si>
    <t>JHON FREDY ERAZO TRIANA</t>
  </si>
  <si>
    <t>SAF-0005 Prestar servicios profesionales para apoyar a la SubdirecciónAdministrativa y Financiera de la Unidad Administrativa Especial deServicios Públicos – UAESP en el fortalecimiento de la gestión deltalento humano.</t>
  </si>
  <si>
    <t>ELKIN DENNIS ANDERSEN CELY VARGAS</t>
  </si>
  <si>
    <t>Adición y prórroga del contrato UAESP-561-2020, cuyo objeto es: Prestarservicios profesionales para apoyar la creación de piezas gráficas ycomunicativas, así como el monitoreo digital de la Unidad AdministrativaEspecial de Servicios Públicos.</t>
  </si>
  <si>
    <t>YAJAIRA ESTPHEFANE TARAZONA NIETO</t>
  </si>
  <si>
    <t>OACRI-08 Prestar servicios profesionales para apoyar la realización decubrimientos audiovisuales y la postproducccion de contenidos de lasáreas misionales de la Unidad Administrativa Especial de ServiciosPúblicos</t>
  </si>
  <si>
    <t>ANDERSON JOHANN RODRIGUEZ LOPEZ</t>
  </si>
  <si>
    <t>RBL-0008 Prestar los servicios profesionales a la Subdirección deRecolección, Barrido y Limpieza –RBL -para brindar apoyo en lasactividades relacionadas con los aspectos técnicos, ambientales yoperativos inherentes al seguimiento de la prestación del serviciopúblico de aseo en el Distrito Capital.</t>
  </si>
  <si>
    <t>1081760754</t>
  </si>
  <si>
    <t>ANDRES EDUARDO MANJARRES SALAS</t>
  </si>
  <si>
    <t>SAF-0046 Prestar servicios profesionales en la subdirecciónadministrativa y financiera, en la actualización, ejecución, seguimiento y control de las actividades logísticas y de recursos físicos de laentidad, de acuerdo con lo establecido en los procesos y procedimientoscorrespondientes, a través de los aplicativos y herramientas existentes.</t>
  </si>
  <si>
    <t>10137094</t>
  </si>
  <si>
    <t>CESAR AUGUSTO ZAMBRANO</t>
  </si>
  <si>
    <r>
      <t>“</t>
    </r>
    <r>
      <rPr>
        <sz val="12"/>
        <color indexed="10"/>
        <rFont val="Arial Narrow"/>
        <family val="2"/>
      </rPr>
      <t>Realizar el mantenimiento y adecuación de la galería empleados distritales ubicada al interior del cementerio central propiedad del distrito capital</t>
    </r>
    <r>
      <rPr>
        <b/>
        <sz val="12"/>
        <color indexed="10"/>
        <rFont val="Arial Narrow"/>
        <family val="2"/>
      </rPr>
      <t>”</t>
    </r>
    <r>
      <rPr>
        <i/>
        <sz val="12"/>
        <color indexed="10"/>
        <rFont val="Arial Narrow"/>
        <family val="2"/>
      </rPr>
      <t>.</t>
    </r>
  </si>
  <si>
    <t>2. Fortalecer 100% la gestión para realizar proyectos de revitalización, modernización, regularización, desarrollo, ampliación, adecuación y/o restauración de los servicios funerarios en los cementerios</t>
  </si>
  <si>
    <t>Adición Nº 1 del contrato 689 de 2020, cuyo objeto es: “Realizar elmantenimiento y adecuación de la galería empleados distritales ubicadaal interior del cementerio central propiedad del distrito capital”</t>
  </si>
  <si>
    <t>SDF12-Prestar servicios profesionales a la Subdirección de Disposiciónfinal de la UAESP, desde el componente técnico en topografía lasactividades de control, gestión, seguimiento del servicio y actividadescomplementarias.</t>
  </si>
  <si>
    <t>CRISTIAN LEONARDO PINEDA VARGAS</t>
  </si>
  <si>
    <t>SAP-003 Prestar los servicios profesionales para apoyar jurídicamentelas actividades y/o gestiones necesarias para la prestación del Serviciode Alumbrado Público en el Distrito Capital, a cargo Subdirección deServicios Funerarios y Alumbrado Público.</t>
  </si>
  <si>
    <t>1019098845</t>
  </si>
  <si>
    <t>JUAN FELIPE ARIAS RODRIGUEZ</t>
  </si>
  <si>
    <t>PERSONAL</t>
  </si>
  <si>
    <t>SDF10-Prestación de servicio de apoyo asistencial a la UAESP, en lasactividades de seguimiento y control en el componente de puntos críticosy/o arrojo clandestino en el proceso de descargue, separación, traslado,tratamiento, acopio de materiales limpios y envió de rechazos a celda.</t>
  </si>
  <si>
    <t>1024582252</t>
  </si>
  <si>
    <t>JHOAN SEBASTIAN CUERVO CARVAJAL</t>
  </si>
  <si>
    <t>PRORROGA Y ADICION No. 1 CONTRATO N° UAESP-524-2020, cuyo objeto degasto corresponde a: “Prestar servicios de apoyo a la gestión de laSubdirección Administrativa y Financiera de la UAESP desarrollando lasactividades de conducción de vehículos automotores con laresponsabilidad y habilidad requerida, procurando el uso adecuado delautomotor asignado y cumpliendo con las normas de tránsito.”</t>
  </si>
  <si>
    <t>HAROL MAURICIO ROJAS QUINTERO</t>
  </si>
  <si>
    <t>Adición y prorroga No. 1 - Contrato UAESP- 510 -2020. “Prestar serviciosprofesionales para apoyar desde el punto de vista jurídico a laSubdirección Administrativa y Financiera, en los temas relacionados conel derecho administrativo, contractual y laboral público”.</t>
  </si>
  <si>
    <t>JULIETH BIBIANA CASTRO FLOREZ</t>
  </si>
  <si>
    <t>SAF-0034 PRESTAR SERVICIOS PROFESIONALES DE APOYO A LA SUBDIRECCIÓNADMINISTRATIVA Y FINANCIERA EN LOS DIFERENTES PROCESOS, PLANES YPROGRAMAS A CARGO DE LA DEPENDENCIA.</t>
  </si>
  <si>
    <t>80024546</t>
  </si>
  <si>
    <t>PETER ZAHIT GOMEZ MANCILLA</t>
  </si>
  <si>
    <t>OAP-014 Prestar servicios profesionales a la Oficina Asesora dePlaneación –OAP de la Unidad Administrativa Especial de ServiciosEspeciales Públicos UAESP, para apoyar el seguimiento y mantenimientodel Plan de mejoramiento interno y externo de la OAP, así como apoyarlas actividades para el fortalecimiento del Modelo Integrado dePlaneación y Gestión – MIPG UAESP.</t>
  </si>
  <si>
    <t>7166080</t>
  </si>
  <si>
    <t>JUAN CARLOS PULIDO FONSECA</t>
  </si>
  <si>
    <t>RBL-0051 Prestar los servicios profesionales a la Unidad AdministrativaEspecial de Servicios Públicos - UAESP- en el seguimiento técnicooperativo del servicio público domiciliario de aseo, especialmente ensus actividades de barrido, recolección, transporte y limpieza urbana.</t>
  </si>
  <si>
    <t>MABEL CRISTINA AGUILAR RODRIGUEZ</t>
  </si>
  <si>
    <t>Pago del Registro de la Vía Interna Zona común, MI-50S-40297556 CHIP AAA0245YDUZ, 004547813800000000, para la implementación de la Estación de clasificación y Aprovechamiento del Barrio Mari Paz</t>
  </si>
  <si>
    <t>Pago del Registro de la Vía Interna Zona común, MI-50S-40297556 CHIPAAA0245YDUZ, 004547813800000000, para la implementación de la Estaciónde clasificación y Aprovechamiento del Barrio Mari Paz.</t>
  </si>
  <si>
    <t>899999114</t>
  </si>
  <si>
    <t>DEPARTAMENTO DE CUNDINAMARCA</t>
  </si>
  <si>
    <t>45510011</t>
  </si>
  <si>
    <t>ANGELA MARIA CUERVO GUTIERREZ</t>
  </si>
  <si>
    <r>
      <t>SAF-0049</t>
    </r>
    <r>
      <rPr>
        <i/>
        <sz val="12"/>
        <rFont val="Arial Narrow"/>
        <family val="2"/>
      </rPr>
      <t xml:space="preserve"> “Prestar servicios de apoyo a la gestión a la Subdirección Administrativa y Financiera de la UAESP desarrollando las actividades de conducción de vehículos automotores con la responsabilidad y habilidad requerida, procurando el uso adecuado del automotor asignado y cumpliendo con las normas de tránsito”.</t>
    </r>
  </si>
  <si>
    <t>509-Fortalecer la gestión institucional y el modelo de gestión de la SDHT CVP y UAESP</t>
  </si>
  <si>
    <t>SAF-0049 “Prestar servicios de apoyo a la gestión a la SubdirecciónAdministrativa y Financiera de la UAESP desarrollando las actividades deconducción de vehículos automotores con la responsabilidad y habilidadrequerida, procurando el uso adecuado del automotor asignado ycumpliendo con las normas de tránsito”.</t>
  </si>
  <si>
    <t>80493743</t>
  </si>
  <si>
    <t>ISRAEL  DIAZ SALAMANCA</t>
  </si>
  <si>
    <t>SA-OPS-135 Prestar los servicios de apoyo profesional a la Subdirecciónde Aprovechamiento de la Unidad Administrativa Especial de ServiciosPúblicos -UAESP-, paraRealizar acompañamiento en la implementación deacciones afirmativas a la población recicladora de oficio,implementación de actividades de cultura ciudadana en el marco de lagestión de residuos sólidos e interlocución con los diferentes actoreslocales.</t>
  </si>
  <si>
    <t>363</t>
  </si>
  <si>
    <t>255</t>
  </si>
  <si>
    <t>52068856</t>
  </si>
  <si>
    <t>LIZ ADRIANA BEJARANO PEÑA</t>
  </si>
  <si>
    <t>RBL-0053 Prestar los servicios profesionales a la Unidad AdministrativaEspecial de Servicios Públicos – UAESP, para apoyar técnica yoperativamente a la supervisión en el seguimiento del servicio de aseo,especialmente en sus componentes de recolección, barrido y limpieza,manejo de puntos críticos, entre otros relacionados con la gestiónintegral de los residuos sólidos en el Distrito.</t>
  </si>
  <si>
    <t>1049632456</t>
  </si>
  <si>
    <t>ANA MARIA ROMERO JIMENEZ</t>
  </si>
  <si>
    <t>16.353. 468</t>
  </si>
  <si>
    <t>SAF-0039 Prestar servicios de apoyo a la gestión de la SubdirecciónAdministrativa y Financiera de la Unidad Administrativa Especial deServicios Públicos – UAESP, a través de la ejecución de actividadesrelacionadas con la organización física y digital de documentación, laactualización de los inventarios documentales en el formato FUIDadoptado por la Unidad y el proceso de correspondencia.</t>
  </si>
  <si>
    <t>1019015000</t>
  </si>
  <si>
    <t>IZARIN DEL PILAR AYARZA MONTENEGRO</t>
  </si>
  <si>
    <t>SA-OPS-144 Prestar los servicios de apoyo profesional a la Subdirecciónde Aprovechamiento de la Unidad Administrativa Especial de ServiciosPúblicos -UAESP-, para Realizar acompañamiento en la implementación deacciones afirmativas a la población recicladora de oficio,implementación de actividades de cultura ciudadana en el marco de lagestión de residuos sólidos e interlocución con los diferentes actoreslocales.</t>
  </si>
  <si>
    <t>478</t>
  </si>
  <si>
    <t>368</t>
  </si>
  <si>
    <t>1019142585</t>
  </si>
  <si>
    <t>ANDREA CATALINA RATIVA ALBARRACIN</t>
  </si>
  <si>
    <r>
      <t>A</t>
    </r>
    <r>
      <rPr>
        <sz val="12"/>
        <color indexed="10"/>
        <rFont val="Calibri"/>
        <family val="2"/>
      </rPr>
      <t xml:space="preserve">dición Nº 1 del contrato 689 de 2020, cuyo objeto es: </t>
    </r>
    <r>
      <rPr>
        <b/>
        <sz val="12"/>
        <color indexed="10"/>
        <rFont val="Arial Narrow"/>
        <family val="2"/>
      </rPr>
      <t>“</t>
    </r>
    <r>
      <rPr>
        <sz val="12"/>
        <color indexed="10"/>
        <rFont val="Arial Narrow"/>
        <family val="2"/>
      </rPr>
      <t>Realizar el mantenimiento y adecuación de la galería empleados distritales ubicada al interior del cementerio central propiedad del distrito capital</t>
    </r>
    <r>
      <rPr>
        <b/>
        <sz val="12"/>
        <color indexed="10"/>
        <rFont val="Arial Narrow"/>
        <family val="2"/>
      </rPr>
      <t>”</t>
    </r>
    <r>
      <rPr>
        <i/>
        <sz val="12"/>
        <color indexed="10"/>
        <rFont val="Arial Narrow"/>
        <family val="2"/>
      </rPr>
      <t>.</t>
    </r>
  </si>
  <si>
    <t>Adición Nº 1 del contrato 689 de 2020, cuyo objeto es: “Realizar elmantenimiento y adecuación de la galería empleados distritales ubicadaal interior del cementerio central propiedad del distrito capital”.</t>
  </si>
  <si>
    <t>SA-OPS-119 Prestar servicios profesionales a la Subdirección deAprovechamiento de la Unidad Administrativa Especial de ServiciosPúblicos – UAESP-, apoyando la formulación e implementación de procesosde aprovechamiento y tratamiento de residuos en el marco de la políticade economía circular y del manejo integral de residuos sólidos, así comolo establecido en el Plan de Desarrollo Distrital, las normas deaprovechamiento y los autos de la Honorable Corte Constitucional desdeel componente de aprovechamiento en el Distrito Capital.</t>
  </si>
  <si>
    <t>1026274279</t>
  </si>
  <si>
    <t>GIOVANNY ANDRES LOPEZ CABEZAS</t>
  </si>
  <si>
    <t>SAP-017 Prestar los servicios profesionales en   apoyo a SSFAP  desde el componente social,  en lo relacionado con la prestación
del servicio de alumbrado público.</t>
  </si>
  <si>
    <t>SAP-017 Prestar los servicios profesionales en apoyo a SSFAP desde elcomponente social, en lo relacionado con la prestación del servicio dealumbrado público.</t>
  </si>
  <si>
    <t>1026295642</t>
  </si>
  <si>
    <t>CAMILA ANDREA PLAZA RIVERA</t>
  </si>
  <si>
    <t>ADICION Y PRÓRROGA No. 1 DEL CONTRATO UAESP UAESP-615-2020, CUYO OBJETO ES: “PRESTAR SERVICIOS PROFESIONALES A LA SUBDIRECCIÓN ADMINISTRATIVA Y FINANCIERA DE LA UNIDAD ADMINISTRATIVA ESPECIAL DE SERVICIOS PÚBLICOS – UAESP, EN LA EJECUCIÓN DE ACTIVIDADES RELACIONADAS CON LA GESTIÓN CONTABLE DE LA ENTIDAD.”</t>
  </si>
  <si>
    <t>ADICION Y PRÓRROGA No. 1 DEL CONTRATO UAESP UAESP-615-2020, CUYO OBJETOES: PRESTAR SERVICIOS PROFESIONALES A LA SUBDIRECCIÓN ADMINISTRATIVA YFINANCIERA DE LA UNIDAD ADMINISTRATIVA ESPECIAL DE SERVICIOS PÚBLICOS –UAESP, EN LA EJECUCIÓN DE ACTIVIDADES RELACIONADAS CON LA GESTIÓNCONTABLE DE LA ENTIDAD.</t>
  </si>
  <si>
    <t>52327534</t>
  </si>
  <si>
    <t>DEISSY  MORALES HERNANDEZ</t>
  </si>
  <si>
    <t>SDF19-Prestar servicios profesionales a la Subdirección de DisposiciónFinal para apoyar desde el componente ambiental las actividades deejecución, seguimiento y control establecidas en el Plan de ManejoAmbiental en la gestión de residuos en predios Doña Juana.</t>
  </si>
  <si>
    <t>1136887027</t>
  </si>
  <si>
    <t>LIZETH TATIANA HERNANDEZ CORTES</t>
  </si>
  <si>
    <t>RBL-0055 Prestar los servicios profesionales a la Unidad AdministrativaEspecial de Servicios Públicos -UAESP para apoyar técnicamente yoperativamente el seguimiento del servicio de aseo especialmente en suscomponentes de recolección, barrido y limpieza, manejo de puntoscríticos entre otros relacionados con la gestión integral de losresiduos sólidos en el Distrito.</t>
  </si>
  <si>
    <t>1014241159</t>
  </si>
  <si>
    <t>DIANA MELISA ALFONSO CORREDOR</t>
  </si>
  <si>
    <t>SDF47-Prestar servicios profesionales a la Subdirección de DisposiciónFinal de la UAESP para apoyar la gestión y seguimiento en los sistemasde automatización y control en el manejo de residuos del DistritoCapital.</t>
  </si>
  <si>
    <t>1022372218</t>
  </si>
  <si>
    <t>ANDRES FELIPE MARQUEZ ARTEAGA</t>
  </si>
  <si>
    <r>
      <t xml:space="preserve">ADICION Y PRÓRROGA No. 1 DEL CONTRATO UAESP-600-2020, CUYO OBJETO CONSISTE EN: </t>
    </r>
    <r>
      <rPr>
        <sz val="12"/>
        <color indexed="8"/>
        <rFont val="Arial Narrow"/>
        <family val="2"/>
      </rPr>
      <t>“PRESTAR SERVICIOS PROFESIONALES A LA SUBDIRECCIÓN ADMINISTRATIVA Y FINANCIERA DE LA UAESP, EN EL DESARROLLO DE LAS ACTIVIDADES DE LOS PROGRAMAS DE LA GESTIÓN DEL TALENTO HUMANO DE LA UAESP.”</t>
    </r>
    <r>
      <rPr>
        <sz val="12"/>
        <color indexed="8"/>
        <rFont val="Arial Narrow"/>
        <family val="2"/>
      </rPr>
      <t>.</t>
    </r>
  </si>
  <si>
    <t>ADICION Y PRÓRROGA No. 1 DEL CONTRATO UAESP-600-2020, CUYO OBJETOCONSISTE EN: PRESTAR SERVICIOS PROFESIONALES A LA SUBDIRECCIÓNADMINISTRATIVA Y FINANCIERA DE LA UAESP, EN EL DESARROLLO DE LASACTIVIDADES DE LOS PROGRAMAS DE LA GESTIÓN DEL TALENTO HUMANO DE LAUAESP.</t>
  </si>
  <si>
    <t>1014236198</t>
  </si>
  <si>
    <t>DIANA XIMENA CASTRO FLOREZ</t>
  </si>
  <si>
    <t>IMPRESORAS</t>
  </si>
  <si>
    <t>Adición y prorroga a el contrato 707 de 2020 suscrito con IDENTICO S.A.Scuyo objeto es "Adquisición de impresoras térmicas para el proceso decarnetización de la población recicladora de oficio que se encuentra enel Registro Único de Recicladores-RURO de la Unidad AdministrativaEspecial de Servicios Públicos -UAESP</t>
  </si>
  <si>
    <t>800199498</t>
  </si>
  <si>
    <t>TIC- -0026 Prestar apoyo de soporte técnico y funcional en laadministración del Sistema de Gestión Documental ORFEO desde la oficinaTIC y la Subdirección Administrativa y Financiera.</t>
  </si>
  <si>
    <t>52727810</t>
  </si>
  <si>
    <t>MARIA CAROLINA HERNANDEZ POVEDA</t>
  </si>
  <si>
    <t>RBL-0044 Apoyar la Unidad Administrativa Especial de Servicios PúblicosUAESP - en las acciones necesarias para el fortalecimiento de la gestiónsocial en la divulgación y promoción para el manejo adecuado de losresiduos sólidos en las localidades del Distrito Capital.</t>
  </si>
  <si>
    <t>477</t>
  </si>
  <si>
    <t>364</t>
  </si>
  <si>
    <t>11439432</t>
  </si>
  <si>
    <t>LUIS FERNANDO LINARES LEON</t>
  </si>
  <si>
    <t>SA-OPS-134 Prestar los servicios de apoyo a la Subdirección deAprovechamiento de la Unidad Administrativa Especial de ServiciosPúblicos -UAESP-, para Realizar acompañamiento en la implementación deacciones afirmativas a la población recicladora de oficio,implementación de actividades de cultura ciudadana en el marco de lagestión de residuos sólidos e interlocución con los diferentes actoreslocales.</t>
  </si>
  <si>
    <t>80168024</t>
  </si>
  <si>
    <t>CARLOS ALBERTO ARIZA ANTONIO</t>
  </si>
  <si>
    <t>SA-OPS-127 Prestar servicios de apoyo a la Subdirección deAprovechamiento de la Unidad Administrativa Especial de ServiciosPúblicos – UAESP-, apoyando la formulación e implementación de procesosde aprovechamiento y tratamiento de residuos en el marco de la políticade economía circular y del manejo integral de residuos sólidos, así comolo establecido en el Plan de Desarrollo Distrital, las normas deaprovechamiento y los autos de la Honorable Corte Constitucional desdeel componente de aprovechamiento en el Distrito Capital.</t>
  </si>
  <si>
    <t>80178714</t>
  </si>
  <si>
    <t>ANDRES ARMANDO GOMEZ</t>
  </si>
  <si>
    <t>Adición y prórroga del contrato No. UAESP-499-2020 cuyo objeto esPrestar servicios de apoyo a la gestión de la SubdirecciónAdministrativa y Financiera de la Unidad Administrativa Especial deServicios Públicos – UAESP, con temas relacionados con el proceso deatención al ciudadano, de conformidad con lo dispuesto en lanormatividad vigente y los procedimientos establecidos por la Entidad,contribuyendo en las labores de optimización de la gestiónadministrativa de la misma.</t>
  </si>
  <si>
    <t>OMAR YESID NAVARRETE CASTRO</t>
  </si>
  <si>
    <t>Prórroga y adición No. 3 al contrato UAESP 332-2020, cuyo objeto es “Prestar los servicios para realizar las actividades logísticas y de suministro dirigidas al montaje y operación del centro transitorio para la identificación de personas y certificación de la muerte en el Cementerio Distrital Parque Serafín, de Bogotá D.C”</t>
  </si>
  <si>
    <t>VIP PRODUCCION LOGISTICA Y PROTOCOLO S A S</t>
  </si>
  <si>
    <t xml:space="preserve">CONECTIVIDAD </t>
  </si>
  <si>
    <t>TIC - 0005 Contratar el servicio de conectividad y telecomunicacionespara el servicio y funcionamiento de la Unidad Administrativa Especialde Servicios Públicos - UAESP.</t>
  </si>
  <si>
    <t>378</t>
  </si>
  <si>
    <t>CONTRATOS INTERADMINISTRATIVOS</t>
  </si>
  <si>
    <t>253</t>
  </si>
  <si>
    <t>899999115</t>
  </si>
  <si>
    <t>1010031951</t>
  </si>
  <si>
    <t>JUAN DAVID AMAYA GOMEZ</t>
  </si>
  <si>
    <t>RBL-0047 Prestar los servicios profesionales a la subdirección deRecolección, Barrido y Limpieza para apoyar técnicamente el seguimientoal manejo de residuos voluminosos críticos en todos los procesosrelacionados con la gestión integral de residuos sólidos en el DistritoCapital.</t>
  </si>
  <si>
    <t>52305261</t>
  </si>
  <si>
    <t>CLAUDIA JANNETH JARAMILLO GOMEZ</t>
  </si>
  <si>
    <t>Prestar servicios profesionales en el desarrollo para la creación ymantenimiento de los productos digitales de la Unidad AdministrativaEspecial de Servicios Públicos.</t>
  </si>
  <si>
    <t>80058485</t>
  </si>
  <si>
    <t>YHEISON JAVIER GAMBA RONCANCIO</t>
  </si>
  <si>
    <t>SA-OPS-129 Prestar los Servicios de apoyo a la Unidad Administrativa Especial de Servicios Públicos -UAESP- en la atención personalizada, telefónica y/o virtual; gestionar las peticiones, solicitudes reclamos y tramites de la población recicladora de oficio y organizaciones de recicladores, así como apoyar la caracterización de la información obtenida en los puntos de atención establecidos por la entidad.</t>
  </si>
  <si>
    <t>SA-OPS-129 Prestar los Servicios de apoyo a la Unidad AdministrativaEspecial de Servicios Públicos -UAESP- en la atención personalizada,telefónica y/o virtual; gestionar las peticiones, solicitudes reclamos ytramites de la población recicladora de oficio y organizaciones derecicladores, así como apoyar la caracterización de la informaciónobtenida en los puntos de atención establecidos por la entidad.</t>
  </si>
  <si>
    <t>SDF30-Prestación de servicio de apoyo asistencial a la UAESP, en lasactividades de seguimiento y control en el componente de puntos críticosy/o arrojo clandestino en el proceso de descargue, separación, traslado,tratamiento, acopio de materiales limpios y envió de rechazos a celda.</t>
  </si>
  <si>
    <t>1024579339</t>
  </si>
  <si>
    <t>RBL-0027 Prestar los servicios profesionales a la Subdirección deRecolección, Barrido y Limpieza apoyando a la supervisión en larevisión, control y seguimiento a las actividades realizadas por lainterventoría del servicio público de aseo, así como en los aspectostécnicos y operativos relacionados con la prestación del servicio.</t>
  </si>
  <si>
    <t>46385069</t>
  </si>
  <si>
    <t>JENIFFER ELIANA RODRIGUEZ SALAMANCA</t>
  </si>
  <si>
    <t>Adición y Prórroga No. 1 del contrato UAESP-478-2020 cuyo objeto es “Contratar la prestación del servicio público de transporte terrestre automotor especial para la Unidad Administrativa Especial de Servicios Públicos – UAESP del Distrito Capital, incluidos todos los gastos operacionales para los desplazamientos que se sugieren dentro y fuera del Distrito en el desarrollo de las tareas que demande la ejecución de la misión de la UAESP”</t>
  </si>
  <si>
    <t xml:space="preserve">ANULADA VIABILIDAD </t>
  </si>
  <si>
    <r>
      <t>Adición y prórroga de contrato UAESP-492-2020, cuyo objeto es ¨</t>
    </r>
    <r>
      <rPr>
        <sz val="12"/>
        <color indexed="8"/>
        <rFont val="Arial Narrow"/>
        <family val="2"/>
      </rPr>
      <t xml:space="preserve"> Contratar los servicios de monitoreo a los medios de comunicación masiva, alternativa y comunitaria en cumplimiento de los objetivos del plan de comunicaciones y relaciones interinstitucionales de la UAESP, para efectos de identificar y analizar la información que se transmite a los públicos objetivos¨</t>
    </r>
  </si>
  <si>
    <t>Adición y prórroga de contrato UAESP-492-2020, cuyo objeto es Contratarlos servicios de monitoreo a los medios de comunicación masiva,alternativa y comunitaria en cumplimiento de los objetivos del plan decomunicaciones y relaciones interinstitucionales de la UAESP, paraefectos de identificar y analizar la información que se transmite a lospúblicos objetivos.</t>
  </si>
  <si>
    <t>800013103</t>
  </si>
  <si>
    <t>MULTIARCHIVO PUBLICITARIO LTDA</t>
  </si>
  <si>
    <t>Adición y prorroga No 2 al contrato de interventoría UAESP-460-2019, cuyo objeto es: Interventoría administrativa, técnica, operativa, comercial, económica, financiera, contable, social, jurídica, ambiental, sanitaria, de seguridad y salud en el trabajo y de sistemas relacionadas con el Contrato de Concesión 186E de 2011, suscrito entre la Unidad Administrativa Especial de Servicios Públicos UAESP y la Unión Temporal Ecocapital para el servicio de recolección, transporte, almacenamiento temporal y entrega para disposición final de residuos hospitalarios y similares generados en la ciudad de Bogotá D.C., y sin exclusividad la actividad de tratamiento.</t>
  </si>
  <si>
    <t>15-Garantizar el 100% de la interventoría para la gestión de residuos hospitalarios.</t>
  </si>
  <si>
    <t>Adición y prorroga No 2 al contrato de interventoría UAESP-460-2019,cuyo objeto es: Interventoría administrativa, técnica, operativa,comercial, económica, financiera, contable, social, jurídica, ambiental,sanitaria, de seguridad y salud en el trabajo y de sistemas relacionadascon el Contrato de Concesión 186E de 2011, suscrito entre la UnidadAdministrativa Especial de Servicios Públicos UAESP y la Unión TemporalEcocapital para el servicio de recolección, transporte, almacenamientotemporal y entrega para disposición final de residuos hospitalarios ysimilares generados en la ciudad de Bogotá D.C., y sin exclusividad laactividad de tratamiento.</t>
  </si>
  <si>
    <t>CONSORCIO CONTROL AFA</t>
  </si>
  <si>
    <t>SDF16-Prestación de servicios profesionales para brindar apoyo técnico ala Subdirección de Disposición Final de la UAESP, desde el componente dela ingeniería civil, en las actividades de apoyo y seguimiento en elcumplimiento de las obligaciones contractuales de los concesionarios.</t>
  </si>
  <si>
    <t>79138477</t>
  </si>
  <si>
    <t>NESTOR  MENDOZA DIAZGRANADOS</t>
  </si>
  <si>
    <t>TIC- -0028 Prestar apoyo de soporte técnico y funcional en la administración del Sistema de Gestión Documental ORFEO desde la oficina TIC y la Subdirección Administrativa y Financiera.</t>
  </si>
  <si>
    <t>TIC- -0028 Prestar apoyo de soporte técnico y funcional en laadministración del Sistema de Gestión Documental ORFEO desde la oficinaTIC y la Subdirección Administrativa y Financiera.</t>
  </si>
  <si>
    <t>TIC - 0002 Contratar el servicio de mantenimiento preventivo y correctivo especializado con bolsa de repuestos para la planta eléctrica instalada en la Unidad Administrativa Especial de Servicios Públicos – UAESP</t>
  </si>
  <si>
    <t>Adición Nº 1 del contrato 689 de 2020, cuyo objeto es: “Realizar el mantenimiento y adecuación de la galería empleados distritales ubicada al interior del cementerio central propiedad del distrito capital”.</t>
  </si>
  <si>
    <t>Adición Nº 1 del contrato 689 de 2020, cuyo objeto es: Realizar elmantenimiento y adecuación de la galería empleados distritales ubicadaal interior del cementerio central propiedad del distrito capital.</t>
  </si>
  <si>
    <t>901166950</t>
  </si>
  <si>
    <t>SEGEN DISEÑO Y CONSTRUCCION SAS</t>
  </si>
  <si>
    <t>SDF14-Prestar servicios profesionales a la Subdirección de Disposiciónfinal de la UAESP apoyando el seguimiento, control y operación deplantas y unidades que conforman los sistemas de tratamiento delixiviados y la gestión de residuos en Doña Juana.</t>
  </si>
  <si>
    <t>268</t>
  </si>
  <si>
    <t>193</t>
  </si>
  <si>
    <t>80175584</t>
  </si>
  <si>
    <t>JAIRO ALEXANDER GRANADOS OLARTE</t>
  </si>
  <si>
    <t>ADICION Y PRÓRROGA No. 1 DEL CONTRATO UAESP-671-2020 CUYO OBJETO ES: “PRESTAR SERVICIOS DE APOYO A LA GESTIÓN DE LA SUBDIRECCIÓN ADMINISTRATIVA Y FINANCIERA DE LA UAESP, DESARROLLANDO ACTIVIDADES OPERATIVAS Y LOGÍSTICAS, QUE CONTRIBUYAN A LA GESTIÓN ADMINISTRATIVA DE LA UNIDAD.”</t>
  </si>
  <si>
    <t>ADICION Y PRÓRROGA No. 1 DEL CONTRATO UAESP-671-2020 CUYO OBJETO ES:PRESTAR SERVICIOS DE APOYO A LA GESTIÓN DE LA SUBDIRECCIÓNADMINISTRATIVA Y FINANCIERA DE LA UAESP, DESARROLLANDO ACTIVIDADESOPERATIVAS Y LOGÍSTICAS, QUE CONTRIBUYAN A LA GESTIÓN ADMINISTRATIVA DELA UNIDAD.</t>
  </si>
  <si>
    <t>344</t>
  </si>
  <si>
    <t>671</t>
  </si>
  <si>
    <t>19397402</t>
  </si>
  <si>
    <t>CARLOS ALBERTO MORALES LUIS</t>
  </si>
  <si>
    <t>ADICION Y PRÓRROGA NO. 1 DEL CONTRATO UAESP-485-2020, CUYO OBJETO ES: “PRESTAR SERVICIOS PROFESIONALES APOYANDO A LA SUBDIRECCIÓN ADMINISTRATIVA Y FINANCIERA EN LAS ACTIVIDADES INHERENTES AL SERVICIO DE ATENCIÓN AL CIUDADANO DE LA UNIDAD ADMINISTRATIVA ESPECIAL DE SERVICIOS PÚBLICOS – UAESP CON EL FIN DE FORTALECER LA GESTIÓN INSTITUCIONAL.”</t>
  </si>
  <si>
    <t>ADICION Y PRÓRROGA NO. 1 DEL CONTRATO UAESP-485-2020, CUYO OBJETO ES:PRESTAR SERVICIOS PROFESIONALES APOYANDO A LA SUBDIRECCIÓNADMINISTRATIVA Y FINANCIERA EN LAS ACTIVIDADES INHERENTES AL SERVICIO DEATENCIÓN AL CIUDADANO DE LA UNIDAD ADMINISTRATIVA ESPECIAL DE SERVICIOSPÚBLICOS – UAESP CON EL FIN DE FORTALECER LA GESTIÓN INSTITUCIONAL.</t>
  </si>
  <si>
    <t>WILSON MARINO LOPEZ RODRIGUEZ</t>
  </si>
  <si>
    <t>Adición y prórroga del Contrato UAESP-768-2020 ¨Prestar servicios profesionales para apoyar a la Oficina de Comunicaciones y Relaciones Interinstitucionales, en el seguimiento y control de los flujos de información e indicadores que se deben presentar a entes internos y externos¨</t>
  </si>
  <si>
    <t>Adición y prórroga del Contrato UAESP-768-2020 Prestar serviciosprofesionales para apoyar a la Oficina de Comunicaciones y RelacionesInterinstitucionales, en el seguimiento y control de los flujos deinformación e indicadores que se deben presentar a entes internos yexternos.</t>
  </si>
  <si>
    <t>SARA GABRIELA ORTEGA BELTRAN</t>
  </si>
  <si>
    <r>
      <t>Adición al contrato de Concesión No 286 de 2018, suscrito con BOGOTÁ LIMPIA S.A.S  E.S.P.,</t>
    </r>
    <r>
      <rPr>
        <b/>
        <sz val="10.5"/>
        <color indexed="8"/>
        <rFont val="Arial Narrow"/>
        <family val="2"/>
      </rPr>
      <t xml:space="preserve"> </t>
    </r>
    <r>
      <rPr>
        <sz val="10.5"/>
        <color indexed="8"/>
        <rFont val="Arial Narrow"/>
        <family val="2"/>
      </rPr>
      <t>cuyo objeto es “CONCESIONAR BAJO LA FIGURA DE ÁREAS DE SERVICIO EXCLUSIVO, LA PRESTACIÓN DEL SERVICIO PÚBLICO DE ASEO EN LA CIUDAD DE BOGOTÁ D.C. - COLOMBIA, EN SUS COMPONENTES DE RECOLECCIÓN DE RESIDUOS NO APROVECHABLES, BARRIDO, LIMPIEZA DE VÍAS Y ÁREAS PÚBLICAS, CORTE DE CÉSPED, PODA DE ÁRBOLES EN ÁREAS PÚBLICAS, LAVADO DE ÁREAS PÚBLICAS Y TRANSPORTE DE LOS RESIDUOS GENERADOS POR LA ANTERIORES ACTIVIDADES A LOS SITIOS DE DISPOSICIÓN FINAL”</t>
    </r>
    <r>
      <rPr>
        <sz val="12"/>
        <color indexed="8"/>
        <rFont val="Arial Narrow"/>
        <family val="2"/>
      </rPr>
      <t>.</t>
    </r>
  </si>
  <si>
    <t>Adición al contrato de Concesión No 286 de 2018, suscrito con BOGOTÁLIMPIA S.A.S E.S.P., cuyo objeto es CONCESIONAR BAJO LA FIGURA DE ÁREASDE SERVICIO EXCLUSIVO, LA PRESTACIÓN DEL SERVICIO PÚBLICO DE ASEO EN LACIUDAD DE BOGOTÁ D.C. - COLOMBIA, EN SUS COMPONENTES DE RECOLECCIÓN DERESIDUOS NO APROVECHABLES, BARRIDO, LIMPIEZA DE VÍAS Y ÁREAS PÚBLICAS,CORTE DE CÉSPED, PODA DE ÁRBOLES EN ÁREAS PÚBLICAS, LAVADO DE ÁREASPÚBLICAS Y TRANSPORTE DE LOS RESIDUOS GENERADOS POR LA ANTERIORESACTIVIDADES A LOS SITIOS DE DISPOSICIÓN FINAL.</t>
  </si>
  <si>
    <t>269</t>
  </si>
  <si>
    <t>CONTRATO DE CONCESION</t>
  </si>
  <si>
    <t>286</t>
  </si>
  <si>
    <t>901144843</t>
  </si>
  <si>
    <t>BOGOTA LIMPIA S.A.S. E.S.P.</t>
  </si>
  <si>
    <r>
      <t xml:space="preserve">Prórroga y adición Nº1 del contrato 355 de 2020, cuyo objeto es: </t>
    </r>
    <r>
      <rPr>
        <i/>
        <sz val="12"/>
        <color indexed="8"/>
        <rFont val="Arial Narrow"/>
        <family val="2"/>
      </rPr>
      <t>“Realizar la interventoría técnica-operativa, administrativa, financiera, jurídica, regulatoria, ambiental y de seguridad industrial y salud en el trabajo, al Convenio No. 766 de 1997 y al Acuerdo complementario del mismo, suscrito entre el Distrito Capital UESP y CODENSA el 25 de enero de 2002, y aquellos que los sustituyan, modifiquen o adicionen, cuyo objeto es la prestación del Servicio de Alumbrado Público en Bogotá, D.C.”</t>
    </r>
  </si>
  <si>
    <t>Prórroga y adición Nº1 del contrato 355 de 2020, cuyo objeto es:Realizar la interventoría técnica-operativa, administrativa, financiera,jurídica, regulatoria, ambiental y de seguridad industrial y salud en eltrabajo, al Convenio No. 766 de 1997 y al Acuerdo complementario delmismo, suscrito entre el Distrito Capital UESP y CODENSA el 25 de enerode 2002, y aquellos que los sustituyan, modifiquen o adicionen, cuyoobjeto es la prestación del Servicio de Alumbrado Público en Bogotá,D.C.</t>
  </si>
  <si>
    <t>355</t>
  </si>
  <si>
    <t>899999063</t>
  </si>
  <si>
    <t>UNIVERSIDAD NACIONAL DE COLOMBIA</t>
  </si>
  <si>
    <t>SAF-0064 PRESTAR SERVICIOS PROFESIONALES A LA SUBDIRECCIÓNADMINISTRATIVA Y FINANCIERA DE LA UNIDAD ADMINISTRATIVA ESPECIAL DESERVICIOS PÚBLICOS – UAESP, EN LA EJECUCIÓN DE ACTIVIDADES RELACIONADASCON LA GESTIÓN CONTABLE DE LA ENTIDAD.</t>
  </si>
  <si>
    <t>SAF-0083 PRESTAR SERVICIOS DE APOYO A LA GESTIÓN DE LA SUBDIRECCIÓNADMINISTRATIVA Y FINANCIERA DE LA UAESP, DESARROLLANDO ACTIVIDADESOPERATIVAS Y LOGÍSTICAS, QUE CONTRIBUYAN A LA GESTIÓN ADMINISTRATIVA DELA UNIDAD.</t>
  </si>
  <si>
    <t>367</t>
  </si>
  <si>
    <t>1022975569</t>
  </si>
  <si>
    <t>CRISTIAN CAMILO NARVAEZ MARROQUIN</t>
  </si>
  <si>
    <t>SAF-0060 PRESTAR SERVICIOS DE APOYO A LA GESTIÓN DE LA SUBDIRECCIÓNADMINISTRATIVA Y FINANCIERA DE LA UAESP, DESARROLLANDO ACTIVIDADESOPERATIVAS Y LOGÍSTICAS, QUE CONTRIBUYAN A LA GESTIÓN ADMINISTRATIVA DELA UNIDAD.</t>
  </si>
  <si>
    <t>388</t>
  </si>
  <si>
    <t>280</t>
  </si>
  <si>
    <t>1090390177</t>
  </si>
  <si>
    <t>JUAN CARLOS QUINTERO HERNANDEZ</t>
  </si>
  <si>
    <t>SAF-0015 PRESTAR SERVICIOS PROFESIONALES PARA APOYAR A LA SUBDIRECCIÓNADMINISTRATIVA Y FINANCIERA EN LA EJECUCIÓN DE LOS PROGRAMAS DEL SISTEMADE SEGURIDAD Y SALUD EN EL TRABAJO EN EL ÁMBITO DEL RIESGO PSICOSOCIALEN EL PERSONAL DE LA UAESP.</t>
  </si>
  <si>
    <t>387</t>
  </si>
  <si>
    <t>279</t>
  </si>
  <si>
    <t>1022366551</t>
  </si>
  <si>
    <t>SAF-0052 PRESTAR SERVICIOS PROFESIONALES APOYANDO A LA SUBDIRECCIÓNADMINISTRATIVA Y FINANCIERA DESDE EL PUNTO DE VISTA JURÍDICO, CON EL FINDE FORTALECER LA GESTIÓN INSTITUCIONAL.</t>
  </si>
  <si>
    <t>1118543416</t>
  </si>
  <si>
    <t>CINDY LORENA CHAPARRO TORRES</t>
  </si>
  <si>
    <t>SAF-0082 PRESTAR SERVICIOS DE APOYO A LA SUBDIRECCIÓN ADMINISTRATIVA YFINANCIERA DE LA UAESP, APOYANDO EN LA EJECUCIÓN DE LAS ACTIVIDADES QUECONLLEVEN A LA OPTIMIZACIÓN DE LA GESTIÓN ADMINISTRATIVA DE LA MISMA.</t>
  </si>
  <si>
    <t>386</t>
  </si>
  <si>
    <t>278</t>
  </si>
  <si>
    <t>80231047</t>
  </si>
  <si>
    <t>OSCAR ANDRES CARRANZA MERCHAN</t>
  </si>
  <si>
    <t>TIC - 0002 Contratar el servicio de mantenimiento preventivo ycorrectivo especializado con bolsa de repuestos para la planta eléctricainstalada en la Unidad Administrativa Especial de Servicios Públicos –UAESP</t>
  </si>
  <si>
    <t>395</t>
  </si>
  <si>
    <t>291</t>
  </si>
  <si>
    <t>901210128</t>
  </si>
  <si>
    <t>PROYECTOS SERVICIOS Y MANTENIMIENTO EN GENERAL S.A.S</t>
  </si>
  <si>
    <t>RBL-0050 Prestar los servicios profesionales a la Unidad AdministrativaEspecial de Servicios Públicos - UAESP - para apoyar técnica yoperativamente el seguimiento de la supervisión del servicio público deaseo en sus distintos componentes, entre otros relacionados con lagestión integral de los residuos sólidos en el Distrito.</t>
  </si>
  <si>
    <t>272</t>
  </si>
  <si>
    <t>195</t>
  </si>
  <si>
    <t>80049638</t>
  </si>
  <si>
    <t>DANIEL FERNANDO MONTENEGRO RAMOS</t>
  </si>
  <si>
    <t>SA-OPS-137 Prestar los servicios de apoyo a la Subdirección deAprovechamiento de la Unidad Administrativa Especial de ServiciosPúblicos -UAESP-, para Realizar acompañamiento en la implementación deacciones afirmativas a la población recicladora de oficio,implementación de actividades de cultura ciudadana en el marco de lagestión de residuos sólidos e interlocución con los diferentes actoreslocales.</t>
  </si>
  <si>
    <t>273</t>
  </si>
  <si>
    <t>190</t>
  </si>
  <si>
    <t>1019064764</t>
  </si>
  <si>
    <t>MONICA  PARRA BOHORQUEZ</t>
  </si>
  <si>
    <t>SA-OPS-122 Prestar servicios profesionales a la Subdirección deAprovechamiento de la Unidad administrativa Especial de ServiciosPúblicos -UAESP-, para apoyar la coordinación de las relacionesinstitucionales y gestionar la consecución de fuentes de financiamientonacionales e internacionales para apoyar los proyectos de lasubdirección, tendientes a fortalecer el modelo de aprovechamiento deResiduos Sólidos y las acciones afirmativas de acuerdo con loestablecido en el Plan de Desarrollo Distrital y los autos de laHonorable Corte Constitucional desde el componente de aprovechamiento enel Distrito Capital.</t>
  </si>
  <si>
    <t>274</t>
  </si>
  <si>
    <t>194</t>
  </si>
  <si>
    <t>66954139</t>
  </si>
  <si>
    <t>MARGARITA CONSUELO DIAGO HURTADO</t>
  </si>
  <si>
    <t>OAP-012 Apoyar a la Oficina Asesora de Planeación en las actividadesseguimiento y mantenimiento del componente ambiental del ModeloIntegrado de Planeación y Gestión – MIPG.</t>
  </si>
  <si>
    <t>276</t>
  </si>
  <si>
    <t>199</t>
  </si>
  <si>
    <t>31835878</t>
  </si>
  <si>
    <t>HILDA LUCIA CASTRO CHAVERRA</t>
  </si>
  <si>
    <t>SDF49-Prestar servicios profesionales a la Subdirección de Disposición Final en cuanto a planeacion, seguimiento y control de las actividades misionales de la Subdirección, ademas de la coordinación de informes de Supervision y control.</t>
  </si>
  <si>
    <t>SDF49-Prestar servicios profesionales a la Subdirección de DisposiciónFinal en cuanto a planeación, seguimiento y control de las actividadesmisionales de la Subdirección, además de la coordinación de informes deSupervisión y control.</t>
  </si>
  <si>
    <t>SA-OPS-040 Adquirir la bodega número uno (1) ubicada en la DG 38 SUR 81G 66 BG 1 del sector María Paz, para adelantar procesos de aprovechamiento de materiales reciclable en favor d de la población recicladora de oficio del Distrito Capital</t>
  </si>
  <si>
    <t>ADQUISICION DE BODEGA 1</t>
  </si>
  <si>
    <t>SA-OPS-040 Adquirir la bodega número uno (1) ubicada en la DG 38 SUR 81G66 BG 1 del sector María Paz, para adelantar procesos de aprovechamientode materiales reciclable en favor d de la población recicladora deoficio del Distrito Capital.</t>
  </si>
  <si>
    <t>SA-OPS-041 Adquirir la bodega número dos (2) ubicada en la DG 38 SUR 81G 66 BG 2 del sector María Paz, para adelantar procesos de aprovechamiento de materiales reciclable en favor d de la población recicladora de oficio del Distrito Capital</t>
  </si>
  <si>
    <t>ADQUISICION DE BODEGA 2</t>
  </si>
  <si>
    <t>SA-OPS-041 Adquirir la bodega número dos (2) ubicada en la DG 38 SUR 81G66 BG 2 del sector María Paz, para adelantar procesos de aprovechamientode materiales reciclable en favor d de la población recicladora deoficio del Distrito Capital.</t>
  </si>
  <si>
    <t>SA-OPS-044 Adquirir la bodega número diez (10) ubicada en la DG 38 SUR 81G 66 BG 15 del sector María Paz, para adelantar procesos de aprovechamiento de materiales reciclable en favor d de la población recicladora de oficio del Distrito Capital</t>
  </si>
  <si>
    <t>ADQUISICION DE BODEGA 10</t>
  </si>
  <si>
    <t>SA-OPS-044 Adquirir la bodega número diez (10) ubicada en la DG 38 SUR81G 66 BG 10 del sector María Paz, para adelantar procesos deaprovechamiento de materiales reciclable en favor d de la poblaciónrecicladora de oficio del Distrito Capital.</t>
  </si>
  <si>
    <t>SA-OPS-045 Adquirir la bodega número once (11) ubicada en la DG 38 SUR 81G 66 BG 16 del sector María Paz, para adelantar procesos de aprovechamiento de materiales reciclable en favor d de la población recicladora de oficio del Distrito Capital</t>
  </si>
  <si>
    <t>ADQUISICION DE BODEGA 11</t>
  </si>
  <si>
    <t>SA-OPS-045 Adquirir la bodega número once (11) ubicada en la DG 38 SUR81G 66 BG 11 del sector María Paz, para adelantar procesos deaprovechamiento de materiales reciclable en favor d de la poblaciónrecicladora de oficio del Distrito Capital.</t>
  </si>
  <si>
    <t>SAF-0030 prestar servicios profesionales a la subdirección administrativa y financiera de la uaesp, apoyando en la ejecución de las actividades que conlleven a la optimización y seguimiento del Plan de Seguridad Vial y movilidad segura.</t>
  </si>
  <si>
    <t>SAF-0030 prestar servicios profesionales a la subdirecciónadministrativa y financiera de la uaesp, apoyando en la ejecución de las actividades que conlleven a la optimización y seguimiento del Plan deSeguridad Vial y movilidad segura.</t>
  </si>
  <si>
    <t>SAF-0013 Prestar servicios de apoyo a la gestión de la SubdirecciónAdministrativa y Financiera de la Unidad Administrativa Especial deServicios Públicos – UAESP, a través de la ejecución de actividadesrelacionadas con la organización física y digital de documentación, laactualización de los inventarios documentales en el formato FUIDadoptado por la Unidad y el proceso de correspondencia.</t>
  </si>
  <si>
    <t>337</t>
  </si>
  <si>
    <t>243</t>
  </si>
  <si>
    <t>1030697600</t>
  </si>
  <si>
    <t>SAF-0022 Prestar servicios de apoyo a la gestión de la SubdirecciónAdministrativa y Financiera de la Unidad Administrativa Especial deServicios Públicos – UAESP, a través de la ejecución de actividadesrelacionadas con la organización física y digital de documentación, laactualización de los inventarios documentales en el formato FUIDadoptado por la Unidad y el proceso de correspondencia.</t>
  </si>
  <si>
    <t>398</t>
  </si>
  <si>
    <t>294</t>
  </si>
  <si>
    <t>52207507</t>
  </si>
  <si>
    <t>SAF-0027 Prestar servicios profesionales a la SubdirecciónAdministrativa y Financiera de la Unidad Administrativa Especial deServicios Públicos – UAESP, en la ejecución de actividades relacionadascon la gestión presupuestal de la Entidad.</t>
  </si>
  <si>
    <t>277</t>
  </si>
  <si>
    <t>201</t>
  </si>
  <si>
    <t>21104225</t>
  </si>
  <si>
    <t>LUZ ADRIANA QUINTERO FERNANDEZ</t>
  </si>
  <si>
    <t>SDF28-Prestar los servicios profesionales para apoyar a la Subdirecciónde Disposición Final, desde el punto de vista jurídico en atención arequerimientos de los entes de control y asuntos administrativos ysociales.</t>
  </si>
  <si>
    <t>391</t>
  </si>
  <si>
    <t>285</t>
  </si>
  <si>
    <t>1144025188</t>
  </si>
  <si>
    <t>PAOLA ALEXANDRA CARDENAS RODRIGUEZ</t>
  </si>
  <si>
    <t>RBL-0056 Prestar los servicios profesionales a la Subdirección deRecolección, Barrido y Limpieza de la Unidad Administrativa Especial deServicios Públicos -UAESP, apoyando las acciones de control yseguimiento a la gestión empresarial; en el marco del servicio públicode aseo en el Distrito Capital.</t>
  </si>
  <si>
    <t>198</t>
  </si>
  <si>
    <t>1018479570</t>
  </si>
  <si>
    <t>ANA MARIA JIMENEZ CASTAÑEDA</t>
  </si>
  <si>
    <t>SAF-0070 Prestar servicios de apoyo a la gestión de la SubdirecciónAdministrativa y Financiera de la Unidad Administrativa Especial deServicios Públicos – UAESP, a través de la ejecución de actividadesrelacionadas con la organización física y digital de documentación, laactualización de los inventarios documentales en el formato FUIDadoptado por la Unidad y el proceso de correspondencia.</t>
  </si>
  <si>
    <t>383</t>
  </si>
  <si>
    <t>283</t>
  </si>
  <si>
    <t>1015450069</t>
  </si>
  <si>
    <t>OSCAR MAURICIO CONTRERAS GUERRERO</t>
  </si>
  <si>
    <t>SA-OPS-130 Prestar los servicios de apoyo profesional a la Subdirecciónde Aprovechamiento de la Unidad Administrativa Especial de ServiciosPúblicos- UAESP-, paraRealizar acompañamiento en la implementación deacciones afirmativas a la población recicladora de oficio,implementación de actividades de cultura ciudadana en el marco de lagestión de residuos sólidos e interlocución con los diferentes actoreslocales.</t>
  </si>
  <si>
    <t>200</t>
  </si>
  <si>
    <t>79322856</t>
  </si>
  <si>
    <t>PEDRO  MENDOZA AVILA</t>
  </si>
  <si>
    <t>SAF-0004 Prestar servicios de apoyo a la gestión de la SubdirecciónAdministrativa y Financiera de la Unidad Administrativa Especial deServicios Públicos – UAESP, a través de la ejecución de actividadesrelacionadas con la organización física y digital de documentación, laactualización de los inventarios documentales en el formato FUIDadoptado por la Unidad y el proceso de correspondencia.</t>
  </si>
  <si>
    <t>1000018614</t>
  </si>
  <si>
    <t>SAF-0073 Prestar servicios apoyo a la Subdirección Administrativa yFinanciera de la UAESP en las actividades relacionadas con lainformación propia de la gestión financiera.</t>
  </si>
  <si>
    <t>390</t>
  </si>
  <si>
    <t>10162404</t>
  </si>
  <si>
    <t>ALBERTO  ROCHA CARDOZO</t>
  </si>
  <si>
    <t>SAF-0079 Prestar servicios profesionales a la SubdirecciónAdministrativa y Financiera de la Unidad Administrativa Especial deServicios Públicos – UAESP, apoyando el proceso de gestión financiera.</t>
  </si>
  <si>
    <t>437</t>
  </si>
  <si>
    <t>331</t>
  </si>
  <si>
    <t>19364680</t>
  </si>
  <si>
    <t>CARLOS HUMBERTO MIRANDA COLMENARES</t>
  </si>
  <si>
    <t>SAL-024. Prestar los servicios profesionales desde el punto de vistajurídico a la UAESP para sustanciar el trámite y desarrollo de lasactuaciones de carácter administrativo sancionatorio que se adelanten alinterior de la Entidad, y el acompañamiento en el proceso y lasactividades que se requieran para el cumplimiento del procedimientocontemplado en la Ley y en el de gestión contractual interno.</t>
  </si>
  <si>
    <t>281</t>
  </si>
  <si>
    <t>202</t>
  </si>
  <si>
    <t>52960316</t>
  </si>
  <si>
    <t>MONICA DEL PILAR GONZALEZ ARCHILA</t>
  </si>
  <si>
    <t>Seguimiento al expediente LAM7710-00 para los año 2018 y 2019, en el desarrollado de la Licencias Ambiental</t>
  </si>
  <si>
    <t>Seguimiento al expediente LAM7710-00 para los año 2018 y 2019, en eldesarrollado de la Licencias Ambiental.</t>
  </si>
  <si>
    <t>491</t>
  </si>
  <si>
    <t>174</t>
  </si>
  <si>
    <t>830025267</t>
  </si>
  <si>
    <t>FONDO NACIONAL AMBIENTAL -FONAM-</t>
  </si>
  <si>
    <t>Seguimiento al expediente POC0071-00 para los año 2018 y 2020 , al Permiso Ambiental antes citado</t>
  </si>
  <si>
    <t>Seguimiento al expediente POC0071-00 para los año 2018 y 2020 , alPermiso Ambiental antes citado.</t>
  </si>
  <si>
    <t>166</t>
  </si>
  <si>
    <t>899999061</t>
  </si>
  <si>
    <t>BOGOTA DISTRITO CAPITAL</t>
  </si>
  <si>
    <t>seguimiento al expediente VAR0042-00  para los año 2018 y 2020, en el desarrollo del Permiso Ambiental antes citado</t>
  </si>
  <si>
    <t>Seguimiento al expediente VAR0042-00 para los año 2018 y 2020, en eldesarrollo del Permiso Ambiental antes citado.</t>
  </si>
  <si>
    <t>496</t>
  </si>
  <si>
    <t>175</t>
  </si>
  <si>
    <t>Pago de tasa retributiva y compensaciones  a la Secretaria de Ambiental  por el proceso OGC-2019-0018</t>
  </si>
  <si>
    <t>Pago de tasa retributiva y compensaciones a la Secretaria de Ambientalpor el proceso OGC-2019-0018.</t>
  </si>
  <si>
    <t>611</t>
  </si>
  <si>
    <t>DIRECCION DISTRITAL DE TESORERIA</t>
  </si>
  <si>
    <t>SA-OPS-167 Crear el Programa Distrital de Incentivos y Apoyos Concertados para apoyar pecuniariamente iniciativas dirigidas y presentadas por las Organizaciones de Recicladores de Oficio, como acciones afirmativas, relacionadas con la actividad del reciclaje, para incentivar la producción, creación, formación, innovación e investigación en el campo del reciclaje y aprovechamiento, desde su propia iniciativa, con base en lo ordenado por la Corte Constitucional sobre el particular.</t>
  </si>
  <si>
    <t>SA-167 Crear el Programa Distrital de Incentivos y Apoyos Concertadospara apoyar pecuniariamente iniciativas dirigidas y presentadas por lasOrganizaciones de Recicladores de Oficio, como acciones afirmativas,relacionadas con la actividad del reciclaje, para incentivar laproducción, creación, formación, innovación e investigación en el campodel reciclaje y aprovechamiento, desde su propia iniciativa, con base enlo ordenado por la Corte Constitucional sobre el particular.</t>
  </si>
  <si>
    <t>Adecuación de cuartos de residuos en los cementerios distritales norte, serafín y sur de Bogotá D.C.”.Adecuación de cuartos de residuos en los cementerios distritales norte, serafín y sur de Bogotá D.C.”.</t>
  </si>
  <si>
    <t>Prorroga y adición Nº 1 del contrato 723 de 2020, cuyo objeto es:“Adecuación de cuartos de residuos en los cementerios distritales norte,serafín y sur de Bogotá D.C.”.</t>
  </si>
  <si>
    <t>282</t>
  </si>
  <si>
    <t>723</t>
  </si>
  <si>
    <t>901197184</t>
  </si>
  <si>
    <t>TECMON CONSTRUCCIONES SAS</t>
  </si>
  <si>
    <r>
      <t>Adición al contrato de Concesión No 284 de 2018, suscrito con LIMPIEZA METROPOLITANA S.A. E.S.P.,</t>
    </r>
    <r>
      <rPr>
        <b/>
        <sz val="10.5"/>
        <color indexed="8"/>
        <rFont val="Arial Narrow"/>
        <family val="2"/>
      </rPr>
      <t xml:space="preserve"> </t>
    </r>
    <r>
      <rPr>
        <sz val="10.5"/>
        <color indexed="8"/>
        <rFont val="Arial Narrow"/>
        <family val="2"/>
      </rPr>
      <t>cuyo objeto es “CONCESIONAR BAJO LA FIGURA DE ÁREAS DE SERVICIO EXCLUSIVO, LA PRESTACIÓN DEL SERVICIO PÚBLICO DE ASEO EN LA CIUDAD DE BOGOTÁ D.C. - COLOMBIA, EN SUS COMPONENTES DE RECOLECCIÓN DE RESIDUOS NO APROVECHABLES, BARRIDO, LIMPIEZA DE VÍAS Y ÁREAS PÚBLICAS, CORTE DE CÉSPED, PODA DE ÁRBOLES EN ÁREAS PÚBLICAS, LAVADO DE ÁREAS PÚBLICAS Y TRANSPORTE DE LOS RESIDUOS GENERADOS POR LA ANTERIORES ACTIVIDADES A LOS SITIOS DE DISPOSICIÓN FINAL</t>
    </r>
  </si>
  <si>
    <t>Adición al contrato de Concesión No 284 de 2018, suscrito con LIMPIEZAMETROPOLITANA S.A. E.S.P., cuyo objeto es CONCESIONAR BAJO LA FIGURA DEÁREAS DE SERVICIO EXCLUSIVO, LA PRESTACIÓN DEL SERVICIO PÚBLICO DE ASEOEN LA CIUDAD DE BOGOTÁ D.C. - COLOMBIA, EN SUS COMPONENTES DERECOLECCIÓN DE RESIDUOS NO APROVECHABLES, BARRIDO, LIMPIEZA DE VÍAS YÁREAS PÚBLICAS, CORTE DE CÉSPED, PODA DE ÁRBOLES EN ÁREAS PÚBLICAS,LAVADO DE ÁREAS PÚBLICAS Y TRANSPORTE DE LOS RESIDUOS GENERADOS POR LAANTERIORES ACTIVIDADES A LOS SITIOS DE DISPOSICIÓN FINAL.</t>
  </si>
  <si>
    <t>284</t>
  </si>
  <si>
    <t>830123461</t>
  </si>
  <si>
    <t>LIMPIEZA METROPOLITANA S A E S P Y PODRA UTILIZAR LA SIGLA LIME S A E S P</t>
  </si>
  <si>
    <t>SAF-0011 Prestar servicios profesionales a la SubdirecciónAdministrativa y Financiera de la Unidad desde el punto de vistafinanciero en los asuntos que le sean requeridos.</t>
  </si>
  <si>
    <t>252</t>
  </si>
  <si>
    <t>79294836</t>
  </si>
  <si>
    <t>Adición y Prórroga No. 1 del contrato UAESP-478-2020 cuyo objeto es:Contratar la prestación del servicio público de transporte terrestreautomotor especial para la Unidad Administrativa Especial de ServiciosPúblicos – UAESP del Distrito Capital, incluidos todos los gastosoperacionales para los desplazamientos que se sugieren dentro y fueradel Distrito en el desarrollo de las tareas que demande la ejecución dela misión de la UAESP.</t>
  </si>
  <si>
    <t>900470772</t>
  </si>
  <si>
    <t>TRANSPORTES CSC S.A.S - EN REORGANIZACIO N</t>
  </si>
  <si>
    <t>SAF-0053 prestar servicios profesionales apoyando a la subdirecciónadministrativa y financiera desde el punto de vista jurídico, con el finde fortalecer la gestión institucional.</t>
  </si>
  <si>
    <t>366</t>
  </si>
  <si>
    <t>264</t>
  </si>
  <si>
    <t>1118540062</t>
  </si>
  <si>
    <t>LILIANA MARIA ALARCON CARDOZO</t>
  </si>
  <si>
    <t>281.078.765 COP</t>
  </si>
  <si>
    <t>MAUSOLEOS</t>
  </si>
  <si>
    <t>SSF-029 Realizar la actualización y complementación de estudios ydiseños para la construcción de mausoleos y cuarto de hornos en elcementerio parque Serafín de Bogotá D.C.</t>
  </si>
  <si>
    <t>RBL-0002 Prestar los servicios profesionales a la Unidad AdministrativaEspecial de Servicios Públicos, para apoyar la analítica, la exploracióny los métodos de visualización de datos espaciales y no espacialesestratégicos, para la implementación del PGIRS en el área urbana y ruralde la ciudad de Bogotá.</t>
  </si>
  <si>
    <t>512</t>
  </si>
  <si>
    <t>1010191974</t>
  </si>
  <si>
    <t>SINDY NATALI OCHOA TORRES</t>
  </si>
  <si>
    <t>RBL-0003 Prestar los servicios profesionales a la Unidad AdministrativaEspecial de Servicios Públicos, para la generación y documentación deproductos geográficos requeridos para el seguimiento al servicio públicode aseo en la ciudad de Bogotá, en el marco de la implementación delPlan de Gestión Integral de Residuos Sólidos.</t>
  </si>
  <si>
    <t>343</t>
  </si>
  <si>
    <t>248</t>
  </si>
  <si>
    <t>1018454549</t>
  </si>
  <si>
    <t>ANNY LISSETH GIRALDO SOLANO</t>
  </si>
  <si>
    <t>RBL- 0048 Prestar los servicios profesionales a la Unidad AdministrativaEspecial de Servicios Públicos en la gestión Jurídica y Administrativade la Subdirección de Recolección, Barrido y Limpieza, asistiendo a lasupervisión del servicio público de aseo en los procesos relacionadoscon la gestión integral de los residuos sólidos en el Distrito.</t>
  </si>
  <si>
    <t>423</t>
  </si>
  <si>
    <t>301</t>
  </si>
  <si>
    <t>1075681939</t>
  </si>
  <si>
    <t>MARIA CAMILA FORERO UMBARILA</t>
  </si>
  <si>
    <t>SDF05-Prestar servicios profesionales a la Subdirección de DisposiciónFinal en apoyo al seguimiento y control a la gestión de residuos en DoñaJuana, en su componente de lixiviados en líneas de conducción ypondajes, en el marco del desarrollo de los contratos de Consultorías ycontratos de concesión en Predios Doña Juana.</t>
  </si>
  <si>
    <t>335</t>
  </si>
  <si>
    <t>239</t>
  </si>
  <si>
    <t>1026287593</t>
  </si>
  <si>
    <r>
      <t>Adición al contrato de Concesión No 283 de 2018, suscrito con PROMOAMBIENTAL DISTRITO S.A.S. E.S.P.,</t>
    </r>
    <r>
      <rPr>
        <b/>
        <sz val="10.5"/>
        <color indexed="8"/>
        <rFont val="Arial Narrow"/>
        <family val="2"/>
      </rPr>
      <t xml:space="preserve"> </t>
    </r>
    <r>
      <rPr>
        <sz val="10.5"/>
        <color indexed="8"/>
        <rFont val="Arial Narrow"/>
        <family val="2"/>
      </rPr>
      <t>cuyo objeto es “CONCESIONAR BAJO LA FIGURA DE ÁREAS DE SERVICIO EXCLUSIVO, LA PRESTACIÓN DEL SERVICIO PÚBLICO DE ASEO EN LA CIUDAD DE BOGOTÁ D.C. - COLOMBIA, EN SUS COMPONENTES DE RECOLECCIÓN DE RESIDUOS NO APROVECHABLES, BARRIDO, LIMPIEZA DE VÍAS Y ÁREAS PÚBLICAS, CORTE DE CÉSPED, PODA DE ÁRBOLES EN ÁREAS PÚBLICAS, LAVADO DE ÁREAS PÚBLICAS Y TRANSPORTE DE LOS RESIDUOS GENERADOS POR LA ANTERIORES ACTIVIDADES A LOS SITIOS DE DISPOSICIÓN FINAL.”</t>
    </r>
    <r>
      <rPr>
        <sz val="11"/>
        <color indexed="8"/>
        <rFont val="Arial Narrow"/>
        <family val="2"/>
      </rPr>
      <t xml:space="preserve">  </t>
    </r>
    <r>
      <rPr>
        <sz val="12"/>
        <color indexed="8"/>
        <rFont val="Arial Narrow"/>
        <family val="2"/>
      </rPr>
      <t>.</t>
    </r>
  </si>
  <si>
    <t>Adición al contrato de Concesión No 283 de 2018, suscrito conPROMOAMBIENTAL DISTRITO S.A.S. E.S.P., cuyo objeto es CONCESIONAR BAJOLA FIGURA DE ÁREAS DE SERVICIO EXCLUSIVO, LA PRESTACIÓN DEL SERVICIOPÚBLICO DE ASEO EN LA CIUDAD DE BOGOTÁ D.C. - COLOMBIA, EN SUSCOMPONENTES DE RECOLECCIÓN DE RESIDUOS NO APROVECHABLES, BARRIDO,LIMPIEZA DE VÍAS Y ÁREAS PÚBLICAS, CORTE DE CÉSPED, PODA DE ÁRBOLES ENÁREAS PÚBLICAS, LAVADO DE ÁREAS PÚBLICAS Y TRANSPORTE DE LOS RESIDUOSGENERADOS POR LA ANTERIORES ACTIVIDADES A LOS SITIOS DE DISPOSICIÓNFINAL.</t>
  </si>
  <si>
    <t>405</t>
  </si>
  <si>
    <t>901145808</t>
  </si>
  <si>
    <t>SAL-006. Prestar los servicios profesionales a la Subdirección deAsuntos Legales desde el punto de vista jurídico dentro de los procesosde selección y contratación en general, en sus etapas precontractuales,contractuales y postcontractuales, teniendo en cuenta los requerimientossolicitados por las diferentes dependencias de la Unidad AdministrativaEspecial de Servicios Públicos.</t>
  </si>
  <si>
    <t>203</t>
  </si>
  <si>
    <t>63560816</t>
  </si>
  <si>
    <t>LILIANA PATRICIA MEDINA RUEDA</t>
  </si>
  <si>
    <r>
      <t>Adición al contrato de Concesión No 285 de 2018, suscrito con CIUDAD LIMPIA BOGOTÁ S.A. E.S.P.,</t>
    </r>
    <r>
      <rPr>
        <b/>
        <sz val="10.5"/>
        <color indexed="8"/>
        <rFont val="Arial Narrow"/>
        <family val="2"/>
      </rPr>
      <t xml:space="preserve"> </t>
    </r>
    <r>
      <rPr>
        <sz val="10.5"/>
        <color indexed="8"/>
        <rFont val="Arial Narrow"/>
        <family val="2"/>
      </rPr>
      <t>cuyo objeto es “CONCESIONAR BAJO LA FIGURA DE ÁREAS DE SERVICIO EXCLUSIVO, LA PRESTACIÓN DEL SERVICIO PÚBLICO DE ASEO EN LA CIUDAD DE BOGOTÁ D.C. - COLOMBIA, EN SUS COMPONENTES DE RECOLECCIÓN DE RESIDUOS NO APROVECHABLES, BARRIDO, LIMPIEZA DE VÍAS Y ÁREAS PÚBLICAS, CORTE DE CÉSPED, PODA DE ÁRBOLES EN ÁREAS PÚBLICAS, LAVADO DE ÁREAS PÚBLICAS Y TRANSPORTE DE LOS RESIDUOS GENERADOS POR LA ANTERIORES ACTIVIDADES A LOS SITIOS DE DISPOSICIÓN FINAL”</t>
    </r>
    <r>
      <rPr>
        <sz val="12"/>
        <color indexed="8"/>
        <rFont val="Arial Narrow"/>
        <family val="2"/>
      </rPr>
      <t>.</t>
    </r>
  </si>
  <si>
    <t>Adición al contrato de Concesión No 285 de 2018, suscrito con CIUDADLIMPIA BOGOTÁ S.A. E.S.P., cuyo objeto es CONCESIONAR BAJO LA FIGURA DEÁREAS DE SERVICIO EXCLUSIVO, LA PRESTACIÓN DEL SERVICIO PÚBLICO DE ASEOEN LA CIUDAD DE BOGOTÁ D.C. - COLOMBIA, EN SUS COMPONENTES DERECOLECCIÓN DE RESIDUOS NO APROVECHABLES, BARRIDO, LIMPIEZA DE VÍAS YÁREAS PÚBLICAS, CORTE DE CÉSPED, PODA DE ÁRBOLES EN ÁREAS PÚBLICAS,LAVADO DE ÁREAS PÚBLICAS Y TRANSPORTE DE LOS RESIDUOS GENERADOS POR LAANTERIORES ACTIVIDADES A LOS SITIOS DE DISPOSICIÓN FINAL.</t>
  </si>
  <si>
    <t>381</t>
  </si>
  <si>
    <t>830048122</t>
  </si>
  <si>
    <t>CIUDAD LIMPIA BOGOTA S A E S P</t>
  </si>
  <si>
    <t>OAP-001 Prestar servicios profesionales a la Oficina Asesora dePlaneación de la Unidad Administrativa Especial de Servicios Públicos–UAESP, para apoyar la ejecución de las actividades administrativas, yde los procedimientos establecidos por la Entidad, para el desarrollo delas funciones a cargo de la oficina.</t>
  </si>
  <si>
    <t>205</t>
  </si>
  <si>
    <t>52432215</t>
  </si>
  <si>
    <t>LUZ ROCIO CASAS GONZALEZ</t>
  </si>
  <si>
    <r>
      <t>Adición al contrato de Concesión No 287 de 2018, suscrito con ÁREA LIMPIA DISTRITO CAPITAL S.A.S E.S.P.,</t>
    </r>
    <r>
      <rPr>
        <b/>
        <sz val="10.5"/>
        <color indexed="8"/>
        <rFont val="Arial Narrow"/>
        <family val="2"/>
      </rPr>
      <t xml:space="preserve"> </t>
    </r>
    <r>
      <rPr>
        <sz val="10.5"/>
        <color indexed="8"/>
        <rFont val="Arial Narrow"/>
        <family val="2"/>
      </rPr>
      <t>cuyo objeto es “CONCESIONAR BAJO LA FIGURA DE ÁREAS DE SERVICIO EXCLUSIVO, LA PRESTACIÓN DEL SERVICIO PÚBLICO DE ASEO EN LA CIUDAD DE BOGOTÁ D.C. - COLOMBIA, EN SUS COMPONENTES DE RECOLECCIÓN DE RESIDUOS NO APROVECHABLES, BARRIDO, LIMPIEZA DE VÍAS Y ÁREAS PÚBLICAS, CORTE DE CÉSPED, PODA DE ÁRBOLES EN ÁREAS PÚBLICAS, LAVADO DE ÁREAS PÚBLICAS Y TRANSPORTE DE LOS RESIDUOS GENERADOS POR LA ANTERIORES ACTIVIDADES A LOS SITIOS DE DISPOSICIÓN FINAL”</t>
    </r>
    <r>
      <rPr>
        <sz val="12"/>
        <color indexed="8"/>
        <rFont val="Arial Narrow"/>
        <family val="2"/>
      </rPr>
      <t>.</t>
    </r>
  </si>
  <si>
    <t>Adición al contrato de Concesión No 287 de 2018, suscrito con ÁREALIMPIA DISTRITO CAPITAL S.A.S E.S.P., cuyo objeto es CONCESIONAR BAJO LAFIGURA DE ÁREAS DE SERVICIO EXCLUSIVO, LA PRESTACIÓN DEL SERVICIOPÚBLICO DE ASEO EN LA CIUDAD DE BOGOTÁ D.C. - COLOMBIA, EN SUSCOMPONENTES DE RECOLECCIÓN DE RESIDUOS NO APROVECHABLES, BARRIDO,LIMPIEZA DE VÍAS Y ÁREAS PÚBLICAS, CORTE DE CÉSPED, PODA DE ÁRBOLES ENÁREAS PÚBLICAS, LAVADO DE ÁREAS PÚBLICAS Y TRANSPORTE DE LOS RESIDUOSGENERADOS POR LA ANTERIORES ACTIVIDADES A LOS SITIOS DE DISPOSICIÓNFINAL.</t>
  </si>
  <si>
    <t>372</t>
  </si>
  <si>
    <t>287</t>
  </si>
  <si>
    <t>901146434</t>
  </si>
  <si>
    <t>AREA LIMPIA DISTRITO CAPITAL S.A.S. E.S. P.</t>
  </si>
  <si>
    <r>
      <t>Adición al contrato de Interventoría No 396 de 2018</t>
    </r>
    <r>
      <rPr>
        <b/>
        <sz val="10.5"/>
        <color indexed="8"/>
        <rFont val="Arial Narrow"/>
        <family val="2"/>
      </rPr>
      <t xml:space="preserve"> </t>
    </r>
    <r>
      <rPr>
        <sz val="10.5"/>
        <color indexed="8"/>
        <rFont val="Arial Narrow"/>
        <family val="2"/>
      </rPr>
      <t>cuyo objeto es “CONTRATAR LA INTERVENTORÍA TÉCNICA, ADMINISTRATIVA, OPERATIVA, COMERCIAL, ECONÓMICA, FINANCIERA, CONTABLE, SOCIAL, JURÍDICA, REGULATORIO, AMBIENTAL Y DE SISTEMAS, DE LOS CONTRATOS DE CONCESIÓN, DE LOS COMPONENTES DEL SERVICIO PÚBLICO DOMICILIARIO DE ASEO, EN SUS ACTIVIDADES DE RECOLECCIÓN Y TRANSPORTE AL SITIO DE DISPOSICIÓN FINAL, BARRIDO Y LIMPIEZA DE VÍAS Y ÁREAS PÚBLICAS, LIMPIEZA URBANA, CORTE DE CÉSPED Y PODA DE ÁRBOLES GENERADOS EN LA CIUDAD DE BOGOTÁ D.C.”</t>
    </r>
  </si>
  <si>
    <t>Adición al contrato de Interventoría No 396 de 2018 cuyo objeto esCONTRATAR LA INTERVENTORÍA TÉCNICA, ADMINISTRATIVA, OPERATIVA,COMERCIAL, ECONÓMICA, FINANCIERA, CONTABLE, SOCIAL, JURÍDICA,REGULATORIO, AMBIENTAL Y DE SISTEMAS, DE LOS CONTRATOS DE CONCESIÓN, DELOS COMPONENTES DEL SERVICIO PÚBLICO DOMICILIARIO DE ASEO, EN SUSACTIVIDADES DE RECOLECCIÓN Y TRANSPORTE AL SITIO DE DISPOSICIÓN FINAL,BARRIDO Y LIMPIEZA DE VÍAS Y ÁREAS PÚBLICAS, LIMPIEZA URBANA, CORTE DECÉSPED Y PODA DE ÁRBOLES GENERADOS EN LA CIUDAD DE BOGOTÁ D.C.</t>
  </si>
  <si>
    <t>396</t>
  </si>
  <si>
    <t>901153669</t>
  </si>
  <si>
    <t>CONSORCIO PROYECCION CAPITAL</t>
  </si>
  <si>
    <t>SSF-029 Realizar la actualización y complementación de estudios y diseños para la construcción de mausoleos y cuarto de hornos en el cementerio parque Serafín de Bogotá D.C.</t>
  </si>
  <si>
    <t>525</t>
  </si>
  <si>
    <t>CONTRATO DE CONSULTORIA</t>
  </si>
  <si>
    <t>380</t>
  </si>
  <si>
    <t>901481055</t>
  </si>
  <si>
    <t>CONSORCIO SION</t>
  </si>
  <si>
    <t>SAF-0048 Prestar servicios de apoyo a la gestión de la SubdirecciónAdministrativa y Financiera de la Unidad Administrativa Especial deServicios Públicos – UAESP, desarrollando actividades relacionadas conla atención al ciudadano.</t>
  </si>
  <si>
    <t>392</t>
  </si>
  <si>
    <t>21087397</t>
  </si>
  <si>
    <t>CLARA ISABEL LOPEZ POZO</t>
  </si>
  <si>
    <t>SAF-0023 Prestar servicios de apoyo a la gestión de la SubdirecciónAdministrativa y Financiera de la Unidad Administrativa Especial deServicios Públicos – UAESP, a través de la ejecución de actividadesrelacionadas con la organización física y digital de documentación, laactualización de los inventarios documentales en el formato FUIDadoptado por la Unidad y el proceso de correspondencia.</t>
  </si>
  <si>
    <t>430</t>
  </si>
  <si>
    <t>314</t>
  </si>
  <si>
    <t>37277102</t>
  </si>
  <si>
    <t>OCI-0002 Prestación de servicios profesionales para contribuir aldesarrollo de auditorías, evaluaciones y/o seguimientos a laimplementación y efectividad del sistema gestión de la seguridad de lainformación; planes operativos y desempeño de procesos del sistema degestión de la UAESP, de conformidad con los procedimientos einstructivos determinados por la Oficina de Control Interno de la UAESP.</t>
  </si>
  <si>
    <t>290</t>
  </si>
  <si>
    <t>204</t>
  </si>
  <si>
    <t>1013588328</t>
  </si>
  <si>
    <t>JAVIER ALFONSO SARMIENTO PIÑEROS</t>
  </si>
  <si>
    <t>SAL-018. Prestar los servicios de apoyo a la gestión a la Subdirecciónde Asuntos Legales, desde el punto de vista operacional, con el fin derecopilar la información que se requiera para la actualización de lasbases de datos y sistemas de información requeridos, así como el manejode las plataformas que hacen parte en los procesos de contratación de laUnidad Administrativa Especial de Servicios Públicos - UAESP.</t>
  </si>
  <si>
    <t>210</t>
  </si>
  <si>
    <t>79891521</t>
  </si>
  <si>
    <t>WILSON ARTURO BORDA MORA</t>
  </si>
  <si>
    <t>RBL-0013 Prestar los servicios profesionales a la Subdirección deRecolección, Barrido y Limpieza en el seguimiento a la prestación delservicio público de aseo, especialmente en el componente de LimpiezaUrbana (CLUS) en el Distrito Capital.</t>
  </si>
  <si>
    <t>292</t>
  </si>
  <si>
    <t>212</t>
  </si>
  <si>
    <t>35477390</t>
  </si>
  <si>
    <t>JENNY PATRICIA CASTIBLANCO RIAÑO</t>
  </si>
  <si>
    <t>SA-OPS-129 Prestar los servicios de apoyo a la gestión mediante laatención presencial, telefónica y/o virtual, gestionando las peticiones,solicitudes, reclamos y trámites de los ciudadanos, poblaciónrecicladora de oficio y organizaciones de recicladores, así como en lacaracterización de la información obtenida en los puntos de atenciónestablecidos por la entidad.</t>
  </si>
  <si>
    <t>365</t>
  </si>
  <si>
    <t>256</t>
  </si>
  <si>
    <t>1015477002</t>
  </si>
  <si>
    <t>GINNA ALEJANDRA RAMIREZ BOJACA</t>
  </si>
  <si>
    <t>SA-OPS-066 Prestar los servicios profesionales a la Subdirección deAprovechamiento, para implementar procesos de fortalecimiento a lasorganizaciones de recicladores de oficio, promover la formalización deacuerdo al Decreto 596 de 2016 y la implementación de accionesafirmativas establecidas por las sentencias de la Honorable CorteConstitucional.</t>
  </si>
  <si>
    <t>412</t>
  </si>
  <si>
    <t>305</t>
  </si>
  <si>
    <t>1152684677</t>
  </si>
  <si>
    <t>LUZ ANDREA GOMEZ MACHADO</t>
  </si>
  <si>
    <t>SA-OPS-067 Prestar los servicios profesionales a la Subdirección deAprovechamiento, para implementar procesos de fortalecimiento a lasorganizaciones de recicladores de oficio, promover la formalización deacuerdo al Decreto 596 de 2016 y la implementación de accionesafirmativas establecidas por las sentencias de la Honorable CorteConstitucional.</t>
  </si>
  <si>
    <t>463</t>
  </si>
  <si>
    <t>354</t>
  </si>
  <si>
    <t>52962599</t>
  </si>
  <si>
    <t>DIANA CRISTEL VEGA ORDOÑEZ</t>
  </si>
  <si>
    <t>SA-OPS-146 Prestar los servicios profesionales a la Subdirección deAprovechamiento, para implementar procesos de fortalecimiento a lasorganizaciones de recicladores de oficio, promover la formalización deacuerdo al Decreto 596 de 2016 y la implementación de accionesafirmativas establecidas por las sentencias de la Honorable CorteConstitucional.</t>
  </si>
  <si>
    <t>429</t>
  </si>
  <si>
    <t>315</t>
  </si>
  <si>
    <t>36724746</t>
  </si>
  <si>
    <t>KELTTY SOFIA ROMERO VICIOSO</t>
  </si>
  <si>
    <t>SA-OPS-068 Prestar servicios de apoyo a la gestión de la Subdirección deAprovechamiento, en la implementación de procesos y proyectos deaprovechamiento y tratamiento de residuos, en el marco de la política deeconomía circular y del manejo integral de residuos sólidos.</t>
  </si>
  <si>
    <t>489</t>
  </si>
  <si>
    <t>37747900</t>
  </si>
  <si>
    <t>SARA YOLIMA FORERO GONZALEZ</t>
  </si>
  <si>
    <t>SA-OPS-071 Prestar servicios profesionales a la Subdirección deAprovechamiento, en la formulación e implementación de procesos yproyectos de aprovechamiento y tratamiento de residuos, en el marco dela política de economía circular y del manejo integral de residuossólidos.</t>
  </si>
  <si>
    <t>467</t>
  </si>
  <si>
    <t>350</t>
  </si>
  <si>
    <t>51807957</t>
  </si>
  <si>
    <t>SANDRA DE JESUS JARAMILLO GUERRERO</t>
  </si>
  <si>
    <t>SA-OPS-065 Prestar Servicios profesionales a la Subdirección deAprovechamiento para desarrollar los procesos de gestión territorialmediante la estrategia de Cultura Ciudadana “La Basura no es Basura”, laimplementación de acciones afirmativas y la identificación yformalización de recicladores de oficio en el registro RURO.</t>
  </si>
  <si>
    <t>434</t>
  </si>
  <si>
    <t>322</t>
  </si>
  <si>
    <t>79240346</t>
  </si>
  <si>
    <t>RICARDO  SUAREZ SUAREZ</t>
  </si>
  <si>
    <t>SA-OPS-136 Prestar Servicios profesionales a la Subdirección deAprovechamiento para desarrollar los procesos de gestión territorialmediante la estrategia de Cultura Ciudadana “La Basura no es Basura”, laimplementación de acciones afirmativas y la identificación yformalización de recicladores de oficio en el registro RURO.</t>
  </si>
  <si>
    <t>411</t>
  </si>
  <si>
    <t>300</t>
  </si>
  <si>
    <t>1014211159</t>
  </si>
  <si>
    <t>KARENTH ANDREA FORERO SANCHEZ</t>
  </si>
  <si>
    <t>SA-OPS-150 Prestar Servicios profesionales a la Subdirección deAprovechamiento para desarrollar los procesos de gestión territorialmediante la estrategia de Cultura Ciudadana “La Basura no es Basura”, laimplementación de acciones afirmativas y la identificación yformalización de recicladores de oficio en el registro RURO.</t>
  </si>
  <si>
    <t>SA-OPS-165 Prestar Servicios profesionales a la Subdirección deAprovechamiento para desarrollar los procesos de gestión territorialmediante la estrategia de Cultura Ciudadana: La Basura no es Basura, laimplementación de acciones afirmativas y la identificación yformalización de recicladores de oficio en el registro RURO.</t>
  </si>
  <si>
    <t>413</t>
  </si>
  <si>
    <t>307</t>
  </si>
  <si>
    <t>80184916</t>
  </si>
  <si>
    <t>ANDRES MAURICIO MORENO OCAMPO</t>
  </si>
  <si>
    <t>SA-OPS-111 Prestar servicios profesionales a la Subdirección deAprovechamiento para ejecutar las acciones encaminadas a laimplementación de la Estrategia de cultura ciudadana "La basura no esbasura" en los diferentes territorios de Bogotá, en articulación con eldesarrollo de acciones afirmativas a la población recicladora de oficio,en el marco de la gestión de residuos sólidos.</t>
  </si>
  <si>
    <t>432</t>
  </si>
  <si>
    <t>328</t>
  </si>
  <si>
    <t>1031158893</t>
  </si>
  <si>
    <t>ANGIE DANIELA RAMIREZ BRICEÑO</t>
  </si>
  <si>
    <t>SA-OPS-151 Prestar servicios de apoyo a la gestión en la Subdirección deAprovechamiento para ejecutar las acciones encaminadas a laimplementación de la Estrategia de cultura ciudadana: La basura no esbasura&lt;(&gt;,&lt;)&gt; en los diferentes territorios de Bogotá, en articulacióncon el desarrollo de acciones afirmativas a la población recicladora deoficio, en el marco de la gestión de residuos sólidos.</t>
  </si>
  <si>
    <t>415</t>
  </si>
  <si>
    <t>308</t>
  </si>
  <si>
    <t>1022411638</t>
  </si>
  <si>
    <t>PAULA YIZETH MARIN RINCON</t>
  </si>
  <si>
    <t>SA-OPS-153 Prestar servicios de apoyo a la gestión en la Subdirección deAprovechamiento para ejecutar las acciones encaminadas a laimplementación de la Estrategia de cultura ciudadana: La basura no esbasura, en los diferentes territorios de Bogotá, en articulación con eldesarrollo de acciones afirmativas a la población recicladora de oficio,en el marco de la gestión de residuos sólidos.</t>
  </si>
  <si>
    <t>416</t>
  </si>
  <si>
    <t>309</t>
  </si>
  <si>
    <t>52428295</t>
  </si>
  <si>
    <t>PAULA ANDREA IDARRAGA MONDRAGON</t>
  </si>
  <si>
    <t>SA-OPS-159 Prestar servicios de apoyo a la gestión en la Subdirección deAprovechamiento para ejecutar las acciones encaminadas a laimplementación de la Estrategia de cultura ciudadana: La basura no esbasura&lt;(&gt;,&lt;)&gt; en los diferentes territorios de Bogotá, en articulacióncon el desarrollo de acciones afirmativas a la población recicladora deoficio, en el marco de la gestión de residuos sólidos.</t>
  </si>
  <si>
    <t>476</t>
  </si>
  <si>
    <t>80913657</t>
  </si>
  <si>
    <t>JUAN DAVID MILLAN GARCIA</t>
  </si>
  <si>
    <t>SA-OPS-161 Prestar servicios de apoyo a la gestión en la Subdirección deAprovechamiento para ejecutar las acciones encaminadas a laimplementación de la Estrategia de cultura ciudadana: La basura no esbasura, en los diferentes territorios de Bogotá, en articulación con eldesarrollo de acciones afirmativas a la población recicladora de oficio,en el marco de la gestión de residuos sólidos.</t>
  </si>
  <si>
    <t>459</t>
  </si>
  <si>
    <t>352</t>
  </si>
  <si>
    <t>80083754</t>
  </si>
  <si>
    <t>WILLIAM FERNANDO ESCOBAR MENESES</t>
  </si>
  <si>
    <t>SDF06-Prestar los servicios profesionales para apoyar a la Subdirecciónde Disposición Final en los temas tarifarios, regulatorios yadministrativos de su competencia.</t>
  </si>
  <si>
    <t>330</t>
  </si>
  <si>
    <t>237</t>
  </si>
  <si>
    <t>79861695</t>
  </si>
  <si>
    <t>SSF-013 Prestar los servicios profesionales en la Subdirección deServicios Funerarios y Alumbrado Público para apoyar en elacompañamiento psicológico a los usuarios de los servicios funerarios enlos Cementerios propiedad del distrito.</t>
  </si>
  <si>
    <t>293</t>
  </si>
  <si>
    <t>209</t>
  </si>
  <si>
    <t>1121916348</t>
  </si>
  <si>
    <t>LEIDY MARITZA GARCIA BRICEÑO</t>
  </si>
  <si>
    <t>SA-033 Elaboración de avalúos comerciales y de referencia de inmuebles de acuerdo a la solicitud que para tal efecto sean efectuadas por la Unidad Administrativa Especial de Servicios Públicos UAESP</t>
  </si>
  <si>
    <t xml:space="preserve">AVALUOS </t>
  </si>
  <si>
    <t>SA-033 Elaboración de avalúos comerciales y de referencia de inmueblesde acuerdo a la solicitud que para tal efecto sean efectuadas por laUnidad Administrativa Especial de Servicios Públicos UAESP.</t>
  </si>
  <si>
    <t>SSF-003 Prestar los servicios profesionales en la Subdirección deServicios Funerarios y Alumbrado Público en el ámbito de la ingenieríamecánica, para apoyar lo relacionado con los hornos crematorios en losCementerios propiedad del Distrito Capital.</t>
  </si>
  <si>
    <t>208</t>
  </si>
  <si>
    <t>79556122</t>
  </si>
  <si>
    <t>PABLO JAVIER GUZMAN VARGAS</t>
  </si>
  <si>
    <t>SSF-006 Prestar los servicios de apoyo y acompañamiento técnico al componente de Infraestructura de la Subdirección de Servicios  Funerarios y Alumbrado Público.</t>
  </si>
  <si>
    <t>SSF-006 Prestar los servicios de apoyo y acompañamiento técnico alcomponente de Infraestructura de la Subdirección de Servicios Funerariosy Alumbrado Público.</t>
  </si>
  <si>
    <t>SSF-016 Prestar los servicios de apoyo en el archivo virtual deservicios funerarios en el Sistema de Gestión Documental Orfeo de laSubdirección de Servicio Funerario y Alumbrado Público – SSFAP.</t>
  </si>
  <si>
    <t>422</t>
  </si>
  <si>
    <t>320</t>
  </si>
  <si>
    <t>1032469864</t>
  </si>
  <si>
    <t>DIEGO MAURICIO JIMENEZ GRISALES</t>
  </si>
  <si>
    <t>SSF-004 Prestar los servicios profesionales a la Subdirección deServicios Funerarios y Alumbrado Público para apoyar el seguimiento ycontrol técnico de los contratos a cargo de la Subdirección relacionadoscon la prestación de servicios funerarios.</t>
  </si>
  <si>
    <t>295</t>
  </si>
  <si>
    <t>1032391427</t>
  </si>
  <si>
    <t>DARLY ALEJANDRA CALDERON MORENO</t>
  </si>
  <si>
    <t>SAP-002 Prestar los servicios profesionales a la Subdirección deServicios Funerarios y Alumbrado Público, desde el ámbito jurídico en lorelacionado con la prestación del servicio de alumbrado público, quepermita dar cumplimiento a las metas a cargo de la subdirección.</t>
  </si>
  <si>
    <t>22491701</t>
  </si>
  <si>
    <t>PAOLA MARGARITA RUIZ MANOTAS</t>
  </si>
  <si>
    <t>Contratar la prestación de servicios para realizar la auditoría externade seguimiento al sistema de gestión de la Unidad AdministrativaEspecial de Servicios Públicos UAESP, bajo los requisitos definidos porla norma NTC ISO 9001:2015, en virtud de la recertificación otorgada ala entidad en el año 2019.</t>
  </si>
  <si>
    <t xml:space="preserve">auditoria iso </t>
  </si>
  <si>
    <t>1000509331</t>
  </si>
  <si>
    <t>SGS COLOMBIA S.A.S</t>
  </si>
  <si>
    <t>SA-OPS-145 Prestar apoyo a la Subdirección de Aprovechamiento de laUnidad Administrativa Especial de Servicios Públicos -UAESP- paraefectuar procesos de sensibilización en el área de influencia de lasbodegas o ECAS a cargo de la UAESP, recolección, verificación yseguimiento a los datos relacionados con el aprovechamiento, atención ala población recicladora de oficio y apoyo en la administración de talesbodegas o ECAS.</t>
  </si>
  <si>
    <t>297</t>
  </si>
  <si>
    <t>206</t>
  </si>
  <si>
    <t>1030701234</t>
  </si>
  <si>
    <t>CARLOS EDUARDO VARGAS MORA</t>
  </si>
  <si>
    <t>SAP-016 Prestar los servicios de apoyo a la Subdirección de ServiciosFunerarios y Alumbrado Público, orientados al desarrollo de gestionesy/o actividades técnicas y de supervisión para la prestación delservicio de Alumbrado Público en la ciudad de Bogotá.</t>
  </si>
  <si>
    <t>251</t>
  </si>
  <si>
    <t>1118547959</t>
  </si>
  <si>
    <t>ELVIS  DÁVILA</t>
  </si>
  <si>
    <t>SSF-019 Prestar los servicios profesionales para apoyar los procesoslegales y contractuales de la subdirección de servicios funerarios yalumbrado público.</t>
  </si>
  <si>
    <t>375</t>
  </si>
  <si>
    <t>53931862</t>
  </si>
  <si>
    <t>LEYDI YOANA ROMERO MORENO</t>
  </si>
  <si>
    <t>SAP-027 Prestar los servicios de apoyo en la atención de peticiones, quejas y reclamos del aplicativo Sistema Distrital de Quejas y Soluciones  (SDQS), relacionados con la
prestación de Servicios de alumbrado público a cargo de la SSFAP</t>
  </si>
  <si>
    <t>SAP-027 Prestar los servicios de apoyo en la atención de peticiones,quejas y reclamos del aplicativo Sistema Distrital de Quejas ySoluciones (SDQS), relacionados con la prestación de Servicios dealumbrado público a cargo de la SSFAP.</t>
  </si>
  <si>
    <t>376</t>
  </si>
  <si>
    <t>79615810</t>
  </si>
  <si>
    <t>JOHN ALEXANDER ROJAS ORTIZ</t>
  </si>
  <si>
    <r>
      <rPr>
        <sz val="11"/>
        <color indexed="10"/>
        <rFont val="Calibri"/>
        <family val="2"/>
      </rPr>
      <t>SAP-004</t>
    </r>
    <r>
      <rPr>
        <sz val="11"/>
        <color theme="1"/>
        <rFont val="Calibri"/>
        <family val="2"/>
        <scheme val="minor"/>
      </rPr>
      <t xml:space="preserve"> Prestar los servicios de apoyo en el archivo virtual del Sistema de Gestión Documental Orfeo de la Subdirección de Servicios Funerarios y Alumbrado Público – SSFAP.</t>
    </r>
  </si>
  <si>
    <t>Prestar los servicios de apoyo en el archivo virtual del Sistema deGestión Documental Orfeo de la Subdirección de Servicios Funerarios yAlumbrado Público – SSFAP.</t>
  </si>
  <si>
    <t>443</t>
  </si>
  <si>
    <t>336</t>
  </si>
  <si>
    <t>1005294142</t>
  </si>
  <si>
    <t>ANDERSSON DAVID TAVERA AGUDELO</t>
  </si>
  <si>
    <t>SA-OPS-064 Prestar los servicios de apoyo a la de la Subdirección deAprovechamiento para realizar el seguimiento y gestión en los procesosde adquisición, análisis de viabilidad y uso de suelo de los prediospara proyectos de Aprovechamiento</t>
  </si>
  <si>
    <t>303</t>
  </si>
  <si>
    <t>218</t>
  </si>
  <si>
    <t>1050946849</t>
  </si>
  <si>
    <t>DAVID  LUNA AMARIS</t>
  </si>
  <si>
    <t>OAP-003 Prestar los servicios técnicos a la Unidad AdministrativaEspecial de Servicios Públicos UAESP en la implementación, desarrollo ymantenimiento del Modelo Integrado de Planeación y Gestión - MIPG; enparticular, lo relacionado con la Dimensión quinta de Información yComunicación en particular con Política de Gestión Estadística.</t>
  </si>
  <si>
    <t>455</t>
  </si>
  <si>
    <t>347</t>
  </si>
  <si>
    <t>80174339</t>
  </si>
  <si>
    <t>SAF-0019 Prestar servicios de apoyo a la gestión de la SubdirecciónAdministrativa y Financiera de la Unidad Administrativa Especial deServicios Públicos – UAESP, a través de la ejecución de actividadesrelacionadas con la organización física y digital de documentación, laactualización de los inventarios documentales en el formato FUIDadoptado por la Unidad y el proceso de correspondencia.</t>
  </si>
  <si>
    <t>304</t>
  </si>
  <si>
    <t>221</t>
  </si>
  <si>
    <t>79763003</t>
  </si>
  <si>
    <t>SAL-010. Prestar los servicios profesionales a la Subdirección deAsuntos Legales desde el punto de vista jurídico dentro de los procesosde selección y contratación en general, en sus etapas precontractuales,contractuales y postcontractuales teniendo en cuenta los requerimientossolicitados por las diferentes dependencias de la Unidad AdministrativaEspecial de Servicios Públicos.</t>
  </si>
  <si>
    <t>225</t>
  </si>
  <si>
    <t>1020753856</t>
  </si>
  <si>
    <t>MERCY ANGELICA MANCIPE LARA</t>
  </si>
  <si>
    <t>OAP-006 Prestar servicios profesionales a la Unidad AdministrativaEspecial de Servicios Públicos UAESP en la implementación desarrollo ymantenimiento del Modelo Integrado de Planeación y Gestión - MIPG; enparticular lo relacionado con la Política de Gestión de la InformaciónEstadística contenida en la Quinta Dimensión del modelo denominadaInformación y Comunicación.</t>
  </si>
  <si>
    <t>394</t>
  </si>
  <si>
    <t>289</t>
  </si>
  <si>
    <t>79727497</t>
  </si>
  <si>
    <t>ANDRES FERNANDO GARZON GARZON</t>
  </si>
  <si>
    <t>Adición y Prorroga No. 1 al contrato UAESP-601-2020 cuyo objeto es Prestar los servicios profesionales a la Unidad Administrativa Especial de Servicios Públicos - UAESP en la actualización y seguimiento del Plan de Gestión Integral de Residuos Sólidos –PGIRS, Plan de Ordenamiento Territorial –POT- y demás planes y/o políticas públicas o instrumentos de similar naturaleza, relacionados con la Unidad que tengan impacto territorial y/o ambiental</t>
  </si>
  <si>
    <t>Adición y Prorroga No. 1 al contrato UAESP-601-2020 cuyo objeto esPrestar los servicios profesionales a la Unidad Administrativa Especialde Servicios Públicos - UAESP en la actualización y seguimiento del Plande Gestión Integral de Residuos Sólidos –PGIRS, Plan de OrdenamientoTerritorial –POT- y demás planes y/o políticas públicas o instrumentosde similar naturaleza, relacionados con la Unidad que tengan impactoterritorial y/o ambiental.</t>
  </si>
  <si>
    <t>345</t>
  </si>
  <si>
    <t>601</t>
  </si>
  <si>
    <t>1010170256</t>
  </si>
  <si>
    <t>YEIMY PAOLA MANTILLA GARCIA</t>
  </si>
  <si>
    <t>SAL-007. Prestar los servicios profesionales a la Subdirección deAsuntos Legales desde el punto de vista jurídico dentro de los procesosde selección y contratación en general, en sus etapas precontractuales,contractuales y postcontractuales, teniendo en cuenta los requerimientossolicitados por las diferentes dependencias de la Unidad AdministrativaEspecial de Servicios Públicos.</t>
  </si>
  <si>
    <t>222</t>
  </si>
  <si>
    <t>1019012723</t>
  </si>
  <si>
    <t>CATALINA  GUTIERREZ CANO</t>
  </si>
  <si>
    <t>SAL-017. Prestar los servicios profesionales a la Subdirección deAsuntos Legales para el apoyo en la elaboración, seguimiento y trámitede asuntos presupuestales del área, Plan Anual de Adquisiciones (PAA),revisión y trámite de cuentas de cobro, informes de ejecución, entreotros; así como el apoyo a la supervisión y revisión de los estudiosprevios, evaluaciones, procesos de selección y contratación en generalque le sean asignados, en los aspectos financieros.</t>
  </si>
  <si>
    <t>226</t>
  </si>
  <si>
    <t>52187438</t>
  </si>
  <si>
    <t>PAOLA  ROMERO NEIRA</t>
  </si>
  <si>
    <t>SAL-036. Prestar los servicios profesionales desde el punto de vistajurídico para apoyar las actividades relacionadas con el cobropersuasivo y coactivo de las acreencias a favor de la UnidadAdministrativa Especial de Servicios Públicos UAESP.</t>
  </si>
  <si>
    <t>310</t>
  </si>
  <si>
    <t>224</t>
  </si>
  <si>
    <t>1026553771</t>
  </si>
  <si>
    <t>LAURA PAOLA AMAYA IBARRA</t>
  </si>
  <si>
    <t>SAF-0037 Prestar servicios profesionales apoyando a la subdirecciónadministrativa y financiera desde el punto de vista jurídico, con el finde fortalecer la gestión institucional.</t>
  </si>
  <si>
    <t>227</t>
  </si>
  <si>
    <t>1049621380</t>
  </si>
  <si>
    <t>ANGELA MARIA MORALES SANDOVAL</t>
  </si>
  <si>
    <t>SAL-008. Prestar los servicios profesionales a la Subdirección deAsuntos Legales desde el punto de vista jurídico dentro de los procesosde selección y contratación en general, en sus etapas precontractuales,contractuales y postcontractuales teniendo en cuenta los requerimientossolicitados por las diferentes dependencias de la Unidad AdministrativaEspecial de Servicios Públicos.</t>
  </si>
  <si>
    <t>1018406496</t>
  </si>
  <si>
    <t>MARGARITA  RICO PINTO</t>
  </si>
  <si>
    <t>SAL-009. Prestar los servicios profesionales a la Subdirección deAsuntos Legales desde el punto de vista jurídico dentro de los procesosde selección y contratación en general, en sus etapas precontractuales,contractuales y postcontractuales teniendo en cuenta los requerimientossolicitados por las diferentes dependencias de la Unidad AdministrativaEspecial de Servicios Públicos.</t>
  </si>
  <si>
    <t>362</t>
  </si>
  <si>
    <t>257</t>
  </si>
  <si>
    <t>1010177074</t>
  </si>
  <si>
    <t>JAIR MARCEL MAHECHA GARZON</t>
  </si>
  <si>
    <t>SAL-011. Prestar los servicios profesionales a la Subdirección de Asuntos Legales desde el punto de vista jurídico dentro de los procesosde selección y contratación en general, en sus etapas precontractuales,contractuales y postcontractuales, teniendo en cuenta los requerimientossolicitados por las diferentes dependencias de la Unidad AdministrativaEspecial de Servicios Públicos.</t>
  </si>
  <si>
    <t>548</t>
  </si>
  <si>
    <t>52529141</t>
  </si>
  <si>
    <t>NUBIA MARCELA MONSALVE GUIZA</t>
  </si>
  <si>
    <t>SAF-0084 Prestar servicios de apoyo técnico a la SubdirecciónAdministrativa y Financiera, en el marco del Sistema General de Salud ySeguridad en el Trabajo, en la ejecución de actividades de prevención deCOVID-19 y en temas relacionados con las condiciones de salud de loscolaboradores de la entidad, a fin de garantizar el bienestar de losmismos.</t>
  </si>
  <si>
    <t>312</t>
  </si>
  <si>
    <t>223</t>
  </si>
  <si>
    <t>1036665706</t>
  </si>
  <si>
    <t>CARLOS ANDRES QUINTERO CARDONA</t>
  </si>
  <si>
    <t>SAL-19. Prestar servicios de apoyo a la gestión a la Subdirección deAsuntos Legales de la Unidad Administrativa Especial de ServiciosPúblicos – UAESP, mediante la ejecución de actividades administrativas,organización de expedientes, actualización de bases de datos, entreotros, con el fin de apoyar los requerimientos y gestión del grupo decontratación y de los sistemas de información del mismo.</t>
  </si>
  <si>
    <t>399</t>
  </si>
  <si>
    <t>80726564</t>
  </si>
  <si>
    <t>HENRY  OCAMPO FAJARDO</t>
  </si>
  <si>
    <t>SAL-021. Prestar los servicios profesionales jurídicos para apoyar lostrámites de gestión postcontractual en temas de liquidaciones,terminaciones, entre otros, que se adelanten en la Subdirección deAsuntos Legales de la Unidad Administrativa Especial de ServiciosPúblicos - UAESP, así como las actuaciones administrativas y demásasuntos que de ello se deriven.</t>
  </si>
  <si>
    <t>436</t>
  </si>
  <si>
    <t>323</t>
  </si>
  <si>
    <t>1019057898</t>
  </si>
  <si>
    <t>JESSICA PAOLA PACHON CONTRERAS</t>
  </si>
  <si>
    <t>SAL-022. Prestar los servicios profesionales jurídicos para apoyar lostrámites de gestión postcontractual en temas de liquidaciones,terminaciones, entre otros, que se adelanten en la Subdirección deAsuntos Legales de la Unidad Administrativa Especial de ServiciosPúblicos - UAESP, así como las actuaciones administrativas y demásasuntos que de ello se deriven.</t>
  </si>
  <si>
    <t>428</t>
  </si>
  <si>
    <t>316</t>
  </si>
  <si>
    <t>79794425</t>
  </si>
  <si>
    <t>FERNANDO ENRIQUE BOBADILLA NIÑO</t>
  </si>
  <si>
    <t>SA-OPS-141 Prestar apoyo a la Subdirección de Aprovechamiento de laUnidad Administrativa Especial de Servicios Públicos -UAESP- paraefectuar procesos de sensibilización en el área de influencia de lasbodegas o ECAS a cargo de la UAESP, recolección, verificación yseguimiento a los datos relacionados con el aprovechamiento, atención ala población recicladora de oficio y apoyo en la administración de talesbodegas o ECAS.</t>
  </si>
  <si>
    <t>313</t>
  </si>
  <si>
    <t>216</t>
  </si>
  <si>
    <t>1022439955</t>
  </si>
  <si>
    <t>LAURA CATALINA MOSCOSO ANTELIZ</t>
  </si>
  <si>
    <t>SAL-033. Prestar los servicios de apoyo a la gestión a la Subdirecciónde Asuntos Legales de la Unidad Administrativa Especial de ServiciosPúblicos – UAESP, mediante la ejecución de actividades administrativas,creación, seguimiento y actualización de bases de datos, expedienteselectrónicos, organización documental de los archivos y expedientes,entre otros, en cumplimiento de la Ley 594 de 2000 y demás normasvigentes.</t>
  </si>
  <si>
    <t>377</t>
  </si>
  <si>
    <t>1020830820</t>
  </si>
  <si>
    <t>MARIA JOSE MONROY TINJACA</t>
  </si>
  <si>
    <t>SA-OPS-074 Prestar los servicios de apoyo a la gestión mediante laatención presencial, telefónica y/o virtual, gestionando las peticiones,solicitudes, reclamos y trámites de los ciudadanos, poblaciónrecicladora de oficio y organizaciones de recicladores, así como en lacaracterización de la información obtenida en los puntos de atenciónestablecidos por la entidad.</t>
  </si>
  <si>
    <t>217</t>
  </si>
  <si>
    <t>80086669</t>
  </si>
  <si>
    <t>ANDRES  TORRES PINZON</t>
  </si>
  <si>
    <t>SAL-035. Prestar los servicios profesionales desde el punto de vistajurídico para apoyar las actividades relacionadas con el cobropersuasivo y coactivo de las acreencias a favor de la UnidadAdministrativa Especial de Servicios Públicos UAESP.</t>
  </si>
  <si>
    <t>53066484</t>
  </si>
  <si>
    <t>SANDRA MILENA CUMPLIDO</t>
  </si>
  <si>
    <t>SDF01-Prestar servicios profesionales a la Subdirección de Disposiciónfinal de la UAESP apoyando el seguimiento y la gestión de residuos enDoña Juana, en el marco del desarrollo de contratos de Consultoría ycontratos de concesión ejecutados en el predio Doña Juana en especial enel componente de lixiviados.</t>
  </si>
  <si>
    <t>230</t>
  </si>
  <si>
    <t>47439734</t>
  </si>
  <si>
    <t>SAL-037. Prestar los servicios de apoyo a la gestión para apoyar lasactividades técnicas y operativas relacionadas con el cobro persuasivo ycoactivo de las acreencias a favor de la Unidad Administrativa Especialde Servicios Públicos UAESP, y con los procesos administrativossancionatorios adelantados por la Entidad.</t>
  </si>
  <si>
    <t>20878833</t>
  </si>
  <si>
    <t>FRANCY PATRICIA ARDILA BOHORQUEZ</t>
  </si>
  <si>
    <t>SAL-041. Prestar servicios de apoyo a la gestión a la Subdirección deAsuntos Legales de la Unidad Administrativa Especial de ServiciosPúblicos – UAESP, mediante la ejecución de actividades administrativas,organización documental de los expedientes de gestión, entre otros,relacionadas con la gestión del grupo interno formal de asuntosdisciplinarios.</t>
  </si>
  <si>
    <t>333</t>
  </si>
  <si>
    <t>241</t>
  </si>
  <si>
    <t>1083561601</t>
  </si>
  <si>
    <t>JENIFFER PAOLA AFRICANO CARRILLO</t>
  </si>
  <si>
    <t>SAL-047. Prestar los servicios profesionales a la Unidad AdministrativaEspecial de Servicios Públicos desde el punto de vista jurídico apoyandoa la gestión de los temas a cargo de la Subdirección de Asuntos Legales.</t>
  </si>
  <si>
    <t>357</t>
  </si>
  <si>
    <t>261</t>
  </si>
  <si>
    <t>1018470329</t>
  </si>
  <si>
    <t>YURY PAOLA ROBAYO SEPULVEDA</t>
  </si>
  <si>
    <t>SAL-048. Prestar los servicios profesionales desde el punto de vistajurídico para brindar apoyo en el seguimiento y/o proyecto de respuestasa los requerimientos, solicitudes y derechos de petición realizados porlos diferentes entes de control y/o autoridad de orden Nacional y/oDistrital y por los ciudadanos, y que sean de competencia de laSubdirección de Asuntos Legales de la Unidad Administrativa Especial deServicios Públicos-UAESP.</t>
  </si>
  <si>
    <t>298</t>
  </si>
  <si>
    <t>211</t>
  </si>
  <si>
    <t>52265440</t>
  </si>
  <si>
    <t>ALICIA LILIANA HILARION GARZON</t>
  </si>
  <si>
    <t>SAL-050. Prestar los servicios profesionales a la Subdirección deAsuntos Legales, apoyando la ejecución de las actividades relacionadascon los procedimientos institucionales de gestión documental acorde a lodispuesto en la normatividad archivística vigente, y que tengan relacióncon los documentos controlados por esta Subdirección y que hacen partedel sistema integrado de gestión de la Unidad.</t>
  </si>
  <si>
    <t>384</t>
  </si>
  <si>
    <t>41799305</t>
  </si>
  <si>
    <t>JULIA ELVIRA VELOZA MORALES</t>
  </si>
  <si>
    <t>Adición y Prorroga contrato UAESP-750-2020 Prestar Servicios Profesionales a la subdirección administrativa y financiera de la Unidad Administrativa Especial de Servicios Públicos – UAESP, brindando apoyo contable y financiero a las actividades relacionadas con la gestión y administración del Talento Humano.</t>
  </si>
  <si>
    <t>Adición y Prorroga contrato UAESP-750-2020 Prestar ServiciosProfesionales a la subdirección administrativa y financiera de la UnidadAdministrativa Especial de Servicios Públicos – UAESP, brindando apoyocontable y financiero a las actividades relacionadas con la gestión yadministración del Talento Humano.</t>
  </si>
  <si>
    <t>351</t>
  </si>
  <si>
    <t>750</t>
  </si>
  <si>
    <t>52350146</t>
  </si>
  <si>
    <t>FRANCY PAOLA ZUÑIGA GONZALEZ</t>
  </si>
  <si>
    <t>SAF-0003 Prestar servicios de apoyo a la gestión de la SubdirecciónAdministrativa y Financiera de la Unidad Administrativa Especial deServicios Públicos – UAESP, a través de la ejecución de actividadesrelacionadas con la organización física y digital de documentación, laactualización de los inventarios documentales en el formato FUIDadoptado por la Unidad y el proceso de correspondencia.</t>
  </si>
  <si>
    <t>338</t>
  </si>
  <si>
    <t>245</t>
  </si>
  <si>
    <t>1010118375</t>
  </si>
  <si>
    <t>SDF37-Prestar servicios profesionales de apoyo a la Subdirección deDisposición Final en el seguimiento de los componentes técnicos yadministrativos derivados del servicio.</t>
  </si>
  <si>
    <t>231</t>
  </si>
  <si>
    <t>88283840</t>
  </si>
  <si>
    <t>CARLOS GEOVANNY BORDA PEREZ</t>
  </si>
  <si>
    <t>SAL-016. Prestar los servicios profesionales a la Subdirección deAsuntos Legales desde el punto de vista técnico, dentro de los procesosde selección y contratación en general, en sus etapas precontractuales,contractuales y postcontractuales, teniendo en cuenta los requerimientossolicitados por las diferentes dependencias de la Unidad AdministrativaEspecial de Servicios Públicos.</t>
  </si>
  <si>
    <t>402</t>
  </si>
  <si>
    <t>79955729</t>
  </si>
  <si>
    <t>ANDRES FERNANDO MONTEALEGRE RODRIGUEZ</t>
  </si>
  <si>
    <t>PRORROGA Y ADICION No. 1 CONTRATO N° UAESP-646-2020, cuyo objeto de gasto corresponde a: “Prestar servicios profesionales para apoyar a la Subdirección Administrativa y Financiera en el desarrollo de proyectos y programas relacionados con la Gestión Administrativa.”</t>
  </si>
  <si>
    <t>PRORROGA Y ADICION No. 1 CONTRATO N° UAESP-646-2020, cuyo objeto degasto corresponde a: Prestar servicios profesionales para apoyar a laSubdirección Administrativa y Financiera en el desarrollo de proyectos yprogramas relacionados con la Gestión Administrativa.</t>
  </si>
  <si>
    <t>348</t>
  </si>
  <si>
    <t>646</t>
  </si>
  <si>
    <t>52099945</t>
  </si>
  <si>
    <t>SANDRA PATRICIA MORALES CORTES</t>
  </si>
  <si>
    <t>PRORROGA Y ADICION No. 1 CONTRATO N° UAESP-675-2020, Cuyo Objeto corresponde a: “Prestar servicios de apoyo a la gestión al área de talento humano de la subdirección administrativa y financiera de la UAESP en la consolidación, unificación, organización y gestión de información de la dependencia.”</t>
  </si>
  <si>
    <t>OACRI-10 Prestar servicios profesionales para apoyar la creación decontenidos, estrategias y campañas digitales integrales que permitandivulgar efectivamente las actividades de la Unidad AdministrativaEspecial de Servicios Públicos, a través de los diferentes canales decomunicación disponibles en las redes sociales.</t>
  </si>
  <si>
    <t>371</t>
  </si>
  <si>
    <t>265</t>
  </si>
  <si>
    <t>1130610376</t>
  </si>
  <si>
    <t>DAVID ALBERTO REYES DURANGO</t>
  </si>
  <si>
    <t>SAL-020. Prestar Los servicios de apoyo a la gestión de la Subdirección de Asuntos Legales, desde el punto de vista técnico para la implementación del sistema Electrónico de contratación pública II.</t>
  </si>
  <si>
    <t>SAL-020. Prestar Los servicios de apoyo a la gestión de la Subdirecciónde Asuntos Legales, desde el punto de vista técnico para laimplementación del sistema Electrónico de contratación pública II.</t>
  </si>
  <si>
    <t>ADICION Y PRÓRROGA NO. 1 DEL CONTRATO UAESP-662-2020, CUYO OBJETO CONSISTE EN: ““PRESTAR SERVICIOS DE APOYO A LA GESTIÓN DE LA SUBDIRECCIÓN ADMINISTRATIVA Y FINANCIERA DE LA UAESP, DESARROLLANDO ACTIVIDADES OPERATIVAS Y LOGÍSTICAS, QUE CONTRIBUYAN A LA GESTIÓN ADMINISTRATIVA DE LA UNIDAD.”</t>
  </si>
  <si>
    <t>ADICION Y PRÓRROGA NO. 1 DEL CONTRATO UAESP-662-2020, CUYO OBJETOCONSISTE EN: PRESTAR SERVICIOS DE APOYO A LA GESTIÓN DE LA SUBDIRECCIÓNADMINISTRATIVA Y FINANCIERA DE LA UAESP, DESARROLLANDO ACTIVIDADESOPERATIVAS Y LOGÍSTICAS, QUE CONTRIBUYAN A LA GESTIÓN ADMINISTRATIVA DELA UNIDAD.</t>
  </si>
  <si>
    <t>329</t>
  </si>
  <si>
    <t>662</t>
  </si>
  <si>
    <t>52308419</t>
  </si>
  <si>
    <t>SONIA YAZMIN GARCIA RODRIGUEZ</t>
  </si>
  <si>
    <t>OACRI-12 Prestar servicios profesionales para apoyar la elaboración decontenidos periodísticos y la generación de campañas de culturaciudadana y de posicionamiento de la Unidad Administrativa Especial deServicios Públicos, así como el cubrimiento de las actividades quelidere o en las que participe la entidad.</t>
  </si>
  <si>
    <t>374</t>
  </si>
  <si>
    <t>271</t>
  </si>
  <si>
    <t>40341550</t>
  </si>
  <si>
    <t>IVONNE MARITZA VARGAS PADILLA</t>
  </si>
  <si>
    <t>OACRI-01 Prestar servicios para apoyar la realización de grabaciones,diseño, edición, producción y postproducción de las piezas comunicativasy los mensajes institucionales de las áreas misionales de la UnidadAdministrativa Especial de Servicios Públicos.</t>
  </si>
  <si>
    <t>340</t>
  </si>
  <si>
    <t>244</t>
  </si>
  <si>
    <t>1023004130</t>
  </si>
  <si>
    <t>JOHN SEBASTIAN LOPEZ RODRIGUEZ</t>
  </si>
  <si>
    <t>PRORROGA Y ADICION No. 1 CONTRATO N° UAESP-675-2020, Cuyo Objetocorresponde a: Prestar servicios de apoyo a la gestión al área detalento humano de la subdirección administrativa y financiera de laUAESP en la consolidación, unificación, organización y gestión deinformación de la dependencia.</t>
  </si>
  <si>
    <t>353</t>
  </si>
  <si>
    <t>675</t>
  </si>
  <si>
    <t>28893533</t>
  </si>
  <si>
    <t>CARMEN  DEVIA DIAZ</t>
  </si>
  <si>
    <t>Adición y Prorroga contrato UAESP-664-2020 Prestar los servicios profesionales a la Subdirección Administrativa y Financiera especialmente en las actividades jurídicas requeridas en Apoyo Logístico.</t>
  </si>
  <si>
    <t>Adición y Prorroga contrato UAESP-664-2020 Prestar los serviciosprofesionales a la Subdirección Administrativa y Financieraespecialmente en las actividades jurídicas requeridas en ApoyoLogístico.</t>
  </si>
  <si>
    <t>325</t>
  </si>
  <si>
    <t>664</t>
  </si>
  <si>
    <t>31582463</t>
  </si>
  <si>
    <t>NINI JOHANNA LOMBANA VERGARA</t>
  </si>
  <si>
    <t>SAF-0009 Prestar los servicios profesionales en la SubdirecciónAdministrativa y Financiera, para la Administración y ejecución de lasactividades del Sistema de Gestión de Seguridad y Salud en el Trabajo –SGSST de la Unidad y las normas que lo regulan.</t>
  </si>
  <si>
    <t>444</t>
  </si>
  <si>
    <t>79504573</t>
  </si>
  <si>
    <t>ADICION Y PRÓRROGA No. 1 DEL CONTRATO UAESP-680-2020, CUYO OBJETO CONSISTE EN: ““PRESTAR SERVICIOS DE APOYO A LA GESTIÓN DE LA SUBDIRECCIÓN ADMINISTRATIVA Y FINANCIERA DE LA UNIDAD ADMINISTRATIVA ESPECIAL DE SERVICIOS PÚBLICOS – UAESP, A TRAVÉS DE LA EJECUCIÓN DE ACTIVIDADES RELACIONADAS CON LA ORGANIZACIÓN FÍSICA DE LA DOCUMENTACIÓN, LA ACTUALIZACIÓN DE LOS INVENTARIOS DOCUMENTALES EN EL FORMATO FUID ADOPTADO POR LA UNIDAD Y EL PROCESO DE CORRESPONDENCIA”.</t>
  </si>
  <si>
    <t>ADICION Y PRÓRROGA No. 1 DEL CONTRATO UAESP-680-2020, CUYO OBJETOCONSISTE EN: PRESTAR SERVICIOS DE APOYO A LA GESTIÓN DE LA SUBDIRECCIÓNADMINISTRATIVA Y FINANCIERA DE LA UNIDAD ADMINISTRATIVA ESPECIAL DESERVICIOS PÚBLICOS – UAESP, A TRAVÉS DE LA EJECUCIÓN DE ACTIVIDADESRELACIONADAS CON LA ORGANIZACIÓN FÍSICA DE LA DOCUMENTACIÓN, LAACTUALIZACIÓN DE LOS INVENTARIOS DOCUMENTALES EN EL FORMATO FUIDADOPTADO POR LA UNIDAD Y EL PROCESO DE CORRESPONDENCIA.</t>
  </si>
  <si>
    <t>680</t>
  </si>
  <si>
    <t>52233940</t>
  </si>
  <si>
    <t>GEOVANNA  PARRA MELO</t>
  </si>
  <si>
    <t>OAP-011 Prestar servicios profesionales a la Unidad AdministrativaEspecial de Servicios Públicos – UAESP, en la implementación, desarrolloy mantenimiento del Modelo Integrado de Planeación y Gestión MIPG, enparticular con las dimensiones de Direccionamiento Estratégico yPlaneación, Gestión con Valores para Resultados y Evaluación deResultados.</t>
  </si>
  <si>
    <t>318</t>
  </si>
  <si>
    <t>232</t>
  </si>
  <si>
    <t>79756535</t>
  </si>
  <si>
    <t>BLAIR ALEJANDRO TORRES RODRIGUEZ</t>
  </si>
  <si>
    <t>RBL-0025 Prestar los servicios profesionales a la Subdirección deRecolección, Barrido y Limpieza apoyando a la supervisión en larevisión, control y seguimiento a las actividades realizadas por lainterventoría del servicio público de aseo, así como en los aspectostécnicos y operativos relacionados con la prestación del servicio.</t>
  </si>
  <si>
    <t>385</t>
  </si>
  <si>
    <t>1010238072</t>
  </si>
  <si>
    <t>LUISA FERNANDA MORALES SIERRA</t>
  </si>
  <si>
    <t>RBL-0039 Apoyar la Unidad Administrativa Especial de Servicios PúblicosUAESP - en las acciones necesarias para el fortalecimiento de la gestiónsocial en la divulgación y promoción para el manejo adecuado de losresiduos sólidos en las localidades del Distrito Capital.</t>
  </si>
  <si>
    <t>410</t>
  </si>
  <si>
    <t>52261290</t>
  </si>
  <si>
    <t>JOHANNA MILENA MIRANDA MAHECHA</t>
  </si>
  <si>
    <t>RBL-0040 Apoyar la Unidad Administrativa Especial de Servicios PúblicosUAESP - en las acciones necesarias para el fortalecimiento de la gestiónsocial en la divulgación y promoción para el manejo adecuado de losresiduos sólidos en las localidades del Distrito Capital.</t>
  </si>
  <si>
    <t>258</t>
  </si>
  <si>
    <t>11204198</t>
  </si>
  <si>
    <t>JUAN CARLOS CASTILLO QUINTANA</t>
  </si>
  <si>
    <t>RBL-0041 Apoyar la Unidad Administrativa Especial de Servicios PúblicosUAESP - en las acciones necesarias para el fortalecimiento de la gestiónsocial en la divulgación y promoción para el manejo adecuado de losresiduos sólidos en las localidades del Distrito Capital.</t>
  </si>
  <si>
    <t>456</t>
  </si>
  <si>
    <t>356</t>
  </si>
  <si>
    <t>53070910</t>
  </si>
  <si>
    <t>SONIA  LOPEZ RAMIREZ</t>
  </si>
  <si>
    <t>RBL-0043 Prestar los servicios profesionales a la Unidad AdministrativaEspecial de Servicios Públicos - UAESP - para apoyar los aspectos deGestión Social en el marco del seguimiento del servicio de aseo en suscomponentes de recolección, barrido y limpieza y cultura ciudadana entreotros procesos relacionados con la gestión integral tendientes afortalecer el manejo adecuado de residuos sólidos en el DistritoCapital.</t>
  </si>
  <si>
    <t>SDF21-Prestar los servicios profesionales apoyando a la Subdirección deDisposición Final en el seguimiento y control de equipos hidráulicos,mecánicos, eléctricos, de los procesos operativos en la gestión deresiduos en predios Doña Juana.</t>
  </si>
  <si>
    <t>454</t>
  </si>
  <si>
    <t>346</t>
  </si>
  <si>
    <t>74382057</t>
  </si>
  <si>
    <t>CARLOS ANDRES ACERO BELTRAN</t>
  </si>
  <si>
    <t>OAP-010 Prestar servicios profesionales a la Unidad AdministrativaEspecial de Servicios Públicos – UAESP, articulando las metodologías yestrategias para la mejora continua del Modelo Integrado de Planeación yGestión – MIPG.</t>
  </si>
  <si>
    <t>319</t>
  </si>
  <si>
    <t>229</t>
  </si>
  <si>
    <t>1023871243</t>
  </si>
  <si>
    <t>RUTH YAILENA RICAURTE PEÑA</t>
  </si>
  <si>
    <t>SAL-034. Prestar los servicios de apoyo a la gestión a la Subdirecciónde Asuntos Legales de la Unidad Administrativa Especial de ServiciosPúblicos – UAESP, para apoyar la organización documental de losexpedientes de gestión que se encuentran bajo responsabilidad de estaSubdirección, en cumplimiento de la Ley 594 de 2000 del Archivo Generalde la Nación y demás normas vigentes.</t>
  </si>
  <si>
    <t>234</t>
  </si>
  <si>
    <t>19410720</t>
  </si>
  <si>
    <t>JOSE IGNACIO VARGAS MARTINEZ</t>
  </si>
  <si>
    <t>SDF50-Prestar servicios profesionales a la Subdirección de DisposiciónFinal en apoyo a las actividades asociadas al componente social en elárea de influencia indirecta por la gestión de residuos en Doña Juana.</t>
  </si>
  <si>
    <t>435</t>
  </si>
  <si>
    <t>80000431</t>
  </si>
  <si>
    <t>JAVIER FRANCISCO RODRIGUEZ MORENO</t>
  </si>
  <si>
    <t>SAF-0018 Prestar servicios de apoyo a la gestión de la SubdirecciónAdministrativa y Financiera de la Unidad Administrativa Especial deServicios Públicos – UAESP, a través de la ejecución de actividadesrelacionadas con la organización física y digital de documentación, laactualización de los inventarios documentales en el formato FUIDadoptado por la Unidad y el proceso de correspondencia.</t>
  </si>
  <si>
    <t>321</t>
  </si>
  <si>
    <t>233</t>
  </si>
  <si>
    <t>52766365</t>
  </si>
  <si>
    <t>SDF08-Prestar los servicios profesionales para apoyar a la Subdirecciónde Disposición Final en el seguimiento y control de las obligacionescontractuales de los consultores, constructores y concesionarioscontratados por UAESP.</t>
  </si>
  <si>
    <t>425</t>
  </si>
  <si>
    <t>324</t>
  </si>
  <si>
    <t>79913115</t>
  </si>
  <si>
    <t>SDF39-Prestar los servicios profesionales a la Subdirección deDisposición Final en informes de cumplimiento ambiental ICAs yseguimiento de actividades inmersas en la Licencia Ambiental del RellenoSanitario - predio Doña Juana.</t>
  </si>
  <si>
    <t>238</t>
  </si>
  <si>
    <t>37332210</t>
  </si>
  <si>
    <t>EVANGELINA  AMAYA SANTIAGO</t>
  </si>
  <si>
    <t>SDF43-Prestación de servicios profesionales para brindar apoyo a laSubdirección de Disposición Final de la UAESP, desde el componente de laingeniería civil, en obras de actividades operativas y deinfraestructura que requiera el área.</t>
  </si>
  <si>
    <t>440</t>
  </si>
  <si>
    <t>327</t>
  </si>
  <si>
    <t>1032468534</t>
  </si>
  <si>
    <t>PAULA ANDREA SANCHEZ GARCIA</t>
  </si>
  <si>
    <t>SAF-0012 Prestar servicios de apoyo a la gestión de la SubdirecciónAdministrativa y Financiera de la Unidad Administrativa Especial deServicios Públicos – UAESP, a través de la ejecución de actividadesrelacionadas con la organización física y digital de documentación, laactualización de los inventarios documentales en el formato FUIDadoptado por la Unidad y el proceso de correspondencia.</t>
  </si>
  <si>
    <t>474</t>
  </si>
  <si>
    <t>358</t>
  </si>
  <si>
    <t>1023866928</t>
  </si>
  <si>
    <t>SAF-0080 Prestar servicios profesionales apoyando a la SubdirecciónAdministrativa y Financiera en las actividades inherentes al servicio deatención al ciudadano de la Unidad Administrativa Especial de ServiciosPúblicos – UAESP con el fin de fortalecer la gestión institucional.</t>
  </si>
  <si>
    <t>465</t>
  </si>
  <si>
    <t>17588137</t>
  </si>
  <si>
    <t>WILLIAM  SANTANA SILVA</t>
  </si>
  <si>
    <t>SAF-0021 Prestar servicios de apoyo a la gestión de la SubdirecciónAdministrativa y Financiera de la Unidad Administrativa Especial deServicios Públicos – UAESP, a través de la ejecución de actividadesrelacionadas con la organización física y digital de documentación, laactualización de los inventarios documentales en el formato FUIDadoptado por la Unidad y el proceso de correspondencia.</t>
  </si>
  <si>
    <t>369</t>
  </si>
  <si>
    <t>270</t>
  </si>
  <si>
    <t>53116356</t>
  </si>
  <si>
    <t>Adición y prórroga del contrato No. UAESP-729-2020 cuyo objeto es “Prestar servicios de apoyo a la gestión de la Subdirección Administrativa y Financiera de la Unidad Administrativa Especial de Servicios Públicos – UAESP, a través de la ejecución de actividades relacionadas con la organización física de la documentación, la actualización de los inventarios documentales en el formato FUID adoptado por la Unidad y el proceso de correspondencia”.</t>
  </si>
  <si>
    <t>Adición y prórroga del contrato No. UAESP-729-2020 cuyo objeto esPrestar servicios de apoyo a la gestión de la SubdirecciónAdministrativa y Financiera de la Unidad Administrativa Especial deServicios Públicos – UAESP, a través de la ejecución de actividadesrelacionadas con la organización física de la documentación, laactualización de los inventarios documentales en el formato FUIDadoptado por la Unidad y el proceso de correspondencia.</t>
  </si>
  <si>
    <t>326</t>
  </si>
  <si>
    <t>729</t>
  </si>
  <si>
    <t>1031135260</t>
  </si>
  <si>
    <t>TANIA CAROLINA MARTINEZ MARTINEZ</t>
  </si>
  <si>
    <t>RBL-0026 Prestar los servicios profesionales a la Subdirección deRecolección, Barrido y Limpieza de la Unidad Administrativa Especial deServicios Públicos – UAESP, en el apoyo a la supervisión, especialmenteen aspectos de gestión empresarial y en el seguimiento de loscomponentes comerciales y financieros del esquema de prestación delservicio público de aseo en el Distrito Capital.</t>
  </si>
  <si>
    <t>468</t>
  </si>
  <si>
    <t>80060727</t>
  </si>
  <si>
    <t>WILLIAM DANIEL PATIÑO PATIÑO</t>
  </si>
  <si>
    <t>RBL- 0028 Prestar los servicios profesionales a la Subdirección deRecolección, Barrido y Limpieza apoyando a la supervisión en larevisión, control y seguimiento a las actividades realizadas por lainterventoría del servicio público de aseo; así como en los aspectostécnicos y operativos relacionados con la implementación del Plan deGestión Integral de Residuos Sólidos - PGIRS, en los programas asignadosa la Subdirección de RBL.</t>
  </si>
  <si>
    <t>473</t>
  </si>
  <si>
    <t>80761667</t>
  </si>
  <si>
    <t>VICTOR HUGO SOCADAGUI SANCHEZ</t>
  </si>
  <si>
    <t>RBL-0029 Prestar los servicios profesionales a la Subdirección deRecolección, Barrido y Limpieza de la Unidad Administrativa Especial deServicios Públicos, apoyando a la supervisión en los aspectos decarácter técnico, operativo, normativo, ambiental, sanitario y decalidad, inherentes a los esquemas de prestación del servicio y degestión integral de residuos sólidos generados en el Distrito Capital.</t>
  </si>
  <si>
    <t>513</t>
  </si>
  <si>
    <t>52822148</t>
  </si>
  <si>
    <t>VIVIANA ROCIO REYES DUARTE</t>
  </si>
  <si>
    <t>RBL- 0030 Prestar los servicios profesionales a la Subdirección deRecolección, Barrido y Limpieza apoyando a la supervisión en larevisión, control y seguimiento a las actividades realizadas por lainterventoría del servicio público de aseo; así como en los aspectostécnicos y operativos relacionados con la implementación del Plan deGestión Integral de Residuos Sólidos - PGIRS, en los programas asignadosa la Subdirección de RBL.</t>
  </si>
  <si>
    <t>433</t>
  </si>
  <si>
    <t>1020726172</t>
  </si>
  <si>
    <t>DIANA MARCELA PERDOMO BELTRAN</t>
  </si>
  <si>
    <t>RBL- 0031 Prestar los servicios profesionales a la Subdirección deRecolección, Barrido y Limpieza apoyando a la supervisión en larevisión, control y seguimiento a las actividades realizadas por lainterventoría del servicio público de aseo; así como en los aspectostécnicos y operativos relacionados con la implementación del Plan deGestión Integral de Residuos Sólidos - PGIRS, en los programas asignadosa la Subdirección de RBL.</t>
  </si>
  <si>
    <t>393</t>
  </si>
  <si>
    <t>1020775068</t>
  </si>
  <si>
    <t>MARIA ELENA POVEDA MURCIA</t>
  </si>
  <si>
    <t>Adición N. 1 al contrato UAESP-644-2020 cuyo objeto es “Prestar servicios profesionales a la Unidad Administrativa Especial de Servicios Públicos – UAESP, para apoyar a la Oficina Asesora de Planeación en la implementación, desarrollo y seguimiento del Modelo Integrado de Planeación y Gestión MIPG, en las dimensiones 3,5 y 6</t>
  </si>
  <si>
    <t>Adición N. 1 al contrato UAESP-644-2020 cuyo objeto es Prestar serviciosprofesionales a la Unidad Administrativa Especial de Servicios Públicos– UAESP, para apoyar a la Oficina Asesora de Planeación en laimplementación, desarrollo y seguimiento del Modelo Integrado dePlaneación y Gestión MIPG, en las dimensiones 3,5 y 6.</t>
  </si>
  <si>
    <t>644</t>
  </si>
  <si>
    <t>1013586039</t>
  </si>
  <si>
    <t>KELLY JOHANNA AVILA RAVELO</t>
  </si>
  <si>
    <t>Adición y Prórroga N. 1 al contrato UAESP-663-2020 cuyo Objeto es “Prestar servicios profesionales para apoyar a la Oficina Asesora de Planeación en la organización de los
procesos de revisión y ajustes del Plan Integral de Gestión de Residuos Sólidos – PGIRS y del Plan de Ordenamiento Territorial - POT, así como coadyuvar en la revisión de los planes y/o políticas públicas o instrumentos de similar naturaleza, relacionadas con la Unidad, que tengan impacto territorial y/o ambiental”.</t>
  </si>
  <si>
    <t>Adición y Prórroga N. 1 al contrato UAESP-663-2020 cuyo Objeto es:Prestar servicios profesionales para apoyar a la Oficina Asesora dePlaneación en la organización de los procesos de revisión y ajustes delPlan Integral de Gestión de Residuos Sólidos – PGIRS y del Plan deOrdenamiento Territorial - POT, así como coadyuvar en la revisión de losplanes y/o políticas públicas o instrumentos de similar naturaleza,relacionadas con la Unidad, que tengan impacto territorial y/oambiental.</t>
  </si>
  <si>
    <t>663</t>
  </si>
  <si>
    <t>52370324</t>
  </si>
  <si>
    <t>ANGELA MARIA GAYON MARTINEZ</t>
  </si>
  <si>
    <t>Adición y Prórroga N. 1 al contrato UAESP-643-2020 cuyo Objeto es Prestar los servicios profesionales para apoyar a la Oficina Asesora de Planeación en la formulación y seguimiento del PGIRS, y el Plan de Ordenamiento Territorial (POT), o cualquier plan, política pública u instrumento similar que tenga impactos sobre el territorio, suministrando una visión integral en el marco de los servicios que presta la entidad en los contextos urbano y rural.</t>
  </si>
  <si>
    <t>Adición y Prórroga N. 1 al contrato UAESP-643-2020 cuyo Objeto esPrestar los servicios profesionales para apoyar a la Oficina Asesora dePlaneación en la formulación y seguimiento del PGIRS, y el Plan deOrdenamiento Territorial (POT), o cualquier plan, política pública uinstrumento similar que tenga impactos sobre el territorio,suministrando una visión integral en el marco de los servicios quepresta la entidad en los contextos urbano y rural.</t>
  </si>
  <si>
    <t>643</t>
  </si>
  <si>
    <t>79157641</t>
  </si>
  <si>
    <t>GABRIEL  CORDOBA BONILLA</t>
  </si>
  <si>
    <t>SAF-0007 PRESTAR SERVICIOS PROFESIONALES PARA APOYAR A LA SUBDIRECCIÓNADMINISTRATIVA Y FINANCIERA EN EL PROCESO DE GESTIÓN DE TALENTO HUMANOEN LO PERTINENTE A LAS ACTIVIDADES DE PLAN ESTRATÉGICO DE TALENTOHUMANO.</t>
  </si>
  <si>
    <t>431</t>
  </si>
  <si>
    <t>53100506</t>
  </si>
  <si>
    <t>SAF-0008 PRESTAR SERVICIOS PROFESIONALES PARA APOYAR A LA SUBDIRECCIÓNADMINISTRATIVA Y FINANCIERA EN LA IMPLEMENTACIÓN, COORDINACIÓN YEJECUCIÓN DE LAS ACTIVIDADES DEL SISTEMA DE SEGURIDAD Y SALUD EN ELTRABAJO EN LOS TEMAS DE SU ESPECIALIDAD.</t>
  </si>
  <si>
    <t>438</t>
  </si>
  <si>
    <t>332</t>
  </si>
  <si>
    <t>79956761</t>
  </si>
  <si>
    <t>OCI-0004 Prestación de servicios profesionales para contribuir aldesarrollo de auditorías, evaluaciones y/o seguimientos SistemaIntegrado de Gestión y planes operativos y desempeño de procesos delsistema de gestión de la UAESP, de conformidad con los procedimientos einstructivos determinados por la Oficina de Control Interno de la UAESP.</t>
  </si>
  <si>
    <t>235</t>
  </si>
  <si>
    <t>91017650</t>
  </si>
  <si>
    <t>IVAN DARIO SIERRA BALLESTEROS</t>
  </si>
  <si>
    <t>TIC - 0030 Prestar servicios profesionales en el desarrollo deactividades tendientes a los procesos de planeación, programación yseguimiento presupuestal, así como también apoyar con el cumplimientodel lineamiento de Gobierno Digital.</t>
  </si>
  <si>
    <t>424</t>
  </si>
  <si>
    <t>52847621</t>
  </si>
  <si>
    <t>GISELA AMINTA ARIAS SALAZAR</t>
  </si>
  <si>
    <t>TIC - 0031 Prestar servicios profesionales a la Oficina de TIC para lagestión tecnológica a partir de los requerimientos técnicos de lasnecesidades TI, así como la estructuración de los procesos deadquisición de bienes y servicios en la Tienda Virtual del EstadoColombiano - TVEC.</t>
  </si>
  <si>
    <t>373</t>
  </si>
  <si>
    <t>263</t>
  </si>
  <si>
    <t>52541658</t>
  </si>
  <si>
    <t>LAURA MARCELA PAIBA MOLANO</t>
  </si>
  <si>
    <t>SAL-020. Prestar servicios profesionales a la Subdirección de AsuntosLegales, desde el punto de vista técnico para la implementación delSistema Electrónico de Contratación Pública II.</t>
  </si>
  <si>
    <t>341</t>
  </si>
  <si>
    <t>249</t>
  </si>
  <si>
    <t>1030613081</t>
  </si>
  <si>
    <t>ESTEBAN MAURICIO VARGAS CAMACHO</t>
  </si>
  <si>
    <t>SAF-0066 Prestar servicios de apoyo a la gestión de la SubdirecciónAdministrativa y Financiera de la Unidad Administrativa Especial deServicios Públicos – UAESP, a través de la ejecución de actividadesrelacionadas con la organización física y digital de documentación, laactualización de los inventarios documentales en el formato FUIDadoptado por la Unidad y el proceso de correspondencia.</t>
  </si>
  <si>
    <t>409</t>
  </si>
  <si>
    <t>302</t>
  </si>
  <si>
    <t>53036424</t>
  </si>
  <si>
    <t>INGRID PAOLA PEDRAZA CARVAJAL</t>
  </si>
  <si>
    <t>SAL-046. Prestar los servicios profesionales a la Subdirección deAsuntos Legales, apoyando las actividades relacionadas con elmantenimiento y actualización de los documentos controlados asociados alos procesos, así como en la elaboración, consolidación y revisión deinformes que deban presentarse ante las autoridades del orden nacional,distrital y a los órganos de control, realizando las conciliacionespresupuestales a que haya lugar.</t>
  </si>
  <si>
    <t>SAL-053. Prestar los servicios profesionales a la Unidad Administrativa Especial de Servicios Públicos desde el punto de vista jurídico apoyando a la gestión de los temas a cargo de la Subdirección de Asuntos Legales, para la elaboración de documentos legales, actos administrativos, informes, respuestas a solicitudes, derechos de petición, entre otros.</t>
  </si>
  <si>
    <t>SAL-053. Prestar los servicios profesionales a la Unidad AdministrativaEspecial de Servicios Públicos desde el punto de vista jurídico apoyandoa la gestión de los temas a cargo de la Subdirección de Asuntos Legales,para la elaboración de documentos legales, actos administrativos,informes, respuestas a solicitudes, derechos de petición, entre otros.</t>
  </si>
  <si>
    <t>SAF-0069 Prestar servicios de apoyo a la gestión de la SubdirecciónAdministrativa y Financiera de la Unidad Administrativa Especial deServicios Públicos – UAESP, a través de la ejecución de actividadesrelacionadas con la organización física y digital de documentación, laactualización de los inventarios documentales en el formato FUIDadoptado por la Unidad y el proceso de correspondencia.</t>
  </si>
  <si>
    <t>408</t>
  </si>
  <si>
    <t>299</t>
  </si>
  <si>
    <t>80829974</t>
  </si>
  <si>
    <t>JULIO ANDRES RODRIGUEZ ROJAS</t>
  </si>
  <si>
    <t>SAL-023. Prestar los servicios profesionales para apoyar el componente económico y financiero de los trámites de gestión contractual o postcontractual que se adelantan en la Subdirección de Asuntos Legales de la Unidad Administrativa Especial de Servicios Públicos UAESP, en temas tales como, revisión de liquidaciones, pasivos exigibles, reservas o saldos presupuestales, suficiencia de garantías u otros, así como en el apoyo financiero en los procesos administrativos sancionatorios que se le asignen..</t>
  </si>
  <si>
    <t>SAL-023. Prestar los servicios profesionales para apoyar el componenteeconómico y financiero de los trámites de gestión contractual opostcontractual que se adelantan en la Subdirección de Asuntos Legalesde la Unidad Administrativa Especial de Servicios Públicos UAESP, entemas tales como, revisión de liquidaciones, pasivos exigibles, reservaso saldos presupuestales, suficiencia de garantías u otros, así como enel apoyo financiero en los procesos administrativos sancionatorios quese le asignen.</t>
  </si>
  <si>
    <t>SA-OPS-001 Arrendamiento del inmueble ubicado en la dirección Carrera 21No. 164 – 82 de la Localidad de Usaquén de la ciudad de Bogotá D.C.,para llevar a cabo actividades de separación, pesaje y/o transformaciónde material potencialmente aprovechable recolectado y transportado porrecicladores de oficio.</t>
  </si>
  <si>
    <t>448</t>
  </si>
  <si>
    <t>CONTRATO DE ARRENDAMIENTO</t>
  </si>
  <si>
    <t>900149653</t>
  </si>
  <si>
    <t>METRICA CONSULTORES S A S</t>
  </si>
  <si>
    <t>SDF60-B-Prestar servicios profesionales en áreas de la IngenieríaAmbiental y/o Sanitaria para realizar el apoyo a la Supervisión en elmarco del desarrollo de contratos de Consultorías para la gestión deresiduos a cargo de la Subdirección de Disposición final de la UAESP.</t>
  </si>
  <si>
    <t>418</t>
  </si>
  <si>
    <t>74859350</t>
  </si>
  <si>
    <t>ALBEIRO ANTONIO PORRAS ALVAREZ</t>
  </si>
  <si>
    <t>SDF52-B-Prestar servicios profesionales como especialista en Tratamientode Residuos para realizar el apoyo a la Supervisión en el marco deldesarrollo de contratos de Consultorías para la gestión de residuos acargo de la Subdirección de Disposición final de la UAESP.</t>
  </si>
  <si>
    <t>452</t>
  </si>
  <si>
    <t>8027343</t>
  </si>
  <si>
    <t>SANTIAGO  GONZALEZ ECHEVERRY</t>
  </si>
  <si>
    <t>SAF-0042 Prestar los servicios profesionales para apoyar los procesos,así como el seguimiento en la ejecución, de los planes y programas delárea de Talento Humano de la Subdirección Administrativa y Financiera dela UAESP.</t>
  </si>
  <si>
    <t>260</t>
  </si>
  <si>
    <t>52852083</t>
  </si>
  <si>
    <t>SANDRA MILENA GONZALEZ LEYTON</t>
  </si>
  <si>
    <t>SAF-0056 Prestar servicios profesionales apoyando a la SubdirecciónAdministrativa y Financiera desde el punto de vista jurídico, con el finde fortalecer la gestión institucional.</t>
  </si>
  <si>
    <t>404</t>
  </si>
  <si>
    <t>1020743056</t>
  </si>
  <si>
    <t>Adicón y Prórroga No. 1 del contrato UAESP-747-2020 cuyo objeto es: “Prestar los servicios profesionales para apoyar a la Oficina Asesora de Planeación de la Unidad Administrativa Especial de Servicios Públicos, para el desarrollo de las actividades requeridas en cumplimiento de los planes de acción, y alertas tempranas de las políticas públicas con enfoque poblacional, diferencial y de derechos humanos”.</t>
  </si>
  <si>
    <t>Adición y Prórroga No. 1 del contrato UAESP-747-2020 cuyo objeto es:Prestar los servicios profesionales para apoyar a la Oficina Asesora dePlaneación de la Unidad Administrativa Especial de Servicios Públicos,para el desarrollo de las actividades requeridas en cumplimiento de losplanes de acción, y alertas tempranas de las políticas públicas conenfoque poblacional, diferencial y de derechos humanos.</t>
  </si>
  <si>
    <t>747</t>
  </si>
  <si>
    <t>37915950</t>
  </si>
  <si>
    <t>ELDA MARINA RUEDA TOBON</t>
  </si>
  <si>
    <t>Adición y prórroga del contrato No. Contrato No. UAESP-507-2020 cuyo objeto es “Prestar servicios profesionales y de apoyo a la Subdirección Administrativa y Financiera de la Unidad Administrativa Especial de Servicios Públicos - UAESP, en la ejecución de las actividades relacionadas con la planeación, implementación, seguimiento y control de los procesos y/o procedimientos institucionales de gestión documental de la Entidad acorde a lo dispuesto en la normatividad archivística vigente.”</t>
  </si>
  <si>
    <t>Adición y prórroga del contrato No. Contrato No. UAESP-507-2020 cuyoobjeto es Prestar servicios profesionales y de apoyo a la SubdirecciónAdministrativa y Financiera de la Unidad Administrativa Especial deServicios Públicos - UAESP, en la ejecución de las actividadesrelacionadas con la planeación, implementación, seguimiento y control delos procesos y/o procedimientos institucionales de gestión documental dela Entidad acorde a lo dispuesto en la normatividad archivísticavigente.</t>
  </si>
  <si>
    <t>507</t>
  </si>
  <si>
    <t>79359561</t>
  </si>
  <si>
    <t>CARLOS NEIRON PUENTES ROJAS</t>
  </si>
  <si>
    <t>SAF-0043 Prestar servicios profesionales para apoyar desde el punto de vista juridico a la Subdirección Administrativa y Financiera, en los temas relacionados con el derecho administrativo, contractual y laboral público</t>
  </si>
  <si>
    <t>SAF-0043 Prestar servicios profesionales para apoyar desde el punto devista jurídico a la Subdirección Administrativa y Financiera, en lostemas relacionados con el derecho administrativo, contractual y laboralpúblico.</t>
  </si>
  <si>
    <t>SAF-0016 Prestar servicios de apoyo a la gestión de la SubdirecciónAdministrativa y Financiera de la UAESP, desarrollando actividadesrelacionadas en el Sistema de Gestión de Seguridad y Salud en el Trabajo– SGSST de la Unidad y las normas que lo regulan.</t>
  </si>
  <si>
    <t>SA-OPS-051 Prestación de servicios de apoyo a la gestión relacionada con la separación insitu de los residuos de construcción y demolición -RCD- que están mezclados y se encuentran en los puntos críticos y/o de arrojo clandestino de la ciudad de Bogotá, asignados por la Unidad Administrativa Especial de Servicios Publicas -UAESP-, que le permita obtener a la organización de recicladores el material aprovechable de cada punto para la zona 3</t>
  </si>
  <si>
    <t>SA-OPS-051 Prestación de servicios de apoyo a la gestión relacionada conla separación insitu de los residuos de construcción y demolición -RCD-que están mezclados y se encuentran en los puntos críticos y/o de arrojoclandestino de la ciudad de Bogotá, asignados por la UnidadAdministrativa Especial de Servicios Publicas -UAESP-, que le permitaobtener a la organización de recicladores el material aprovechable decada punto para la zona 3.</t>
  </si>
  <si>
    <t>SA-OPS-072 Prestar servicios profesionales a la Subdirección deAprovechamiento, en la formulación e implementación de procesos yproyectos de aprovechamiento y tratamiento de residuos, en el marco dela política de economía circular y del manejo integral de residuossólidos.</t>
  </si>
  <si>
    <t>439</t>
  </si>
  <si>
    <t>1023007140</t>
  </si>
  <si>
    <t>TATIANA ALEJANDRA GONZALEZ ROMERO</t>
  </si>
  <si>
    <t>SDF02-Prestar Servicios profesionales para el desarrollo de losproyectos de inversión, desde la etapa precontractual, así como el apoyoal seguimiento de los proyectos adelantados por la Subdirección deDisposición Final de la Unidad Administrativa Especial de ServiciosPúblicos - UAESP.,,</t>
  </si>
  <si>
    <t>403</t>
  </si>
  <si>
    <t>52539251</t>
  </si>
  <si>
    <t>KARELL LETICIA USECHE BARAHONA</t>
  </si>
  <si>
    <t>Adición y Prorroga No. 1 del contrato UAESP-746-2020 cuyo objeto es: “Prestar los servicios de apoyo administrativo a la Oficina Asesora de Planeación –OAP, en las actividades declasificación, depuración y organización física de los documentos correspondientes a las vigencias anteriores al 2018, remitidos al archivo de gestión sin la respectiva intervención de que trata la normativa vigente”.</t>
  </si>
  <si>
    <t>Adición y Prorroga No. 1 del contrato UAESP-746-2020 cuyo objeto es:Prestar los servicios de apoyo administrativo a la Oficina Asesora dePlaneación –OAP, en las actividades declasificación, depuración yorganización física de los documentos correspondientes a las vigenciasanteriores al 2018, remitidos al archivo de gestión sin la respectivaintervención de que trata la normativa vigente.</t>
  </si>
  <si>
    <t>746</t>
  </si>
  <si>
    <t>41694261</t>
  </si>
  <si>
    <t>JUDITH  GUTIERREZ ROBLES</t>
  </si>
  <si>
    <t>SAF-0006 Prestar servicios profesionales a la subdirecciónadministrativa y financiera de la Unidad Administrativa Especial deServicios Públicos – UAESP, brindando apoyo en la ejecución deactividades relacionadas con la gestión y administración del talentohumano, así como aquellas de índole financiero y contable.</t>
  </si>
  <si>
    <t>446</t>
  </si>
  <si>
    <t>80393754</t>
  </si>
  <si>
    <t>SAF-0074 Prestar servicios de apoyo a la gestión a la SubdirecciónAdministrativa y Financiera de la UAESP desarrollando las actividades deconducción de vehículos automotores con la responsabilidad y habilidadrequerida, procurando el uso adecuado del automotor asignado ycumpliendo con las normas de tránsito.</t>
  </si>
  <si>
    <t>447</t>
  </si>
  <si>
    <t>1012365723</t>
  </si>
  <si>
    <t>IVAN DARIO SAAVEDRA CALDERON</t>
  </si>
  <si>
    <t>SAF-0025 Prestar servicios profesionales apoyando a la SubdirecciónAdministrativa y Financiera en las actividades inherentes al servicio deatención al ciudadano de la Unidad Administrativa Especial de ServiciosPúblicos – UAESP con el fin de fortalecer la gestión institucional.</t>
  </si>
  <si>
    <t>SAF-0010 Prestar servicios profesionales para apoyar a la UnidadAdministrativa Especial de Servicios Públicos de Bogotá, en losproyectos de carácter técnico de la infraestructura de sus sedesadministrativas.</t>
  </si>
  <si>
    <t>427</t>
  </si>
  <si>
    <t>79971696</t>
  </si>
  <si>
    <t>SAF-0071 Prestar servicios profesionales para apoyar a la UnidadAdministrativa Especial de Servicios Públicos - UAESP, en los temas yproyectos de carácter técnico relacionados con la prestación de losservicios a cargo de la Unidad y su infraestructura.</t>
  </si>
  <si>
    <t>442</t>
  </si>
  <si>
    <t>7223148</t>
  </si>
  <si>
    <t>JAIRO ARTURO SANDOVAL MOJICA</t>
  </si>
  <si>
    <t>NO PAA OACRI-13 Prestar servicios profesionales para apoyar la producción, post producción y finalización de contenidos audiovisuales y fotográficos  relacionados con la misionalidad de la Unidad Administrativa Especial de Servicios Públicos</t>
  </si>
  <si>
    <t>OACRI-13 Prestar servicios profesionales para apoyar la producción, postproducción y finalización de contenidos audiovisuales y fotográficosrelacionados con la misionalidad de la Unidad Administrativa Especial deServicios Públicos.</t>
  </si>
  <si>
    <t>SAF-0072 Prestar servicios profesionales de apoyo a la SubdirecciónAdministrativa y Financiera UAESP, en la ejecución de actividadesrelacionadas con el proceso de registro, revisión, parametrización,control y armonización de la información contable y financiera en elmarco normativo de entidades del Gobierno, de acuerdo con las normasvigentes y en los aplicativos correspondientes.</t>
  </si>
  <si>
    <t>420</t>
  </si>
  <si>
    <t>317</t>
  </si>
  <si>
    <t>1048848407</t>
  </si>
  <si>
    <t>WILMA JHULIETA GUZMAN SOSA</t>
  </si>
  <si>
    <t>Adición y prorroga No. 1 - Contrato UAESP- 567 -2020. “Prestar servicios profesionales a la Subdirección Administrativa y Financiera de la UAESP, en el desarrollo de las actividades los planes y programas de la Gestión de Talento Humano”</t>
  </si>
  <si>
    <t>Adición y prorroga No. 1 - Contrato UAESP- 567 -2020. Prestar serviciosprofesionales a la Subdirección Administrativa y Financiera de la UAESP,en el desarrollo de las actividades los planes y programas de la Gestiónde Talento Humano.</t>
  </si>
  <si>
    <t>382</t>
  </si>
  <si>
    <t>567</t>
  </si>
  <si>
    <t>1032453815</t>
  </si>
  <si>
    <t>SHARON TATIANA AMAYA GARCIA</t>
  </si>
  <si>
    <t>OACRI-14 Prestar servicios profesionales para apoyar las actividadeslegales y/o jurídicas que le competen a la oficina de comunicaciones,así como adelantar los procedimientos previos y necesarios para lacontratación que requiera la misma al interior de la UnidadAdministrativa Especial de Servicios Públicos.</t>
  </si>
  <si>
    <t>449</t>
  </si>
  <si>
    <t>36312413</t>
  </si>
  <si>
    <t>Pago a la Secretaría Distrital de Ambiente para los servicios de Evaluación de las solicitudes de renovación de los permisos de emisiones atmosféricas para los hornos crematorios localizados en el cementerio Distrital del Norte y Cementerio Distrital del Sur.</t>
  </si>
  <si>
    <t>Pago a la Secretaría Distrital de Ambiente para los servicios deEvaluación de las solicitudes de renovación de los permisos de emisionesatmosféricas para los hornos crematorios localizados en el cementerioDistrital del Norte y Cementerio Distrital del Sur.</t>
  </si>
  <si>
    <t>389</t>
  </si>
  <si>
    <t>160</t>
  </si>
  <si>
    <t>Adición y prorroga al contrato No. UAESP-681-2020 cuyo objeto es: Prestar apoyo a la Oficina de TIC en todo lo relacionado a programas informáticos y desarrollo de aplicaciones.</t>
  </si>
  <si>
    <t>Adición y prorroga al contrato No. UAESP-681-2020 cuyo objeto es:Prestar apoyo a la Oficina de TIC en todo lo relacionado a programasinformáticos y desarrollo de aplicaciones.</t>
  </si>
  <si>
    <t>681</t>
  </si>
  <si>
    <t>79881311</t>
  </si>
  <si>
    <t>EDGAR ALEXANDER MOLANO ROMERO</t>
  </si>
  <si>
    <t>SA-OPS-154 Prestar apoyo a la Subdirección de Aprovechamiento de laUnidad Administrativa Especial de Servicios Públicos -UAESP-, paraapoyar en la construcción e implementación de la Política Pública delServicio de Aseo, el Plan de Gestión Integral de Residuos Sólidos -PGIRS-, Plan de Ordenamiento Territorial -POT-, Residuos de laDemolición y Construcción -RCD- y en el modelo de aprovechamiento deacuerdo con lo establecido en el Plan de Desarrollo Distrital y losautos de la Honorable Corte Constitucional desde el componente deaprovechamiento en el Distrito Capital.</t>
  </si>
  <si>
    <t>SA-OPS-176 Prestar servicios de apoyo a la gestión de la Subdirección deAprovechamiento, en la formulación de iniciativas de emprendimiento enel marco del reciclaje y de la economía circular en el componente de RCDproveniente de pequeños generadores en el Distrito Capital incluido suaprovechamiento y separación in situ de los puntos críticos y/o dearrojo clandestino en la ciudad de Bogotá.</t>
  </si>
  <si>
    <t>519</t>
  </si>
  <si>
    <t>52165734</t>
  </si>
  <si>
    <t>MARTHA ELENA ROJAS CARDOSO</t>
  </si>
  <si>
    <t>SA-OPS-002 Arrendamiento del inmueble ubicado en la dirección Calle 80 C No. 92 - 44 de la Localidad de Engativá de la ciudad de Bogotá D.C, para llevar a cabo actividades de separación, pesaje y/o transformación de material potencialmente aprovechable recolectado y transportado por recicladores de oficio.</t>
  </si>
  <si>
    <t>Arrendamiento del inmueble ubicado en la dirección Calle 80 C No. 92 - 44 de la Localidad de Engativá de la ciudad de Bogotá D.C, para llevar a cabo actividades de separación, pesaje y/o transformación de material potencialmente aprovechable recolectado y transportado por recicladores de oficio.</t>
  </si>
  <si>
    <t>SA-OPS-002 Arrendamiento del inmueble ubicado en la dirección Calle 80 CNo. 92 - 44 de la Localidad de Engativá de la ciudad de Bogotá D.C, parallevar a cabo actividades de separación, pesaje y/o transformación dematerial potencialmente aprovechable recolectado y transportado porrecicladores de oficio.</t>
  </si>
  <si>
    <t>508</t>
  </si>
  <si>
    <t>860516847</t>
  </si>
  <si>
    <t>JUAN GAVIRIA RESTREPO &amp; CIA S.A.</t>
  </si>
  <si>
    <t>Arrendamiento del inmueble ubicado en la dirección avenida carrera 86 (avenida ciudad de Cali) N.º 5 a-92 sur, para llevar a cabo actividades de separación, pesaje y/o transformación de material potencialmente aprovechable recolectado y transportado por recicladores de oficio.</t>
  </si>
  <si>
    <t>SA-OPS-178 Arrendamiento del inmueble ubicado en la dirección avenidacarrera 86 (avenida ciudad de Cali) N.º 5 a-92 sur, para llevar a caboactividades de separación, pesaje y/o transformación de materialpotencialmente aprovechable recolectado y transportado por recicladoresde oficio.</t>
  </si>
  <si>
    <t>559</t>
  </si>
  <si>
    <t>901147417</t>
  </si>
  <si>
    <t>FUNDUS INVERSIONES SAS</t>
  </si>
  <si>
    <t>SA-OPS-179 Arrendamiento de una máquina de Biorreactor 510 DU para el sistema de tratamiento y aprovechamiento de Residuos Orgánicos</t>
  </si>
  <si>
    <t>Arrendamiento de una máquina de Biorreactor 510 DU para el sistema de tratamiento y aprovechamiento de Residuos Orgánicos</t>
  </si>
  <si>
    <t>SA-OPS-179 Arrendamiento de una máquina de Biorreactor 510 DU para elsistema de tratamiento y aprovechamiento de Residuos Orgánicos</t>
  </si>
  <si>
    <r>
      <t xml:space="preserve">Objeto del Gasto: Adición y Prorroga No.1 al contrato UAESP-616-2020 cuyo objeto es: </t>
    </r>
    <r>
      <rPr>
        <sz val="12"/>
        <color indexed="8"/>
        <rFont val="Times New Roman"/>
        <family val="1"/>
      </rPr>
      <t>“</t>
    </r>
    <r>
      <rPr>
        <i/>
        <sz val="12"/>
        <color indexed="8"/>
        <rFont val="Arial Narrow"/>
        <family val="2"/>
      </rPr>
      <t>Prestar los servicios profesionales a la Unidad Administrativa Especial de Servicios Públicos como apoyo jurídico a la Oficina Asesora de Planeación en los temas propias de la dependencia relacionados con contratación administrativa, así como las consultas generales que haga dicha dependencia en materia jurídica</t>
    </r>
    <r>
      <rPr>
        <sz val="12"/>
        <color indexed="8"/>
        <rFont val="Arial Narrow"/>
        <family val="2"/>
      </rPr>
      <t>”.</t>
    </r>
  </si>
  <si>
    <t>Adición y Prorroga No.1 al contrato UAESP-616-2020 cuyo objeto es:Prestar los servicios profesionales a la Unidad Administrativa Especialde Servicios Públicos como apoyo jurídico a la Oficina Asesora dePlaneación en los temas propias de la dependencia relacionados concontratación administrativa, así como las consultas generales que hagadicha dependencia en materia jurídica.</t>
  </si>
  <si>
    <t>406</t>
  </si>
  <si>
    <t>616</t>
  </si>
  <si>
    <t>74433503</t>
  </si>
  <si>
    <t>ANDRES  BUITRAGO ROMERO</t>
  </si>
  <si>
    <t>OAP-009 Prestar servicios profesionales a la Unidad AdministrativaEspecial de Servicios Públicos UAESP, apoyando en la Actualización yseguimiento a las metas y resultados de los proyectos de inversión deconformidad con los plazos y requisitos establecidos en la normatividadvigente.</t>
  </si>
  <si>
    <t>470</t>
  </si>
  <si>
    <t>361</t>
  </si>
  <si>
    <t>52164280</t>
  </si>
  <si>
    <t>SAF-0067 Prestar servicios de apoyo a la gestión de la SubdirecciónAdministrativa y Financiera de la Unidad Administrativa Especial deServicios Públicos – UAESP, a través de la ejecución de actividadesrelacionadas con la organización física y digital de documentación, laactualización de los inventarios documentales en el formato FUIDadoptado por la Unidad y el proceso de correspondencia.</t>
  </si>
  <si>
    <t>457</t>
  </si>
  <si>
    <t>1030551120</t>
  </si>
  <si>
    <t>HAITHER GUILLERMO VALERO VELASQUEZ</t>
  </si>
  <si>
    <t>SAF-0002 PRESTAR SERVICIOS PROFESIONALES PARA APOYAR A LA SUBDIRECCIÓNADMINISTRATIVA Y FINANCIERA, EN LOS ASUNTOS DE CARÁCTER TÉCNICO DEINFRAESTRUCTURA DE LAS SEDES ADMINISTRATIVAS DE LA UAESP.</t>
  </si>
  <si>
    <t>421</t>
  </si>
  <si>
    <t>1049647713</t>
  </si>
  <si>
    <t>OACRI-16. Prestar servicios profesionales a la Oficina de Comunicacionesy Relaciones Interinstitucionales, en el seguimiento y control de losflujos de información e indicadores que se deben presentar frente a losentes de control internos y externo.</t>
  </si>
  <si>
    <t>426</t>
  </si>
  <si>
    <t>52833154</t>
  </si>
  <si>
    <t>TIC - 0025 Prestar servicios profesionales en apoyo a los requerimientostécnicos y de buenas prácticas que genere la mesa de ayuda de la Oficinade TIC de la UAESP.</t>
  </si>
  <si>
    <t>453</t>
  </si>
  <si>
    <t>1075239581</t>
  </si>
  <si>
    <t>DIEGO FERNANDO SAENZ NAGLES</t>
  </si>
  <si>
    <t>OCI-0003 Prestación de servicios profesionales para contribuir aldesarrollo de auditorías, evaluaciones y/o seguimientos a laimplementación y efectividad del Modelo de Gerencia Jurídica Distrital yGestión Contractual en la UAESP; planes operativos y desempeño deprocesos del sistema de gestión de la UAESP, de conformidad con losprocedimientos e instructivos determinados por la Oficina de ControlInterno de la UAESP.</t>
  </si>
  <si>
    <t>407</t>
  </si>
  <si>
    <t>93134559</t>
  </si>
  <si>
    <t>HAROLD MARCEL PUENTES MORALES</t>
  </si>
  <si>
    <t>SAF-0077 Prestar servicios de apoyo a la gestión de la SubdirecciónAdministrativa y Financiera de la Unidad Administrativa Especial deServicios Públicos – UAESP, a través de la ejecución de actividadesrelacionadas con la organización física y digital de documentación, laactualización de los inventarios documentales en el formato FUIDadoptado por la Unidad y el proceso de correspondencia.</t>
  </si>
  <si>
    <t>3232756</t>
  </si>
  <si>
    <t>JOSE FRANCISCO GONZALEZ GUERRERO</t>
  </si>
  <si>
    <t>SAF-0058 PRESTAR SERVICIOS PROFESIONALES A LA SUBDIRECCIÓNADMINISTRATIVA Y FINANCIERA EN LA EJECUCIÓN DE ACTIVIDADES RELACIONADASCON LA GESTIÓN FINANCIERA Y CONTABLE DE LA UAESP.</t>
  </si>
  <si>
    <t>445</t>
  </si>
  <si>
    <t>1018411190</t>
  </si>
  <si>
    <t>ELIZABETH  PUERTO PATIÑO</t>
  </si>
  <si>
    <t>RBL-0020 Apoyar la Unidad Administrativa Especial de Servicios PúblicosUAESP - en las acciones necesarias para el fortalecimiento de la gestiónsocial en la divulgación y promoción para el manejo adecuado de losresiduos sólidos en las localidades del Distrito Capital.</t>
  </si>
  <si>
    <t>523</t>
  </si>
  <si>
    <t>1014224861</t>
  </si>
  <si>
    <t>KATERYN ANDREA GORDILLO VILLARRAGA</t>
  </si>
  <si>
    <t>RBL-0021 Prestar los servicios profesionales a la Subdirección deRecolección, Barrido y Limpieza de la Unidad Administrativa Especial deServicios Públicos, apoyando a la supervisión en los aspectos decarácter normativo y de gestión administrativa, inherentes a laprestación del servicio público de aseo en el Distrito Capital.</t>
  </si>
  <si>
    <t>480</t>
  </si>
  <si>
    <t>1020731661</t>
  </si>
  <si>
    <t>LESLIE PAMELA SERRANO ARTUNDUAGA</t>
  </si>
  <si>
    <t>RBL-0060 Apoyar la Unidad Administrativa Especial de Servicios PúblicosUAESP - en las acciones necesarias para el fortalecimiento de la gestiónsocial en la divulgación y promoción para el manejo adecuado de losresiduos sólidos en las localidades del Distrito Capital.</t>
  </si>
  <si>
    <t>471</t>
  </si>
  <si>
    <t>1033693552</t>
  </si>
  <si>
    <t>LADY DIANA PARRA GARCIA</t>
  </si>
  <si>
    <t>RBL-0061 Apoyar la Unidad Administrativa Especial de Servicios PúblicosUAESP - en las acciones necesarias para el fortalecimiento de la gestiónsocial en la divulgación y promoción para el manejo adecuado de losresiduos sólidos en las localidades del Distrito Capital.</t>
  </si>
  <si>
    <t>552</t>
  </si>
  <si>
    <t>1022353472</t>
  </si>
  <si>
    <t>LILIANA MARCELA PARRA HERRERA</t>
  </si>
  <si>
    <t>RBL-0062 Apoyar la Unidad Administrativa Especial de Servicios PúblicosUAESP - en las acciones necesarias para el fortalecimiento de la gestiónsocial en la divulgación y promoción para el manejo adecuado de losresiduos sólidos en las localidades del Distrito Capital.</t>
  </si>
  <si>
    <t>483</t>
  </si>
  <si>
    <t>93203999</t>
  </si>
  <si>
    <t>JUAN CARLOS ALDANA TRIANA</t>
  </si>
  <si>
    <t>SA-OPS-180 Prestar servicios de apoyo a la gestión en la Subdirección deAprovechamiento para ejecutar las acciones encaminadas a laimplementación de la Estrategia de cultura ciudadana "La basura no esbasura" en los diferentes territorios de Bogotá, en articulación con eldesarrollo de acciones afirmativas a la población recicladora de oficio,en el marco de la gestión de residuos sólidos.</t>
  </si>
  <si>
    <t>518</t>
  </si>
  <si>
    <t>1016098929</t>
  </si>
  <si>
    <t>LAURA VANESSA VERGARA SABOGAL</t>
  </si>
  <si>
    <t>SA-OPS-181 Prestar servicios de apoyo a la gestión en la Subdirección deAprovechamiento para ejecutar las acciones encaminadas a laimplementación de la Estrategia de cultura ciudadana "La basura no esbasura" en los diferentes territorios de Bogotá, en articulación con eldesarrollo de acciones afirmativas a la población recicladora de oficio,en el marco de la gestión de residuos sólidos.</t>
  </si>
  <si>
    <t>516</t>
  </si>
  <si>
    <t>51720770</t>
  </si>
  <si>
    <t>MAGDALENA  FARIAS BRESCI</t>
  </si>
  <si>
    <t>SA-OPS-183 Prestar servicios de apoyo a la gestión en la Subdirección deAprovechamiento para ejecutar las acciones encaminadas a laimplementación de la Estrategia de cultura ciudadana "La basura no esbasura" en los diferentes territorios de Bogotá, en articulación con eldesarrollo de acciones afirmativas a la población recicladora de oficio,en el marco de la gestión de residuos sólidos.</t>
  </si>
  <si>
    <t>SA-OPS-184 Prestar servicios de apoyo a la gestión en la Subdirección deAprovechamiento para ejecutar las acciones encaminadas a laimplementación de la Estrategia de cultura ciudadana "La basura no esbasura" en los diferentes territorios de Bogotá, en articulación con eldesarrollo de acciones afirmativas a la población recicladora de oficio,en el marco de la gestión de residuos sólidos.</t>
  </si>
  <si>
    <t>511</t>
  </si>
  <si>
    <t>52778878</t>
  </si>
  <si>
    <t>ANGELA JOHANNA MOLANO CONTRERAS</t>
  </si>
  <si>
    <t>SA-OPS-073 Prestar servicios profesionales a la Subdirección deAprovechamiento, en la formulación e implementación de procesos yproyectos de aprovechamiento y tratamiento de residuos, en el marco dela política de economía circular y del manejo integral de residuossólidos.</t>
  </si>
  <si>
    <t>517</t>
  </si>
  <si>
    <t>63509331</t>
  </si>
  <si>
    <t>MONICA ALEXANDRA GUALDRON ALVAREZ</t>
  </si>
  <si>
    <t>SA-OPS-169 Prestar los servicios de apoyo a la gestión a la Subdirecciónde Aprovechamiento, en la administración depuración, trasformación,actualización de datos con diferentes metodologías, aplicaciones ytecnologías; y a partir de los sistemas transaccionales de la UAESPgenerar información y reportes.</t>
  </si>
  <si>
    <t xml:space="preserve">SDF27-Prestar servicios profesionales a la Subdirección de Disposición Final apoyando técnicamente en el análisis, gestión, seguimiento y control en la operación del  componente de gas, en el marco del desarrollo del contrato de consultoría No.130 E de 2011.
</t>
  </si>
  <si>
    <t>SDF27-Prestar servicios profesionales a la Subdirección de DisposiciónFinal apoyando técnicamente en el análisis, gestión, seguimiento ycontrol en la operación del componente de gas, en el marco deldesarrollo del contrato de consultoría No.130 E de 2011.</t>
  </si>
  <si>
    <t>535</t>
  </si>
  <si>
    <t>1032656104</t>
  </si>
  <si>
    <t>ELIZABETH  DURAN SANCHEZ</t>
  </si>
  <si>
    <t>SDF22-Prestar los servicios profesionales a la Subdirección deDisposición Final de la Unidad Administrativa Especial de ServiciosPúblicos UAESP, apoyando la inspección, seguimiento y control al Sistemade Gestión de Seguridad y Salud en el trabajo en el marco del desarrollodel cumplimiento de los contratos de Consultorías, obras y de concesión.</t>
  </si>
  <si>
    <t>479</t>
  </si>
  <si>
    <t>46376295</t>
  </si>
  <si>
    <t>PAOLA  FIGUEREDO LAVERGNE</t>
  </si>
  <si>
    <t>SA-OPS-182 Prestar servicios de apoyo a la gestión en la Subdirección deAprovechamiento para ejecutar las acciones encaminadas a laimplementación de la Estrategia de cultura ciudadana "La basura no esbasura" en los diferentes territorios de Bogotá, en articulación con eldesarrollo de acciones afirmativas a la población recicladora de oficio,en el marco de la gestión de residuos sólidos.</t>
  </si>
  <si>
    <t>460</t>
  </si>
  <si>
    <t>1075661392</t>
  </si>
  <si>
    <t>JORGE ARMANDO RODRIGUEZ CAICEDO</t>
  </si>
  <si>
    <t>SERVICIOS CARACTERIZACIÓN</t>
  </si>
  <si>
    <t>Realizar la caracterización física, química y biológica de los residuossólidos orgánicos y plásticos generados en las 20 localidades de laciudad de Bogotá, orientada al diseño de sistemas de tratamiento yvalorización de residuos orgánicos y plásticos en la ciudad medianteprocesos físicos o de recuperación energética.</t>
  </si>
  <si>
    <t>SA-OPS-191 Prestar servicios de apoyo a la gestión en la Subdirección deAprovechamiento para ejecutar las acciones encaminadas a laimplementación de la Estrategia de cultura ciudadana "La basura no esbasura" en los diferentes territorios de Bogotá, en articulación con eldesarrollo de acciones afirmativas a la población recicladora de oficio,en el marco de la gestión de residuos sólidos.</t>
  </si>
  <si>
    <t>521</t>
  </si>
  <si>
    <t>80075286</t>
  </si>
  <si>
    <t>GIOVANNI ANDRES GRANOBLES CONDE</t>
  </si>
  <si>
    <t>OACRI-07 Prestar servicios profesionales para apoyar la producción ygeneración de piezas gráficas y comunicativas de actividades internas ymisionales de la Unidad Administrativa Especial de Servicios Públicos.</t>
  </si>
  <si>
    <t>462</t>
  </si>
  <si>
    <t>1020754898</t>
  </si>
  <si>
    <t>SA-OPS-192 Prestar servicios de apoyo a la gestión en la Subdirección deAprovechamiento para ejecutar las acciones encaminadas a laimplementación de la Estrategia de cultura ciudadana "La basura no esbasura" en los diferentes territorios de Bogotá, en articulación con eldesarrollo de acciones afirmativas a la población recicladora de oficio,en el marco de la gestión de residuos sólidos.</t>
  </si>
  <si>
    <t>458</t>
  </si>
  <si>
    <t>52588865</t>
  </si>
  <si>
    <t>YENY RUTH GORDILLO ROA</t>
  </si>
  <si>
    <t>SAL-043. Prestar los servicios profesionales especializados a la UnidadAdministrativa Especial de Servicios Públicos desde el punto de vistajurídico apoyando a la gestión de todos los temas a cargo de laSubdirección de Asuntos Legales.</t>
  </si>
  <si>
    <t>469</t>
  </si>
  <si>
    <t>71764991</t>
  </si>
  <si>
    <t>JUAN CARLOS SIERRA MEJIA</t>
  </si>
  <si>
    <t>SSF-006 Prestar los servicios de apoyo a la Subdirección de ServiciosFunerarios y Alumbrado Público, en el adelantamiento, revisión y trámitede Subsidios Funerarios y servicios a cargo de la Subdirección.</t>
  </si>
  <si>
    <t>498</t>
  </si>
  <si>
    <t>79696478</t>
  </si>
  <si>
    <t>GERMAN ANTONIO BAQUERO RODRIGUEZ</t>
  </si>
  <si>
    <t>RBL-0074 Prestar los servicios profesionales en el desarrollo, creacióny apoyo logístico, visual y digital de los tópicos y temáticas objeto dedivulgación y presentación por parte de la Unidad AdministrativaEspecial de Servicios Públicos, según los lineamientos establecidos.</t>
  </si>
  <si>
    <t>515</t>
  </si>
  <si>
    <t>1030656089</t>
  </si>
  <si>
    <t>JUAN SEBASTIAN VILLA HERRERA</t>
  </si>
  <si>
    <t>RBL-0076 Prestar los servicios operativos a la Subdirección deRecolección, Barrido y Limpieza, para el fortalecimiento de la gestiónsocial en la divulgación y promoción de las acciones necesarias para elmanejo adecuado de los residuos sólidos en las localidades del DistritoCapital.</t>
  </si>
  <si>
    <t>481</t>
  </si>
  <si>
    <t>370</t>
  </si>
  <si>
    <t>39635346</t>
  </si>
  <si>
    <t>MARIA CRISTINA CORDERO LOPEZ</t>
  </si>
  <si>
    <t>SAL-051. Prestar servicios de apoyo a la gestión a la Subdirección deAsuntos Legales de la Unidad Administrativa Especial de ServiciosPúblicos – UAESP, mediante la ejecución de actividades administrativas,organización documental de los expedientes, entre otros.</t>
  </si>
  <si>
    <t>451</t>
  </si>
  <si>
    <t>342</t>
  </si>
  <si>
    <t>1012367914</t>
  </si>
  <si>
    <t>LEONARDO  ARAGON BOHORQUEZ</t>
  </si>
  <si>
    <t>SAF-0054 prestar servicios profesionales apoyando a la subdirecciónadministrativa y financiera desde el punto de vista jurídico, con el finde fortalecer la gestión institucional.</t>
  </si>
  <si>
    <t>490</t>
  </si>
  <si>
    <t>1094949319</t>
  </si>
  <si>
    <t>SAF-0044 Prestar los servicios de apoyo a la gestión a la SubdirecciónAdministrativa y Financiera, en temas relacionados con el proceso deatención al ciudadano, de conformidad con lo dispuesto en lanormatividad vigente y los procedimientos a establecidos por la entidad,contribuyendo en las labores de optimización de la gestiónadministrativa de la misma.</t>
  </si>
  <si>
    <t>500</t>
  </si>
  <si>
    <t>9535500</t>
  </si>
  <si>
    <t>SAF-0043 Prestar servicios profesionales apoyando a la subdirecciónadministrativa y financiera desde el punto de vista jurídico, con el finde fortalecer la gestión institucional.</t>
  </si>
  <si>
    <t>SAF-0030 prestar servicios de apoyo a la gestión a la subdirecciónadministrativa y financiera de la uaesp, apoyando en la ejecución de lasactividades que conlleven a la optimización y seguimiento del Plan deSeguridad Vial y movilidad segura.</t>
  </si>
  <si>
    <t>486</t>
  </si>
  <si>
    <t>1010185718</t>
  </si>
  <si>
    <t>CRISTIAN DAVID GUTIERREZ OSPINA</t>
  </si>
  <si>
    <t>SDF44-Prestar servicios profesionales a la Subdirección de DisposiciónFinal en apoyo al Plan de Manejo Ambiental y las obligaciones de laLicencia Ambiental respecto a las compensaciones forestales de UAESP.</t>
  </si>
  <si>
    <t>499</t>
  </si>
  <si>
    <t>1071143911</t>
  </si>
  <si>
    <t>CARLOS ESTEBAN CAPADOR SERENY</t>
  </si>
  <si>
    <t>SDF45-Prestar servicios profesionales a la Subdirección de Disposiciónfinal de la UAESP para apoyar desde el componente de ingenieríaindustrial la gestión en la prestación del servicio en el manejo de losresiduos sólidos en los predios Doña Juana.</t>
  </si>
  <si>
    <t>540</t>
  </si>
  <si>
    <t>1022342934</t>
  </si>
  <si>
    <t>YEISON ARNULFO GARCIA QUIJANO</t>
  </si>
  <si>
    <t>SAF-0024 PRESTAR SERVICIOS PROFESIONALES PARA APOYAR A LA SUBDIRECCIÓNADMINISTRATIVA Y FINANCIERA, A TRAVÉS DEL REGISTRO DE LAS OPERACIONESPRESUPUESTALES EN APLICATIVOS, ASÍ COMO EN LA ORGANIZACIÓN DE LOSDOCUMENTOS FÍSICOS Y DIGITALES PRODUCIDOS EN LA MISMA.</t>
  </si>
  <si>
    <t>503</t>
  </si>
  <si>
    <t>1030555134</t>
  </si>
  <si>
    <t>SAF-0041 prestar servicios de apoyo a la gestión a la SubdirecciónAdministrativa y Financiera de la UAESP desarrollando las actividades deconducción de vehículos automotores con la responsabilidad y habilidadrequerida, procurando el uso adecuado del automotor asignado ycumpliendo con las normas de tránsito.</t>
  </si>
  <si>
    <t>SAF-0040 PRESTAR SERVICIOS DE APOYO A LA GESTIÓN DE LA SUBDIRECCIÓNADMINISTRATIVA Y FINANCIERA DE LA UNIDAD ADMINISTRATIVA ESPECIAL DESERVICIOS PÚBLICOS – UAESP, A TRAVÉS DE LA EJECUCIÓN DE ACTIVIDADESRELACIONADAS CON LA ORGANIZACIÓN FÍSICA Y DIGITAL DE DOCUMENTACIÓN, LAACTUALIZACIÓN DE LOS INVENTARIOS DOCUMENTALES EN EL FORMATO FUIDADOPTADO POR LA UNIDAD Y EL PROCESO DE CORRESPONDENCIA.</t>
  </si>
  <si>
    <t>501</t>
  </si>
  <si>
    <t>74858158</t>
  </si>
  <si>
    <t>504</t>
  </si>
  <si>
    <t>ACUERDO MARCO</t>
  </si>
  <si>
    <t>TIC - 0003 Contratar el servicio de impresión para la UnidadAdministrativa Especial de Servicios Públicos- UAESP a través la TiendaVirtual del Estado Colombiano Acuerdo Marco.</t>
  </si>
  <si>
    <t>69124</t>
  </si>
  <si>
    <t>830053669</t>
  </si>
  <si>
    <t>SOLUTION COPY LTDA</t>
  </si>
  <si>
    <t>SDF65-B-Prestar servicios profesionales en áreas administrativas,económicas y/o financieras para realizar el apoyo a la Supervisión en elmarco del desarrollo de contratos de Consultorías para la gestión deresiduos a cargo de la Subdirección de Disposición final de la UAESP.</t>
  </si>
  <si>
    <t>509</t>
  </si>
  <si>
    <t>1014268025</t>
  </si>
  <si>
    <t>LAURA PAOLA PLAZAS ARIZA</t>
  </si>
  <si>
    <t>ADQUISICIÓN EQUIPOS TOPOGRAFÍA</t>
  </si>
  <si>
    <t>23-Ejecutar el 100% de los recursos destinados a la implementación de un modelo eficiente y sostenible de gestión de residuos</t>
  </si>
  <si>
    <t>SDF72-Realizar la adquisición de equipos de topografía, navegación ymapeo para la Subdirección de Disposición Final.</t>
  </si>
  <si>
    <t>RBL-0063 Apoyar la Unidad Administrativa Especial de Servicios PúblicosUAESP - en las acciones necesarias para el fortalecimiento de la gestiónsocial en la divulgación y promoción para el manejo adecuado de losresiduos sólidos en las localidades del Distrito Capital.</t>
  </si>
  <si>
    <t>543</t>
  </si>
  <si>
    <t>52977415</t>
  </si>
  <si>
    <t>LUZ ADRIANA RUIZ BUSTOS</t>
  </si>
  <si>
    <t>RBL-0064 Apoyar la Unidad Administrativa Especial de Servicios PúblicosUAESP - en las acciones necesarias para el fortalecimiento de la gestiónsocial en la divulgación y promoción para el manejo adecuado de losresiduos sólidos en las localidades del Distrito Capital.</t>
  </si>
  <si>
    <t>514</t>
  </si>
  <si>
    <t>1022346485</t>
  </si>
  <si>
    <t>MALLORY ALEXANDRA ESTEFANIA BELTRAN CARDENAS</t>
  </si>
  <si>
    <t>RBL-0065 Apoyar la Unidad Administrativa Especial de Servicios PúblicosUAESP - en las acciones necesarias para el fortalecimiento de la gestiónsocial en la divulgación y promoción para el manejo adecuado de losresiduos sólidos en las localidades del Distrito Capital.</t>
  </si>
  <si>
    <t>528</t>
  </si>
  <si>
    <t>1013622800</t>
  </si>
  <si>
    <t>ERICA TATIANA LONDOÑO FLORIAN</t>
  </si>
  <si>
    <t>RBL-0066 Apoyar la Unidad Administrativa Especial de Servicios PúblicosUAESP - en las acciones necesarias para el fortalecimiento de la gestiónsocial en la divulgación y promoción para el manejo adecuado de losresiduos sólidos en las localidades del Distrito Capital.</t>
  </si>
  <si>
    <t>505</t>
  </si>
  <si>
    <t>1110529575</t>
  </si>
  <si>
    <t>IBETH ELIANA PLAZAS BELTRAN</t>
  </si>
  <si>
    <t>RBL-0077 Prestar los servicios operativos a la Subdirección deRecolección, Barrido y Limpieza, para el fortalecimiento de la gestiónsocial en la divulgación y promoción de las acciones necesarias para elmanejo adecuado de los residuos sólidos en las localidades del DistritoCapital.</t>
  </si>
  <si>
    <t>SAF-0045 Prestar servicios profesionales apoyando a la SubdirecciónAdministrativa y Financiera en las actividades inherentes al servicio deatención al ciudadano de la Unidad Administrativa Especial de ServiciosPúblicos – UAESP con el fin de fortalecer la gestión institucional.</t>
  </si>
  <si>
    <t>80021844</t>
  </si>
  <si>
    <t>PAGOS NOTARIALES</t>
  </si>
  <si>
    <t>1-Ejecutar 1(Un) estudio de cargas estructurales y reforzamiento estructural si así fuere, subsanando las necesidades que contribuyan a fortalecer y mantener la infraestructura física.</t>
  </si>
  <si>
    <t>Pago de expensas y gastos notariales para el trámite de licencias dedemolición y obra en el predio la Alquería.</t>
  </si>
  <si>
    <t>549</t>
  </si>
  <si>
    <t>188</t>
  </si>
  <si>
    <t>19229638</t>
  </si>
  <si>
    <t>MARIANO  PINILLA POVEDA</t>
  </si>
  <si>
    <t>CONVENIO UNI PEDAGÓGICA</t>
  </si>
  <si>
    <t>SDF68 - Aunar recursos humanos, técnicos y financieros, para apoyar lapermanencia en los programas de educación superior que ofrece laUniversidad Pedagógica Nacional, a jóvenes habitantes de la zona deinfluencia del Relleno Sanitario Doña Juana de las localidades de CiudadBolívar y Usme que hacen parte de la población objetivo que especificalas Resoluciones CAR: 1351 de 2014 y 2320 de 2014.</t>
  </si>
  <si>
    <t>FLOTILLA PARA ÁREAS MISIONALES</t>
  </si>
  <si>
    <t>SA-079 Contratación de flotilla para las áreas misionales recorridos yvisitas a bodegas, proyectos y actividades sociales y técnicas.</t>
  </si>
  <si>
    <t>594</t>
  </si>
  <si>
    <t>70679</t>
  </si>
  <si>
    <t>900205684</t>
  </si>
  <si>
    <t>GRUPO EMPRESARIAL JHS SAS</t>
  </si>
  <si>
    <t>CONVENIO UNACIONAL</t>
  </si>
  <si>
    <t>SDF70-Aunar recursos humanos, técnicos y financieros, para apoyar lapermanencia en los programas de educación superior que ofrece laUniversidad Nacional de Colombia Sede Bogotá, a jóvenes habitantes de lazona de influencia del Relleno Sanitario Doña Juana de las localidadesde Ciudad Bolívar y Usme que hacen parte de la población objetivo queespecifica las Resoluciones CAR: 1351 de 2014 y 2320 de 2014.</t>
  </si>
  <si>
    <t>junio</t>
  </si>
  <si>
    <t>522</t>
  </si>
  <si>
    <t>53011075</t>
  </si>
  <si>
    <t>RBL-0070 Prestar los servicios de apoyo técnico y operativo a la UnidadAdministrativa Especial de Servicios Públicos, en las accionesnecesarias para el fortalecimiento de la gestión social en ladivulgación y promoción para el manejo adecuado de los residuos sólidosen las localidades del Distrito Capital.</t>
  </si>
  <si>
    <t>524</t>
  </si>
  <si>
    <t>400</t>
  </si>
  <si>
    <t>1018478958</t>
  </si>
  <si>
    <t>LAURA STHEFANNY ARTUNDUAGA MORERA</t>
  </si>
  <si>
    <t>506</t>
  </si>
  <si>
    <t>1019060772</t>
  </si>
  <si>
    <t>502</t>
  </si>
  <si>
    <t>1030662898</t>
  </si>
  <si>
    <t>SSF-011 Prestar los servicios profesionales en la Subdirección deServicios Funerarios y Alumbrado Público en el ámbito contable paraapoyar lo relacionado con la prestación de los servicios funerarios.</t>
  </si>
  <si>
    <t>1065618020</t>
  </si>
  <si>
    <t>PAOLA ANDREA MAESTRE VENEGAS</t>
  </si>
  <si>
    <t>SA-OPS-070 Prestar servicios de apoyo a la gestión de la Subdirección deAprovechamiento, en la implementación de procesos y proyectos deaprovechamiento y tratamiento de residuos, en el marco de la política deeconomía circular y del manejo integral de residuos sólidos.</t>
  </si>
  <si>
    <t>564</t>
  </si>
  <si>
    <t>1033768573</t>
  </si>
  <si>
    <t>RAFAEL LEONARDO LINARES OCHOA</t>
  </si>
  <si>
    <t>SAF-0099 PRESTAR SERVICIOS PROFESIONALES EN LA SUBDIRECCIÓN ADMINISTRATIVA Y FINANCIERA EN TEMAS TÉCNICOS DE ESTRUCTURAS EN LOS PROYECTOS CONSTRUCTIVOS QUE SE ADELANTAN EN LAS SEDES DE LA UAESP.</t>
  </si>
  <si>
    <t>SAF-0099 PRESTAR SERVICIOS PROFESIONALES EN LA SUBDIRECCIÓNADMINISTRATIVA Y FINANCIERA EN TEMAS TÉCNICOS DE ESTRUCTURAS EN LOSPROYECTOS CONSTRUCTIVOS QUE SE ADELANTAN EN LAS SEDES DE LA UAESP.</t>
  </si>
  <si>
    <t>520</t>
  </si>
  <si>
    <t>397</t>
  </si>
  <si>
    <t>79398462</t>
  </si>
  <si>
    <t>JOSE FERNANDO LAVERDE SANCHEZ</t>
  </si>
  <si>
    <t>ADQUISICIÓN DE EQUIPO MONITOREO DE GASES</t>
  </si>
  <si>
    <t>SSF-032 Adquisición e instalación de un equipo de monitoreo continuo degases para los tres hornos crematorios instalados en el cementeriodistrital del norte.</t>
  </si>
  <si>
    <t>ARRENDAMIENTO INMUEBLE</t>
  </si>
  <si>
    <t>SA-OPS-004 Arrendamiento del inmueble ubicado en la dirección Carrera 18# 164 – 32 de la Localidad de Usaquén Toberín II de la ciudad de Bogotá,para llevar a cabo actividades de separación, pesaje y/o transformaciónde material potencialmente aprovechable recolectado y transportado porrecicladores de oficio.</t>
  </si>
  <si>
    <t>SA-OPS-003 Arrendamiento del inmueble ubicado en la dirección Calle 8N.º 26-80 de la Localidad de los Mártires de la ciudad de Bogotá D.C.,para llevar a cabo actividades de separación, pesaje y/o transformaciónde material potencialmente aprovechable recolectado y transportado porrecicladores de oficio.</t>
  </si>
  <si>
    <t>SDF15-Prestación de servicios profesionales de asesoría y apoyo a laUAESP en las actividades de estructuración, contratación y seguimientode planes, programas y proyectos que tenga a cargo la Entidad.</t>
  </si>
  <si>
    <t>Adición y Prorroga al contrato UAESP-356-2020 cuyo objeto “Arrendamiento del inmueble ubicado en la dirección Carrera 18 No. 164 32 de la localidad de Usaquén, de la ciudad de Bogotá. Para llevar a cabo la separación y pesaje de material potencialmente aprovechable recolectado y transportado por recicladores de oficio.”</t>
  </si>
  <si>
    <t>Adición y Prorroga al contrato UAESP-356-2020 cuyo objeto es:Arrendamiento del inmueble ubicado en la dirección Carrera 18 No. 164 32de la localidad de Usaquén, de la ciudad de Bogotá. Para llevar a cabola separación y pesaje de material potencialmente aprovechablerecolectado y transportado por recicladores de oficio.</t>
  </si>
  <si>
    <t>Adición y Prorroga al contrato UAESP-260-2020 cuyo objeto “Arrendamiento de una bodega, ubicado en la calle 8 N.º 26-80 de la localidad de los Mártires de la ciudad de Bogotá D.C., en la cual se lleva-rán a cabo actividades de separación y pesaje de material potencialmente aprovechables, recolectado y transportado por recicladores de oficio.”</t>
  </si>
  <si>
    <t>Adición y Prorroga al contrato UAESP-260-2020 cuyo objeto es:Arrendamiento de una bodega, ubicado en la calle 8 N.º 26-80 de lalocalidad de los Mártires de la ciudad de Bogotá D.C., en la cual sellevarán a cabo actividades de separación y pesaje de materialpotencialmente aprovechables, recolectado y transportado porrecicladores de oficio.</t>
  </si>
  <si>
    <t>SA-OPS-155 Prestar servicios profesionales a la Subdirección deAprovechamiento, en la formulación e implementación de procesos yproyectos de aprovechamiento y tratamiento de residuos, en el marco dela política de economía circular y del manejo integral de residuossólidos.</t>
  </si>
  <si>
    <t>527</t>
  </si>
  <si>
    <t>401</t>
  </si>
  <si>
    <t>1020762084</t>
  </si>
  <si>
    <t>JULY ANDREA VASQUEZ RAMIREZ</t>
  </si>
  <si>
    <t>SA-OPS-160 Prestar servicios profesionales a la Subdirección deAprovechamiento, en la formulación e implementación de procesos yproyectos de aprovechamiento y tratamiento de residuos, en el marco dela política de economía circular y del manejo integral de residuossólidos.</t>
  </si>
  <si>
    <t>1003265087</t>
  </si>
  <si>
    <t>CINEIRA JANETH ARIZA PINTO</t>
  </si>
  <si>
    <t>SDF51-B-Prestar servicios profesionales como especialista en Tratamientode Aguas para realizar el apoyo a la Supervisión en el marco deldesarrollo de contratos de Consultorías para la gestión de residuos acargo de la Subdirección de Disposición final de la UAESP.</t>
  </si>
  <si>
    <t>583</t>
  </si>
  <si>
    <t>1034291874</t>
  </si>
  <si>
    <t>DAVID MANUEL MENDIETA PIÑEROS</t>
  </si>
  <si>
    <t>ADICIÓN</t>
  </si>
  <si>
    <t>Prorroga y adición Nº 10 del contrato 244 de 2017, cuyo objeto es: “Realizar la interventoría técnica, operativa, social, administrativa, financiera, ambiental, jurídica, de seguridad industrial y de salud ocupacional, relacionadas con el contrato de concesión No. 311 de 2013</t>
  </si>
  <si>
    <t>Prorroga y adición Nº 10 del contrato 244 de 2017, cuyo objeto es:Realizar la interventoría técnica, operativa, social, administrativa,financiera, ambiental, jurídica, de seguridad industrial y de saludocupacional, relacionadas con el contrato de concesión No. 311 de 2013,suscrito entre la Unidad Administrativa Especial de Servicios Públicos –UAESP – e Inversiones Monte Sacro Ltda, cuyo objeto es: la prestacióndel servicio de destino final en equipamientos de propiedad del DistritoCapital y su Administración, Operación, Mantenimiento y Vigilancia, porun término de cinco (5) años mediante Contrato de Concesión enconcordancia con lo estipulado en el pliego de condiciones, las normasmencionadas en el numeral 1.7, el Plan de Manejo Ambiental, la licenciaambiental, el Manual Operativo y todas aquellas normas pertinentesvigentes que regulen la prestación de este servicio.</t>
  </si>
  <si>
    <t>556</t>
  </si>
  <si>
    <t>860041968</t>
  </si>
  <si>
    <t>SDF46-Prestar servicios profesionales para apoyar a la Subdirección deDisposición Final, del seguimiento a la licencia ambiental en loreferente a obras civiles, cierres de celdas o zonas de disposiciónfinal, Seguimiento a cronogramas, apoyo técnico al estado de las obrasde arte y en la construcción de obras civiles.</t>
  </si>
  <si>
    <t>572</t>
  </si>
  <si>
    <t>1014197812</t>
  </si>
  <si>
    <t>JORGE ALEJANDRO LEON RODRIGUEZ</t>
  </si>
  <si>
    <t>PAGO PASIVO EXIGIBLE</t>
  </si>
  <si>
    <t>Para pago del pasivo exigible cuyo objeto es: “Realizar los estudios, diseños y obtención de licencia de construcción y/o permisos necesarios para la Construcción del Jardín Infantil y Centro de Desarrollo Comunitario en el Barrio Paticos en Mochuelo Bajo”.</t>
  </si>
  <si>
    <t>01-Activos Fijos</t>
  </si>
  <si>
    <t xml:space="preserve">3-602-F002 PAS-RB- Administrados de libre destinación. </t>
  </si>
  <si>
    <t>Para pago del pasivo exigible cuyo objeto es: “Realizar los estudios,diseños y obtención de licencia de construcción y/o permisos necesariospara la Construcción del Jardín Infantil y Centro de DesarrolloComunitario en el Barrio Paticos en Mochuelo Bajo”.</t>
  </si>
  <si>
    <t>533</t>
  </si>
  <si>
    <t>901350302</t>
  </si>
  <si>
    <t>CONSORCIO ECO EDISEÑOS</t>
  </si>
  <si>
    <t>3-602-I001 PAS-RB- Administrador de destinación específica ($90.888.000</t>
  </si>
  <si>
    <t>03-601-F002 PAS- Administrados de libre destinación</t>
  </si>
  <si>
    <t>SA-OPS-198 Prestar los servicios Profesionales a la Subdirección deAprovechamiento, en la administración depuración, trasformación,actualización de datos con diferentes metodologías, aplicaciones ytecnologías; y a partir de los sistemas transaccionales de la UAESPgenerar información y reportes.</t>
  </si>
  <si>
    <t>560</t>
  </si>
  <si>
    <t>1054988330</t>
  </si>
  <si>
    <t>JUAN DAVID CASTAÑO GOMEZ</t>
  </si>
  <si>
    <t>SAF-0089 Prestar Servicios Profesionales a la subdirecciónadministrativa y financiera de la Unidad Administrativa Especial deServicios Públicos – UAESP, brindando apoyo contable y financiero a lasactividades relacionadas con la gestión y administración del TalentoHumano.</t>
  </si>
  <si>
    <t>571</t>
  </si>
  <si>
    <t>MANTENIMIENTO PREVENTIVO Y CORRECTIVO DE EQUIPOS TECNOLÓGICOS</t>
  </si>
  <si>
    <t>TIC - 0001 Contratar los mantenimientos preventivos y correctivos conbolsa de repuestos, de los equipos tecnológicos, eléctricos y deinformática, a cargo de la Unidad Administrativa Especial de ServiciosPúblicos (UAESP) y de los que llegare a ser responsable que garanticenel correcto funcionamiento de la Infraestructura Tecnológica de laentidad.</t>
  </si>
  <si>
    <t>SERVICIOS TÉCNICOS ESPECIALIZADOS</t>
  </si>
  <si>
    <t>TIC - 0032 Contratar los servicios técnicos especializados mediantehoras de soporte, que garantice el correcto funcionamiento de laInfraestructura y servicios de la Tecnología de la Información de laUnidad Administrativa Especial de Servicios Públicos (UAESP)</t>
  </si>
  <si>
    <t>609</t>
  </si>
  <si>
    <t>SSF-014- Prestar los servicios profesionales de apoyo y asistenciatécnica desde el componente social y comunitario para gestionar lasrelaciones con los grupos de interés afectos a los servicios funerariosen los cementerios de propiedad del distrito.</t>
  </si>
  <si>
    <t>539</t>
  </si>
  <si>
    <t>52121388</t>
  </si>
  <si>
    <t>MARGARITA MARIA ANGARITA GONZALEZ</t>
  </si>
  <si>
    <t>SAF-0101 Prestar servicios de apoyo a la gestión de la SubdirecciónAdministrativa y Financiera de la Unidad Administrativa Especial deServicios Públicos – UAESP, a través de la ejecución de actividadesrelacionadas con la organización física y digital de documentación, laactualización de los inventarios documentales en el formato FUIDadoptado por la Unidad y el proceso de correspondencia.</t>
  </si>
  <si>
    <t>570</t>
  </si>
  <si>
    <t>OACRI-11. Prestar servicios profesionales para la generación ypublicación de contenidos en los medios digitales y las redes socialesde la entidad, para difundir la gestión y las diferentes campañas de laUAESP, así como el diseño y elaboración de productos y piezas gráficasrequeridas por la oficina de comunicaciones</t>
  </si>
  <si>
    <t>544</t>
  </si>
  <si>
    <t>45686252</t>
  </si>
  <si>
    <t>AURA MARIA VEGA STAVRO</t>
  </si>
  <si>
    <t>RBL-0067 Apoyar la Unidad Administrativa Especial de Servicios PúblicosUAESP - en las acciones necesarias para el fortalecimiento de la gestiónsocial en la divulgación y promoción para el manejo adecuado de losresiduos sólidos en las localidades del Distrito Capital.</t>
  </si>
  <si>
    <t>1110558934</t>
  </si>
  <si>
    <t>EDITH KATERINE VALENCIA BALLEN</t>
  </si>
  <si>
    <t>RBL-0078 Prestar los servicios operativos a la Subdirección deRecolección, Barrido y Limpieza, para el fortalecimiento de la gestiónsocial en la divulgación y promoción de las acciones necesarias para elmanejo adecuado de los residuos sólidos en las localidades del DistritoCapital.</t>
  </si>
  <si>
    <t>575</t>
  </si>
  <si>
    <t>40880762</t>
  </si>
  <si>
    <t>MARYURIS EMILIA MOJICA CARVAJAL</t>
  </si>
  <si>
    <t>RBL- 0079 Prestar los servicios profesionales a la Subdirección deRecolección, Barrido y Limpieza en el seguimiento a la prestación delservicio público de aseo, especialmente en el componente de corte decésped y poda de árboles en el Distrito Capital.</t>
  </si>
  <si>
    <t>580</t>
  </si>
  <si>
    <t>80921100</t>
  </si>
  <si>
    <t>FIDEL LEONARDO CHAVEZ CARVAJAL</t>
  </si>
  <si>
    <t>SAF-0038 Prestar servicios profesionales a la SubdirecciónAdministrativa y Financiera de la UAESP, en el desarrollo de lasactividades de los programas de la Gestión del Talento Humano de laUAESP.</t>
  </si>
  <si>
    <t>553</t>
  </si>
  <si>
    <t>TIC - 0027 Prestar apoyo a la Oficina de Tic en todo lo relacionado aprogramas informáticos y desarrollo de aplicaciones.</t>
  </si>
  <si>
    <t>550</t>
  </si>
  <si>
    <t>SA-OPS-164 Prestar los servicios de apoyo a la Unidad AdministrativaEspecial de servicios Públicos UAESP, en el seguimiento a lasactividades de aprovechamiento, especialmente las relacionadas con laPrestación de servicios públicos domiciliarios a cargo de la Entidad enmateria regulatoria, tarifaria y de gestión así como la planeaciónoperativa de la Subdirección de Aprovechamiento.</t>
  </si>
  <si>
    <t>534</t>
  </si>
  <si>
    <t>5819914</t>
  </si>
  <si>
    <t>MANUEL CAMILO SALDARRIAGA ACOSTA</t>
  </si>
  <si>
    <t>SA-OPS-189 Prestar los servicios de apoyo a la Subdirección deAprovechamiento, para implementar procesos de fortalecimiento a lasorganizaciones de recicladores de oficio, promover la formalización deacuerdo al Decreto 596 de 2016 y la implementación de accionesafirmativas establecidas por las sentencias de la Honorable CorteConstitucional.</t>
  </si>
  <si>
    <t>79357260</t>
  </si>
  <si>
    <t>RICARDO  LENIS GALLEGO</t>
  </si>
  <si>
    <t>OACRI-09 Prestar servicios profesionales para apoyar las actividades de monitoreo a los medios de comunicación masiva, alternativa y comunitaria en cumplimiento de los objetivos del plan de comunicaciones y relaciones interinstitucionales de la UAESP</t>
  </si>
  <si>
    <t>OACRI-09 Prestar servicios profesionales para apoyar las actividades demonitoreo a los medios de comunicación masiva, alternativa y comunitariaen cumplimiento de los objetivos del plan de comunicaciones y relacionesinterinstitucionales de la UAESP.</t>
  </si>
  <si>
    <t>EN PROCESO DE ANULACIÓN</t>
  </si>
  <si>
    <t>SAF-0062 PRESTAR SERVICIOS DE APOYO A LA GESTIÓN DE LA SUBDIRECCIÓNADMINISTRATIVA Y FINANCIERA DE LA UAESP, DESARROLLANDO ACTIVIDADESOPERATIVAS Y LOGÍSTICAS, QUE CONTRIBUYAN A LA GESTIÓN ADMINISTRATIVA DELA UNIDAD.</t>
  </si>
  <si>
    <t>558</t>
  </si>
  <si>
    <t>419</t>
  </si>
  <si>
    <t>538</t>
  </si>
  <si>
    <t>33367158</t>
  </si>
  <si>
    <t>ZULMA LORENA AVILA LOPEZ</t>
  </si>
  <si>
    <t>569</t>
  </si>
  <si>
    <t>ADICION Y PRORROGA No. 01 DEL CONTRATO UAESP-771-2020 CUYO OBJETO ES: PRESTAR LOS SERVICIOS DE FUMIGACIÓN, DESRATIZACIÓN, SANITIZACIÓN Y DESINFECCIÓN DE TODAS LAS ÁREAS (OFICINAS, BAÑOS, BODEGAS DE RECICLAJE, TANQUES DE ALMACENAMIENTO DE AGUA, PUESTOS DE TRABAJO, ARCHIVOS, ALMACENES, CUARTOS DE MÁQUINAS, ENTRE OTROS) QUE CONFORMAN LA UNIDAD ADMINISTRATIVA ESPECIAL DE SERVICIOS PÚBLICOS.</t>
  </si>
  <si>
    <t>ADICION Y PRORROGA No. 01 DEL CONTRATO UAESP-771-2020 CUYO OBJETO ES:PRESTAR LOS SERVICIOS DE FUMIGACIÓN, DESRATIZACIÓN, SANITIZACIÓN YDESINFECCIÓN DE TODAS LAS ÁREAS (OFICINAS, BAÑOS, BODEGAS DE RECICLAJE,TANQUES DE ALMACENAMIENTO DE AGUA, PUESTOS DE TRABAJO, ARCHIVOS,ALMACENES, CUARTOS DE MÁQUINAS, ENTRE OTROS) QUE CONFORMAN LA UNIDADADMINISTRATIVA ESPECIAL DE SERVICIOS PÚBLICOS.</t>
  </si>
  <si>
    <t>590</t>
  </si>
  <si>
    <t>771</t>
  </si>
  <si>
    <t>900604786</t>
  </si>
  <si>
    <t>FUMIGACIONES EL TRIUNFO CAR SAS</t>
  </si>
  <si>
    <t>OACRI-08 Prestar servicios profesionales para apoyar la realización decubrimientos audiovisuales y la postproducción de contenidos de lasáreas misionales de la Unidad Administrativa Especial de ServiciosPúblicos</t>
  </si>
  <si>
    <t>562</t>
  </si>
  <si>
    <t>1032485670</t>
  </si>
  <si>
    <t>SAF-0061 Prestar los servicios profesionales a la SubdirecciónAdministrativa y Financiera especialmente en las actividades jurídicasrequeridas en Apoyo Logístico</t>
  </si>
  <si>
    <t>568</t>
  </si>
  <si>
    <t>OAP-016 Prestar los servicios de apoyo administrativo a la OficinaAsesora de Planeación OAP, en las actividades de clasificación,depuración y organización de los documentos físicos o virtuales, cuyotrámite debe ser ajustado a la normativa vigente en gestión documental.</t>
  </si>
  <si>
    <t>578</t>
  </si>
  <si>
    <t>OAP-015 Prestar los servicios profesionales para apoyar a la OficinaAsesora de Planeación de la Unidad Administrativa Especial de ServiciosPúblicos, para el desarrollo de las actividades requeridas encumplimiento de los planes de acción, y alertas tempranas de laspolíticas públicas con enfoque poblacional, diferencial y de derechoshumanos.</t>
  </si>
  <si>
    <t>576</t>
  </si>
  <si>
    <t>SAF-0057 Prestar servicios de apoyo a la gestión de la SubdirecciónAdministrativa y Financiera de la Unidad Administrativa Especial deServicios Públicos – UAESP, a través de la ejecución de actividadesrelacionadas con la organización física y digital de documentación, laactualización de los inventarios documentales en el formato FUIDadoptado por la Unidad y el proceso de correspondencia”.</t>
  </si>
  <si>
    <t>573</t>
  </si>
  <si>
    <t>Pago por Seguimiento Documental para el año 2020, relacionado con el expediente LAM7710-00</t>
  </si>
  <si>
    <t>Pago a la autoridad ambiental ANLA por concepto de seguimientoDocumental para el año 2020, en el desarrollo de la Licencia Ambientalcitada en el expediente LAM7710-00 ,se reconoce el pago mediante el Auto06298 del 06 de julio de 2020.</t>
  </si>
  <si>
    <t>SSF-034 Prestar los servicios profesionales en el desarrollo, diseño eimplementación del Sistema Único de Información Funerario – SUIF, y delRegistro Único Funerario – RUF</t>
  </si>
  <si>
    <t>586</t>
  </si>
  <si>
    <t>11344302</t>
  </si>
  <si>
    <t>RICARDO ANDRES GARZON RUIZ</t>
  </si>
  <si>
    <t>Adición y prórroga al contrato UAESP-260-2020, cuyo objeto es: "Arrendamiento de una bodega, ubicado en la calle 8 Nº 26-80 de la Localidad de los Mártires de la Ciudad de Bogotá D.C, en la cual se llevarán a cabo actividades de separación y pesaje de material potencialmente aprovechables, recolectado y transportado por recicladores de oficio.</t>
  </si>
  <si>
    <t>SDF91 - Adquisición de equipos y herramientas para el mantenimiento, cuidado y preservación de áreas adquiridas para protección y conservación ambiental en predios propiedad de la UAESP.</t>
  </si>
  <si>
    <t>ADQUISICIÓN DE EQUIPOS PARA MANTENIMIENTO</t>
  </si>
  <si>
    <t>3-100-I001 VA-Administrados de destinación especifica</t>
  </si>
  <si>
    <t>SDF84-Realizar mantenimiento preventivo y correctivo de los escenarios públicos, deportivos, lúdicos, recreativos y/o biosaludables..</t>
  </si>
  <si>
    <t>MANTENIMIENTO PREVENTIVO Y CORRECTIVO DE ESCENARIOS PÚBLICOS</t>
  </si>
  <si>
    <t>595</t>
  </si>
  <si>
    <t>80053409</t>
  </si>
  <si>
    <t>PABLO CESAR ALVARADO MARTINEZ</t>
  </si>
  <si>
    <t>SAP-028 Prestar los servicios profesionales a la Subdirección deServicios Funerarios y Alumbrado Público para la incorporación de lainfraestructura al sistema de alumbrado público y apoyar las demásactividades propias del servicio de Alumbrado Público a cargo del área.</t>
  </si>
  <si>
    <t>577</t>
  </si>
  <si>
    <t>1032359934</t>
  </si>
  <si>
    <t>SAP-030 Prestar los servicios profesionales en el ámbito de laingeniería electricista a la Subdirección de Servicios Funerarios yAlumbrado Público, orientados al apoyo de gestiones y actividadestécnicas y de seguimiento a la prestación del servicio de AlumbradoPúblico en la ciudad de Bogotá.</t>
  </si>
  <si>
    <t>585</t>
  </si>
  <si>
    <t>1098802233</t>
  </si>
  <si>
    <t>CARLOS ALFREDO PEÑA BECERRA</t>
  </si>
  <si>
    <t>SAL-040. Prestar servicios profesionales a la Subdirección de AsuntosLegales, con el fin de brindar apoyo jurídico a la Entidad en loatinente a la gestión de acciones y requerimientos realizados por losórganos de control, superintendencia u otros, y/o en los temasrelacionados con asuntos disciplinarios, teniendo en cuenta losrequerimientos solicitados por las diferentes dependencias de la UnidadAdministrativa Especial de Servicios Públicos - UAESP.</t>
  </si>
  <si>
    <t>603</t>
  </si>
  <si>
    <t>51853157</t>
  </si>
  <si>
    <t>MILY  GARCIA URUEÑA</t>
  </si>
  <si>
    <t>OAP-004 Prestar los servicios profesionales a la Unidad AdministrativaEspecial de Servicios Públicos - UAESP en la actualización y seguimientodel Plan de Gestión Integral de Residuos Sólidos – PGIRS, Plan deOrdenamiento Territorial –POT- y demás planes y/o políticas públicas oinstrumentos de similar naturaleza, relacionados con la Unidad quetengan impacto territorial y/o ambiental.</t>
  </si>
  <si>
    <t>600</t>
  </si>
  <si>
    <t>OAP-005 Prestar servicios profesionales a la Unidad AdministrativaEspecial de Servicios Públicos – UAESP, para apoyar a la Oficina Asesorade Planeación en la implementación, desarrollo y seguimiento del ModeloIntegrado de Planeación y Gestión MIPG, en las dimensiones 3,5 y 6.</t>
  </si>
  <si>
    <t>602</t>
  </si>
  <si>
    <t>Adición y Prórroga del Contrato UAESP-358-2020 Vigilancia</t>
  </si>
  <si>
    <t>566</t>
  </si>
  <si>
    <t>CONTRATO DE COMISION</t>
  </si>
  <si>
    <t>800095131</t>
  </si>
  <si>
    <t>MIGUEL QUIJANO Y COMPAÑIA S A</t>
  </si>
  <si>
    <t>SAL-012.Prestar los servicios profesionales a la Subdirección de AsuntosLegales desde el punto de vista juridico dentro de los procesos de selección y
contratación en general, en sus etapas precontractuales contractuales y postcontractuales, teniendo en cuenta los requerimientossolicitados por las diferentes
dependencias de la Unidad Administrativa Especial de Servicios Públicos</t>
  </si>
  <si>
    <t>80724559</t>
  </si>
  <si>
    <t>JEAN CARLO MARTINEZ ORTIZ</t>
  </si>
  <si>
    <t>SAL-023.Prestar los servicios profesionales para apoyar el componente económico o financiero, desde el perfil contable, en los distintos trámites que se
requieran por los grupos que conforman la Subdirección de Asuntos Legales de la Unidad Administrativa Especial de Servicios Públicos</t>
  </si>
  <si>
    <t>SAL-053.Prestar los servicios profesionales a la Subdirección de AsuntosLegales desde el punto de vista jurídico dentro de los procesos de selección y
contratación en general, en sus etapas precontractuales, contractuales y postcontractuales teniendo en cuenta los requerimientos solicitados por las diferentes
dependencias de la Unidad Administrativa Especial de Servicios Públicos</t>
  </si>
  <si>
    <t>579</t>
  </si>
  <si>
    <t>1012447475</t>
  </si>
  <si>
    <t>ESTEFANIA  OROZCO SANCHEZ</t>
  </si>
  <si>
    <t>Pago del pasivo exigible a la adición No 13 del contrato de concesión No.287 de 2018 suscrito con ÁREA LIMPIA DISTRITO CAPITAL S.A.S E.S.P</t>
  </si>
  <si>
    <t>14-Ejecutar el 100% de los recursos destinados a obligaciones de hacer para el mejoramiento del estándar de calidad y continuidad del servicio público de aseo.hospitalarios.</t>
  </si>
  <si>
    <t>Pago del pasivo exigible a la adición No 13 del contrato de concesión No.287 de 2018 suscrito con ÁREA LIMPIA DISTRITO CAPITAL S.A.S E.S.P cuyo objeto
es“CONCESIONAR BAJO LA FIGURA DE ÁREAS DE SERVICIO EXCLUSIVOLA PRESTACIÓN DEL SERVICIO PÚBICO DE ASEO EN LA CIUDAD DE
BOGOTÁ D.C -COLOMBIA,EN SUS COMPONENTES DE RECOLECCIÓN DE RESIDUOS NO APROVECHABLESBARRIDO, LIMPIEZA DE VÍAS Y ÁREAS
PÚBLICAS, CORTE DE CESPED, PODA DE ÁRBOLES EN ÁREAS PÚBLICAS, LAVADO DE ÁREAS PÚBLICAS Y TRANSPORTEDE LOS RESIDUOS
GENERADOS POR LAS ANTERIORES ACTIVIDADES A LOS SITIOS DE DISPOSICION FINAL</t>
  </si>
  <si>
    <t>581</t>
  </si>
  <si>
    <t xml:space="preserve">Adquisición de equipos y herramientas </t>
  </si>
  <si>
    <t>Mantenimiento preventivo y correctivo de los escenarios públicos</t>
  </si>
  <si>
    <t>591</t>
  </si>
  <si>
    <t>441</t>
  </si>
  <si>
    <t>1033777087</t>
  </si>
  <si>
    <t>Adición y prorroga al contrato UAESP-063-2021, SDF26-Prestar apoyo en servicios técnicos para el seguimiento y control en proyectos de manejo, separación de RPCC y tratamiento de RCD en actividades misionales de la Subdirección de Disposición Final de la Unidad Administrativa Especial de Servicios Públicos.</t>
  </si>
  <si>
    <t>Arrendamiento de una máquina de Biorreactor</t>
  </si>
  <si>
    <t>SA-OPS-179 Arrendamiento de una máquina de Biorreactor 510 DU para para el sistema de tratamiento y aprovechamiento de Residuos orgánicos.</t>
  </si>
  <si>
    <t>Adición y prórroga al contrato UAESP-260-2020, cuyo objeto es: "Arrendamiento de una bodega, ubicado en la calle 8 Nº 26-80 de la Localidad de los Mártires
de la Ciudad de Bogotá D.C, en la cual se llevarán a cabo actividades de separación y pesaje de material potencialmente aprovechables, recolectado y
transportado por recicladores de oficio.</t>
  </si>
  <si>
    <t>574</t>
  </si>
  <si>
    <t>900339959</t>
  </si>
  <si>
    <t>COMPAÑIA COLOMBIANA DE SERVICIOS INMOBIL IARIOS S.A.S.</t>
  </si>
  <si>
    <t xml:space="preserve">Arrendamiento de las bodegas ubicadas en la carrera 63 5A-20 y carrera 62 5A-25 de la Localidad de Puente Aranda </t>
  </si>
  <si>
    <t>SA-OPS-009- Arrendamiento de las bodegas ubicadas en la carrera 63 5A-20y carrera 2 5A-25 de la Localidad de Puente Aranda 6 de la Ciudad de para llevar
a cabo actividades de separación, pesaje y/o transformación de material potencialmente aprovechable recolectado y transportado por recicladores de oficio</t>
  </si>
  <si>
    <t>Adición y prorroga al contrato UAESP-063-2021, SDF26- Prestar apoyo en servicios técnicos para el seguimiento y control en proyectos de manejo, separación
de RPCC y tratamiento de RCD en actividades misionales de la Subdirección de Disposición Final de la Unidad Administrativa Especial de Servicios Públicos.</t>
  </si>
  <si>
    <t>582</t>
  </si>
  <si>
    <t>063</t>
  </si>
  <si>
    <t>1133929197</t>
  </si>
  <si>
    <t>SDF64-B-Prestar servicios profesionales en Geología para realizar el apoyo a la supervisión en el marco de procesos, para la gestión de residuos a cargo de la
Subdirección de Disposición final de la UAESP</t>
  </si>
  <si>
    <t>607</t>
  </si>
  <si>
    <t>1032487964</t>
  </si>
  <si>
    <t>JUAN DIEGO LOZANO LOPEZ</t>
  </si>
  <si>
    <t>SDF86 - Prestar los servicios técnicos desde el componente ambiental en el área social de la Subdirección de Disposición Final apoyando en la gestión,
seguimiento y control de la ejecución del plan de Gestión Social de la Zona de influencia.</t>
  </si>
  <si>
    <t>596</t>
  </si>
  <si>
    <t>1073426449</t>
  </si>
  <si>
    <t>HELBERTH LAUREANO RUIZ MARTINEZ</t>
  </si>
  <si>
    <t>SAP-033 Prestar los servicios de apoyo en actividades relacionadas con el archivo de los documentos físicos generados y recibidos en la Subdirección de
Servicios Funerarios y Alumbrado Público, en cumplimiento de la Ley 594 de 2000 del Archivo General de la Nación y demás normas vigentes</t>
  </si>
  <si>
    <t>612</t>
  </si>
  <si>
    <t>51692528</t>
  </si>
  <si>
    <t>SSF-025 Prestar los servicios profesionales en la Subdirección de Servicios Funerarios y Alumbrado Público en el ámbito de la ingeniería civil, para apoyar el
seguimiento y control de las actividades relacionadas con infraestructura en los Cementerios propiedad del Distrito Capital.</t>
  </si>
  <si>
    <t>SAP-006 Prestar los servicios profesionales como ingeniero electricista en la Subdirección de Servicios Funerarios y Alumbrado Público, orientados al apoyo en
la revisión de diseños fotométricos y/o actividades propias de la prestación del servicio de Alumbrado Público en la ciudad de Bogotá.</t>
  </si>
  <si>
    <t>598</t>
  </si>
  <si>
    <t>1053820192</t>
  </si>
  <si>
    <t>SAF-0016 Prestar servicios de apoyo a la gestión de la Subdirección Administrativa y Financiera de la UAESP, desarrollando actividades relacionadas en el
Sistema de Gestión de Seguridad y Salud en el Trabajo – SGSST de la Unidad y las normas que lo regulan</t>
  </si>
  <si>
    <t>SAL-023. Prestar los servicios profesionales para apoyar el componente económico o financiero, desde el perfil contable, en los distintos trámites que se
requieran por los grupos que conforman la Subdirección de Asuntos Legales de la Unidad Administrativa Especial de Servicios Públicos UAESP.</t>
  </si>
  <si>
    <t>588</t>
  </si>
  <si>
    <t>26759139</t>
  </si>
  <si>
    <t>SUSAN YAMILE BOHORQUEZ CASTILLA</t>
  </si>
  <si>
    <t>OAP-002 Prestar los servicios profesionales a la Unidad Administrativa Especial de Servicios Públicos como apoyo jurídico a la Oficina Asesora de Planeación
en los temas propias de la dependencia relacionados con contratación administrativa, así como las consultas generales que haga dicha dependencia en materia
jurídica.</t>
  </si>
  <si>
    <t>CONVENIO IDARTES</t>
  </si>
  <si>
    <t>3-400-I001 RF-Administrados de destinación especifica</t>
  </si>
  <si>
    <t>SDF77-Aunar recursos técnicos, administrativos, humanos y/o financieros entre la Unidad Administrativa Especial de Servicios Públicos -UAESP- y el Instituto
Distrital de las Artes -IDARTES, para diseñar e implementar un proceso de formación y circulación desde la cultura y las artes, procurando la adecuada gestión
de los residuos, en el marco de la estrategia de cultura ciudadana #LaBasuraNoesBasura de la UAESP, en el área de influencia de los predios de Doña Juana
especificados en las resoluciones CAR 1351 y 2320 de 2014.</t>
  </si>
  <si>
    <t>SA-OPS-147 Prestar los servicios profesionales a la Subdirección de Aprovechamiento, para implementar procesos de fortalecimiento a las organizaciones de
recicladores de oficio, promover la formalización de acuerdo al Decreto 596 de 2016 y la implementación de acciones afirmativas establecidas por las
sentencias de la Honorable Corte Constitucional.</t>
  </si>
  <si>
    <t>615</t>
  </si>
  <si>
    <t>1020758460</t>
  </si>
  <si>
    <t>WILLIAM MAURICIO MORA MOLINA</t>
  </si>
  <si>
    <t>ADECUACIÓN DE ESPACIOS FÍSICOS</t>
  </si>
  <si>
    <t>SDF88- Adecuación de espacios físicos para la promoción, divulgación y demostración de proyectos productivos relacionados con las dinámicas rurales de los
habitantes del área de influencia de los predios Doña Juana.</t>
  </si>
  <si>
    <t>ADECUACIÓN e instalación del cableado estructurado</t>
  </si>
  <si>
    <t>ADQUISICIÓN MINICARGADOR</t>
  </si>
  <si>
    <t>3-200-I001 RB-Administrados de destinación específica</t>
  </si>
  <si>
    <t>SDF81 – Adquirir un minicargador y sus accesorios en apoyo al Centro de Transformación de Materia Orgánica en compostaje en cumplimiento de las medidas
de compensación establecidas en la resolución CAR 1351 de 2014.</t>
  </si>
  <si>
    <t>SDF70-Aunar recursos humanos, técnicos y financieros, para apoyar la permanencia en los programas de educación superior que ofrece la Universidad
Nacional de Colombia Sede Bogotá, a jóvenes habitantes de la zona de influencia del Relleno Sanitario Doña Juana de las localidades de Ciudad Bolívar y
Usme que hacen parte de la población objetivo que especifica las Resoluciones CAR: 1351 de 2014 y 2320 de 2014.</t>
  </si>
  <si>
    <t>SDF68 - Aunar recursos humanos, técnicos y financieros, para apoyar la permanencia en los programas de educación superior que ofrece la Universidad
Pedagógica Nacional, a jóvenes habitantes de la zona de influencia del Relleno Sanitario Doña Juana de las localidades de Ciudad Bolívar y Usme que hacen
parte de la población objetivo que especifica las Resoluciones CAR: 1351 de 2014 y 2320 de 2014.</t>
  </si>
  <si>
    <t xml:space="preserve">SAF-0055 prestar servicios profesionales apoyando a la subdirección administrativa y financiera desde el punto de vista jurídico, con el fin de fortalecer la
gestión institucional. </t>
  </si>
  <si>
    <t>: SAF-0108 PRESTAR SERVICIOS PROFESIONALES EN LA SUBDIRECCIÓNADMINISTRATIVA Y FINANCIERA PARA LA REVISIÓN, AJUSTE Y COMPLEMENTACIÓNDEL DISEÑO ESTRUCTURAL DE BODEGAS CEAP Y ÁREA DE SERVICIOS PARA ELPREDIO LA ALQUERÍA DE LA UAESP.</t>
  </si>
  <si>
    <t>610</t>
  </si>
  <si>
    <t>1015399898</t>
  </si>
  <si>
    <t>JULIAN DAVID LEON AYAZO</t>
  </si>
  <si>
    <t>RBL - 0082 Prestar los servicios profesionales a la Subdirección deRecolección, Barrido y Limpieza apoyando a la supervisión en larevisión, control y seguimiento a las actividades realizadas por lainterventoría del servicio público de aseo, así como en los aspectostécnicos y operativos relacionados con la prestación del servicio.</t>
  </si>
  <si>
    <t>613</t>
  </si>
  <si>
    <t>86004560</t>
  </si>
  <si>
    <t>FERNANDO  BUITRAGO CASTILLO</t>
  </si>
  <si>
    <t>RBL- 0081 Prestar los servicios profesionales a la Subdirección deRecolección, Barrido y Limpieza apoyando a la supervisión en larevisión, control y seguimiento a las actividades realizadas por lainterventoría del servicio público de aseo, así como en los aspectostécnicos y operativos relacionados con la prestación del servicio.</t>
  </si>
  <si>
    <t>RBL - 0080 Prestar los servicios técnicos a la Unidad AdministrativaEspecial de Servicios Públicos, apoyando técnica y operativamente a lasupervisión en el seguimiento de las actividades de la prestación delservicio público de aseo concesionadas mediante ASE.</t>
  </si>
  <si>
    <t>RBL- 0068 Apoyar la Unidad Administrativa Especial de Servicios PúblicosUAESP - en las acciones necesarias para el fortalecimiento de la gestiónsocial en la divulgación y promoción para el manejo adecuado de losresiduos sólidos en las localidades del Distrito Capital.</t>
  </si>
  <si>
    <t>SAF-0065 PRESTAR SERVICIOS PROFESIONALES A LA SUBDIRECCIÓNADMINISTRATIVA Y FINANCIERA DE LA UAESP, EN EL DESARROLLO DE LASACTIVIDADES LOS PLANES Y PROGRAMAS DE LA GESTIÓN DE TALENTO HUMANO.</t>
  </si>
  <si>
    <t>608</t>
  </si>
  <si>
    <t>Convenio UNAD</t>
  </si>
  <si>
    <t>SDF69-Aunar recursos humanos, técnicos, administrativos y financieros,para apoyar el acceso y continuidad a los programas de pregrado,técnico, tecnológico, y programas de formación en lengua extranjera, queofrece la Universidad Nacional Abierta y a Distancia - UNAD -, ahabitantes de la zona de influencia del Relleno Sanitario Doña Juana queestá establecida en la Licencia Ambiental Resoluciones CAR 1351 de 2014y 2320 de 2014.</t>
  </si>
  <si>
    <t>Adición y Prorroga al contrato UAESP-632-2020 cuyo objeto es ADECUACION DE LA PLANTA DE COMPOSTAJE Y LOMBRICULTURA, UBICADA EN EL SECTOR DE MOCHUELO BAJO PARA EL FORTALECIMIENTO, IMPLEMENTACION Y ESTANDARIZACION DEL PROCESO DE PRODUCCIÓN DE ABONOS A PARTIR DEL APROVECHAMIENTO DE RESIDUOS SÓLIDOS ORGÁNICOS.</t>
  </si>
  <si>
    <t>Adición y Prorroga al contrato UAESP-632-2020 cuyo objeto es ADECUACIONDE LA PLANTA DE COMPOSTAJE Y LOMBRICULTURA, UBICADA EN EL SECTOR DEMOCHUELO BAJO PARA EL FORTALECIMIENTO, IMPLEMENTACION Y ESTANDARIZACIONDEL PROCESO DE PRODUCCIÓN DE ABONOS A PARTIR DEL APROVECHAMIENTO DERESIDUOS SÓLIDOS ORGÁNICOS.</t>
  </si>
  <si>
    <t>SERVICIOS MONITOREO A MEDIOS DE COMUNICACIÓN</t>
  </si>
  <si>
    <t>SAF-0059 Prestar servicios de apoyo a la gestión al área de talento humano de la Subdirección Administrativa y Financiera de la UAESP en la consolidación,
unificación, organización y gestión de información de la dependencia.</t>
  </si>
  <si>
    <t>SAF-0103 Prestar servicios de apoyo a la gestión de la Subdirección Administrativa y Financiera de la Unidad Administrativa Especial de Servicios Públicos –
UAESP, a través de la ejecución de actividades relacionadas con la organización física y digital de documentación, la actualización de los inventarios
documentales en el formato FUID adoptado por la Unidad y el proceso de correspondencia.</t>
  </si>
  <si>
    <t>614</t>
  </si>
  <si>
    <t>1118572029</t>
  </si>
  <si>
    <t>LEYDER ANDERSON RODRIGUEZ DAVILA</t>
  </si>
  <si>
    <t>Pago del pasivo exigible a la adición No 10 del contrato de concesión No.283 de 2018 suscrito con PROMOAMBIENTAL DISTRITO S.A.S. E.S.P</t>
  </si>
  <si>
    <t>Pago del pasivo exigible a la adición No 10 del contrato de concesión No.283 de 2018 suscrito con PROMOAMBIENTAL DISTRITO S.A.S. E.S.P, cuyo objeto
es “CONCESIONAR BAJO LA FIGURA DE ÁREAS DE SERVICIO EXCLUSIVO, LA PRESTACIÓN DEL SERVICIO PÚBICO DE ASEO EN LA CIUDAD DE
BOGOTÁ D.C. - COLOMBIA, EN SUS COMPONENTES DE RECOLECCIÓN DE RESIDUOS NO APROVECHABLES, BARRIDO, LIMPIEZA DE VÍAS Y
ÁREAS PÚBLICAS, CORTE DE CÉSPED, PODA DE ÁRBOLES EN ÁREAS PÚBLICAS, LAVADO DE ÁREAS PÚBLICAS Y TRANSPORTE DE LOS
RESIDUOS GENERADOS POR LAS ANTERIORES ACTIVIDADES A LOS SITIOS DE DISPOSICIÓN FINAL.</t>
  </si>
  <si>
    <t>Pago del pasivo exigible a la adición No 12 del contrato de concesión No.283 de 2018 suscrito con PROMOAMBIENTAL DISTRITO S.A.S. E.S.P</t>
  </si>
  <si>
    <t>Pago del pasivo exigible a la adición No 12 del contrato de concesión No.283 de 2018 suscrito con PROMOAMBIENTAL DISTRITO S.A.S. E.S.P, cuyo objeto
es “CONCESIONAR BAJO LA FIGURA DE ÁREAS DE SERVICIO EXCLUSIVO, LA PRESTACIÓN DEL SERVICIO PÚBICO DE ASEO EN LA CIUDAD DE
BOGOTÁ D.C. - COLOMBIA, EN SUS COMPONENTES DE RECOLECCIÓN DE RESIDUOS NO APROVECHABLES, BARRIDO, LIMPIEZA DE VÍAS Y
ÁREAS PÚBLICAS, CORTE DE CÉSPED, PODA DE ÁRBOLES EN ÁREAS PÚBLICAS, LAVADO DE ÁREAS PÚBLICAS Y TRANSPORTE DE LOS
RESIDUOS GENERADOS POR LAS ANTERIORES ACTIVIDADES A LOS SITIOS DE DISPOSICIÓN FINAL.</t>
  </si>
  <si>
    <t>Pago del pasivo exigible a la adición No 13 del contrato de concesión No.284 de 2018 suscrito con LIMPIEZA METROPOLITANA  S.A. E.S.P</t>
  </si>
  <si>
    <t>Pago del pasivo exigible a la adición No 13 del contrato de concesión No.284 de 2018 suscrito con LIMPIEZA METROPOLITANA S.A. E.S.P, cuyo objeto es
“CONCESIONAR BAJO LA FIGURA DE ÁREAS DE SERVICIO EXCLUSIVO, LA PRESTACIÓN DEL SERVICIO PÚBICO DE ASEO EN LA CIUDAD DE
BOGOTÁ D.C. - COLOMBIA, EN SUS COMPONENTES DE RECOLECCIÓN DE RESIDUOS NO APROVECHABLES, BARRIDO, LIMPIEZA DE VÍAS Y
ÁREAS PÚBLICAS, CORTE DE CÉSPED, PODA DE ÁRBOLES EN ÁREAS PÚBLICAS, LAVADO DE ÁREAS PÚBLICAS Y TRANSPORTE DE LOS
RESIDUOS GENERADOS POR LAS ANTERIORES ACTIVIDADES A LOS SITIOS DE DISPOSICIÓN FINAL.</t>
  </si>
  <si>
    <t xml:space="preserve">Servicios de separación </t>
  </si>
  <si>
    <t>Adición y prorroga al contrato UAESP-139-2021, SDF12-Prestar servicios profesionales a la Subdirección de Disposición final de la UAESP, desde el componente técnico en topografía las actividades de control, gestión, seguimiento del servicio y actividades complementaria.</t>
  </si>
  <si>
    <t>Adición y prorroga al contrato UAESP-139-2021, SDF12-Prestar serviciosprofesionales a la Subdirección de Disposición final de la UAESP, desdeel componente técnico en topografía las actividades de control, gestión,seguimiento del servicio y actividades complementaria.</t>
  </si>
  <si>
    <t>617</t>
  </si>
  <si>
    <t>139</t>
  </si>
  <si>
    <t>1014246288</t>
  </si>
  <si>
    <t>Arrendamiento de inmueble</t>
  </si>
  <si>
    <t>SA-OPS-006 Arrendamiento de los inmueble contiguos ubicados en laCarrera 69 k No. 79-49 y Carrera 69 k No. 79 -53 de La localidad deEngativá de la ciudad de Bogotá D.C, para llevar a cabo actividades deseparación, pesaje y/o transformación de material potencialmenteaprovechable recolectado y transportado por recicladores de oficio.</t>
  </si>
  <si>
    <t>Arrendamiento de inmuebles</t>
  </si>
  <si>
    <t>SA-OPS-005 Arrendamiento de cuatro (4) inmuebles contiguos que conformanuna sola bodega, ubicadas en la Carrera 83 No. 11A – 53, Carrera 83 No.11ª – 43, Carrera 84 No. 11ª-34 y Carrera 83 No. 11A – 23 de laLocalidad de Kennedy de la ciudad de Bogotá D.C, para llevar a caboactividades de separación, pesaje y/o transformación de materialpotencialmente aprovechable recolectado y transportado por recicladoresde oficio.</t>
  </si>
  <si>
    <t>SA-OPS-008 Arrendamiento del inmueble ubicado en la dirección Carrera65B # 17-80 de la Localidad de Puente Aranda de la ciudad de Bogotá D.C,para llevar a cabo actividades de separación, pesaje y/o transformaciónde material potencialmente aprovechable recolectado y transportado porrecicladores de oficio.</t>
  </si>
  <si>
    <t>Cubrir el pago de los aportes al sistema de riesgos laborales de los contratistas de prestación de servicios personales de la UAESP clasificados en riesgos laborales, correspondiente a los meses de abril a octubre de 2021.</t>
  </si>
  <si>
    <t>Cubrir el pago de los aportes al sistema de riesgos laborales de loscontratistas de prestación de servicios personales de la UAESPclasificados en riesgos laborales, correspondiente a los meses de abrila octubre de 2021.</t>
  </si>
  <si>
    <t>606</t>
  </si>
  <si>
    <t>SAP-031 Prestación de servicios profesionales de apoyo a la Subdirecciónde Servicios Funerarios y Alumbrado Público, en el ámbito de laingeniería, en lo relacionado con nuevas tecnologías en la prestacióndel servicio de alumbrado público.</t>
  </si>
  <si>
    <t>Pago del Pasivo Exigible correspondiente al Contrato de Prestación de Servicios No. 306 de 2019 cuyo objeto es: “Prestar los servicios profesionales desde el ámbito financiero y socioeconómico a la Subdirección de Servicios Funerarios y Alumbrado Público, en la estructuración, revisión y trámite del modelo de prestación de servicios funerarios, así como los activos al servicio de alumbrado público”.</t>
  </si>
  <si>
    <t>1-601-F001 PAS-Otro distrito</t>
  </si>
  <si>
    <t>Pago del Pasivo Exigible correspondiente al Contrato de Prestación deServicios No. 306 de 2019 cuyo objeto es: “Prestar los serviciosprofesionales desde el ámbito financiero y socioeconómico a laSubdirección de Servicios Funerarios y Alumbrado Público, en laestructuración, revisión y trámite del modelo de prestación de serviciosfunerarios, así como los activos al servicio de alumbrado público”</t>
  </si>
  <si>
    <t>Servicios de separación insitu de los residuos</t>
  </si>
  <si>
    <t>SA-OPS-049 Prestación de servicios de apoyo a la gestión para laseparación insitu de los residuos de construcción y demolición -RCD- queestán mezclados y se encuentran en los puntos críticos y/o de arrojoclandestino de la ciudad de Bogotá, asignados por la UAESP que lepermita obtener a la organización de recicladores el materialaprovechable de cada punto.</t>
  </si>
  <si>
    <t xml:space="preserve">Convenio </t>
  </si>
  <si>
    <t>: SDF71-Aunar recursos humanos, técnicos y financieros, para apoyar lapermanencia en los programas de educación superior, tecnológica yprofesional que ofrece la Universidad Distrital Francisco José deCaldas, a jóvenes habitantes de la zona de influencia del RellenoSanitario Doña Juana de las localidades de Ciudad Bolívar y Usme quehacen parte de la población objetivo que especifica las ResolucionesCAR: 1351 de 2014 y 2320 de 2014.</t>
  </si>
  <si>
    <t>Pago del pasivo exigible a la adición No 5 del contrato de concesión No.284 de 2018 suscrito con LIMPIEZA METROPOLITANA  S.A. E.S.P,  cuyo objeto es “CONCESIONAR BAJO LA FIGURA DE ÁREAS DE SERVICIO EXCLUSIVO, LA PRESTACIÓN DEL SERVICIO PÚBICO DE ASEO EN LA CIUDAD DE BOGOTÁ D.C. - COLOMBIA, EN SUS COMPONENTES DE RECOLECCIÓN DE RESIDUOS NO APROVECHABLES, BARRIDO, LIMPIEZA DE VÍAS Y ÁREAS PÚBLICAS, CORTE DE CÉSPED, PODA DE ÁRBOLES EN ÁREAS PÚBLICAS, LAVADO DE ÁREAS PÚBLICAS Y TRANSPORTE DE LOS RESIDUOS GENERADOS POR LAS ANTERIORES ACTIVIDADES A LOS SITIOS DE DISPOSICIÓN FINAL.</t>
  </si>
  <si>
    <t>: Pago del pasivo exigible a la adición No 5 del contrato de concesiónNo.284 de 2018 suscrito con LIMPIEZA METROPOLITANA S.A. E.S.P, cuyoobjeto es “CONCESIONAR BAJO LA FIGURA DE ÁREAS DE SERVICIO EXCLUSIVO, LAPRESTACIÓN DEL SERVICIO PÚBICO DE ASEO EN LA CIUDAD DE BOGOTÁ D.C. -COLOMBIA, EN SUS COMPONENTES DE RECOLECCIÓN DE RESIDUOS NOAPROVECHABLES, BARRIDO, LIMPIEZA DE VÍAS Y ÁREAS PÚBLICAS, CORTE DECÉSPED, PODA DE ÁRBOLES EN ÁREAS PÚBLICAS, LAVADO DE ÁREAS PÚBLICAS YTRANSPORTE DE LOS RESIDUOS GENERADOS POR LAS ANTERIORES ACTIVIDADES ALOS SITIOS DE DISPOSICIÓN FINAL.</t>
  </si>
  <si>
    <t>Pago del Pasivo exigible del contrato 394 de 2019 Objeto: Prestar servicios profesionales para apoyar la realización de las charlas y talleres dirigidos a instituciones educativas de la ciudad, organizaciones sociales y comunitarias, para fomentar las campañas de cultura ciudadana relacionadas con la separación en la fuente, dignificación de la actividad de aprovechamiento y el manejo integral de residuos sólidos en el Distrito Capital y la Región.</t>
  </si>
  <si>
    <t>Pago del Pasivo exigible del contrato 394 de 2019 Objeto: Prestarservicios profesionales para apoyar la realización de las charlas ytalleres dirigidos a instituciones educativas de la ciudad,organizaciones sociales y comunitarias, para fomentar las campañas decultura ciudadana relacionadas con la separación en la fuente,dignificación de la actividad de aprovechamiento y el manejo integral deresiduos sólidos en el Distrito Capital y la Región.</t>
  </si>
  <si>
    <t>Pago del Pasivo exigible del contrato 476 de 2019 Objeto: Prestar servicios profesionales en la defensa jurídica de los intereses de La Unidad Administrativa Especial de Servicios Públicos dentro del proceso arbitral convocado con la sociedad CONSORCIO ASEO CAPITAL S.A.ESP, en la controversia del contrato 260 del 2012 identificado mediante número de caso 114384 de la cámara de comercio de Bogotá</t>
  </si>
  <si>
    <t>Pago del Pasivo exigible del contrato 476 de 2019 Objeto: Prestarservicios profesionales en la defensa jurídica de los intereses de LaUnidad Administrativa Especial de Servicios Públicos dentro del procesoarbitral convocado con la sociedad CONSORCIO ASEO CAPITAL S.A.ESP, en lacontroversia del contrato 260 del 2012 identificado mediante número decaso 114384 de la cámara de comercio de Bogotá.</t>
  </si>
  <si>
    <t>Interventoría servicio de alumbrado</t>
  </si>
  <si>
    <t>SAP-001 Realizar la interventoría técnica-operativa socialadministrativa ambiental regulatoria jurídica de seguridad industrial ysalud en el trabajo; de la prestación del servicio de alumbrado públicoen Bogotá que se presta conforme al Convenio No766 de 1997 cuyo objetoes la prestación del servicio de alumbrado público en Bogotá DC y elAcuerdo complementario del mismo suscrito entre el Distrito Capital/UESPy CODENSA el 25 de 1de 2002 y aquellos que los sustituyan modifiquen oadicionen.</t>
  </si>
  <si>
    <t>SSF-024 Prestar los servicios profesionales a la Subdirección deServicios Funerarios y Alumbrado Público, para apoyar técnicamente ydesde el componente sanitario las actividades de gestión y seguimientorelacionadas con la prestación de los servicios funerarios en losCementerios de propiedad del Distrito.</t>
  </si>
  <si>
    <t>Convenio</t>
  </si>
  <si>
    <t>SDF87- Aunar los esfuerzos técnicos, administrativos, financieros ylogísticos necesarios para adelantar acciones tendientes a laarborización, restauración, recuperación y el mantenimiento del arboladoen pro del mejoramiento de las coberturas vegetales del DistritoCapital, en el marco de las competencias del Jardín Botánico de Bogotá yla Unidad Administrativa Especial de Servicios Públicos UAESP.</t>
  </si>
  <si>
    <t>Pago del Pasivo exigible del contrato 287 de 2013 Objeto: Prestar los servicios profesionales a la Unidad Administrativa Especial de Servicios Públicos –UAESP- para el cumplimiento de los requisitos de carácter urbanístico, en el proceso de regularización de las bodegas privadas de reciclaje, inscritas en el inventario de bodegas de conformidad a los Decretos 456 de 2010, 082 de 2012 y 113 de 2013.</t>
  </si>
  <si>
    <t>Pago del Pasivo exigible del contrato 287 de 2013 Objeto: Prestar los servicios profesionales a la Unidad Administrativa Especial de Servicios Públicos –
UAESP- para el cumplimiento de los requisitos de carácter urbanístico, en el proceso de regularización de las bodegas privadas de reciclaje, inscritas en el
inventario de bodegas de conformidad a los Decretos 456 de 2010, 082 de 2012 y 113 de 2013</t>
  </si>
  <si>
    <t>SA-061 - Aunar esfuerzos técnicos, administrativos, financieros y humanos, para el Fortalecimiento técnico en el desarrollo de los procesos de aprovechamiento de residuos sólidos en la ciudad de Bogotá</t>
  </si>
  <si>
    <t>SA-061 Aunar esfuerzos técnicos, administrativos, financieros y humanos, para el Fortalecimiento técnico en el desarrollo de los procesos de aprovechamiento
de residuos sólidos en la ciudad de Bogotá</t>
  </si>
  <si>
    <t>SA-OPS-150 Prestar Servicios profesionales a la Subdirección de Aprovechamiento para desarrollar los procesos de gestión territorial mediante la estrategia de Cultura Ciudadana “La Basura no es Basura”, la implementación de acciones afirmativas y la identificación y formalización de recicladores de oficio en el registro RURO</t>
  </si>
  <si>
    <t>SA-OPS-150 Prestar Servicios profesionales a la Subdirección de Aprovechamiento para desarrollar los procesos de gestión territorial mediante la estrategia de
Cultura Ciudadana “La Basura no es Basura”, la implementación de acciones afirmativas y la identificación y formalización de recicladores de oficio en el
registro RURO</t>
  </si>
  <si>
    <t>Adecuación Casa Los Manzanos</t>
  </si>
  <si>
    <t>SDF92 – Desmonte y/o demolición y reconstrucción de la cubierta, obrasde adecuación y mantenimiento del inmueble denominado casa los manzanospropiedad de la UAESP, como centro de encuentro para apoyar eldesarrollo de las actividades propias de guardabosques y demásactividades para la conservación y recuperación ambiental aledaña alRSDJ.</t>
  </si>
  <si>
    <t>Renovación de licencias servicios de ofimática</t>
  </si>
  <si>
    <t>TIC - 0009 Renovar la suscripción de licencias de servicios de ofimáticasuit con cuentas correos, colaborativas y BI para el desarrollo de lasactividades de la Unidad Administrativa Especial de Servicios Públicos -UAESP, a través la Tienda Virtual del Estado Colombiano.</t>
  </si>
  <si>
    <t>Adición y Prorroga No. 1 del contrato OAP-172-21 Prestar servicios profesionales a la Unidad Administrativa Especial de Servicios Públicos – UAESP, en la implementación, desarrollo y mantenimiento del Modelo Integrado de Planeación y Gestión MIPG, en particular con las dimensiones de Direccionamiento Estratégico y Planeación, Gestión con Valores para Resultados y Evaluación de Resultados.</t>
  </si>
  <si>
    <t>Adición y Prorroga No. 1 del contrato OAP-172-21 Prestar serviciosprofesionales a la Unidad Administrativa Especial de Servicios Públicos– UAESP, en la implementación, desarrollo y mantenimiento del ModeloIntegrado de Planeación y Gestión MIPG, en particular con lasdimensiones de Direccionamiento Estratégico y Planeación, Gestión conValores para Resultados y Evaluación de Resultados.</t>
  </si>
  <si>
    <t>SAP-032 Prestar los servicios de apoyo a la Subdirección de Servicios Funerarios y Alumbrado Público, brindando acompañamiento desde el componente
social, en lo relacionado con la prestación del servicio de alumbrado público</t>
  </si>
  <si>
    <t>SAL-055 Elaborar los avalúos comerciales dentro de los procesos de adquisición predial que requiera la UAESP</t>
  </si>
  <si>
    <t>Avalúos comerciales</t>
  </si>
  <si>
    <t>1082001010 servicios de la construcción</t>
  </si>
  <si>
    <t>RBL-0086 Prestar los servicios profesionales a la Subdirección de Recolección, Barrido y Limpieza, apoyando la gestión externa de residuos hospitalarios y
similares, para el seguimiento, planeación, control, revisión y verificación de las políticas, planes, programas, actividades y procesos, enmarcados en los
componentes de gestión y supervisión técnico operativo, ambiental, sanitario, normativo y de seguridad industrial y salud ocupacional</t>
  </si>
  <si>
    <t>RBL-0093 Prestar los servicios profesionales a la Subdirección de Recolección, Barrido y Limpieza en el seguimiento a la prestación del servicio público de
aseo, en especial a aquellos residuos de manejo especial y críticos enmarcados en los procesos relacionados con la gestión integral de residuos sólidos en el
Distrito Capital</t>
  </si>
  <si>
    <t>RBL- 0094 Prestar los servicios profesionales a la Subdirección de Recolección, Barrido y Limpieza en el área técnica y operativa para el seguimiento de la
supervisión a la interventoría del servicio público de aseo en sus distintos componentes, entre otros relacionados con la gestión integral de los residuos sólidos
en el Distrito</t>
  </si>
  <si>
    <t>RBL-0095 Prestar los Servicios Profesionales a la Unidad Administrativa Especial de Servicios Públicos - UAESP- para apoyar técnicamente y operativamente
el seguimiento y la supervisión de las actividades de recolección, barrido y limpieza del servicio de aseo</t>
  </si>
  <si>
    <t>SA- 202 Compra, instalación y puesta en funcionamiento de sistema de pesaje, tipo báscula camionera electrónica sobre piso de capacidad hasta cuarenta (40) toneladas, para la Planta de Aprovechamiento de Residuos orgánicos en el Distrito Capital.</t>
  </si>
  <si>
    <t>Compra, instalación y puesta en funcionamiento de sistema de pesaje</t>
  </si>
  <si>
    <t xml:space="preserve">Pago Pasivo exigible de Promesa de compraventa 05 de 2019 Adquisición de un inmueble ubicado en la diagonal 38 S N° 81 G-66 (Bodega 9) Barrio María Paz de la ciudad de Bogotá, para la implementación de la estación de clasificación y aprovechamiento del barrio maría paz. </t>
  </si>
  <si>
    <t>Pago Pasivo exigible de Acuerdo de Reconocimiento factor económico del plan de gestión social en Adquisición de predios de la UAESP, en desarrollo del proyecto de adquisición de la propiedad y demás derechos reales para la estación de clasificación y aprovechamiento del barrio maría paz.</t>
  </si>
  <si>
    <t>PROYECTO</t>
  </si>
  <si>
    <t>META PLAN DE DESARROLLO 
2020</t>
  </si>
  <si>
    <t xml:space="preserve">SUBDIRECCION </t>
  </si>
  <si>
    <t xml:space="preserve">META PROYECTO DE INVERSION </t>
  </si>
  <si>
    <t>RESERVAS CONSTITUIDAS</t>
  </si>
  <si>
    <t>ANULACIONES</t>
  </si>
  <si>
    <t>RESERVAS DEFINTIVAS</t>
  </si>
  <si>
    <t>GIROS ENERO</t>
  </si>
  <si>
    <t>GIROS MARZO</t>
  </si>
  <si>
    <t>GIROS ACUMULADOS</t>
  </si>
  <si>
    <t>SALDO POR GIRAR</t>
  </si>
  <si>
    <t>1109 - Gestión integral de residuos sólidos orientada al aprovechamiento</t>
  </si>
  <si>
    <t>Disminuir en 6% las toneladas de residuos urbanos dispuestos en el relleno sanitario</t>
  </si>
  <si>
    <t xml:space="preserve">Subdirección de Aprovechamiento </t>
  </si>
  <si>
    <t>Establecer  1 linea base del componente de aprovechamiento en la ciudad de bogota D.C</t>
  </si>
  <si>
    <t>Implementar el 100% del plan de fortalecimiento y formalización a la población recicladora de oficio</t>
  </si>
  <si>
    <t>Disponer el 100% de los residuos que ingresan al RSDJ</t>
  </si>
  <si>
    <t>Mantener el 100% las condiciones generales para el funcionamiento y operación del RSDJ</t>
  </si>
  <si>
    <t>Subdirección de Recolección, Barrido y Limpieza</t>
  </si>
  <si>
    <t>Garantizar el 100% de la Obligaciones de Hacer para el mejoramiento del estándar del servicio público de aseo</t>
  </si>
  <si>
    <t>Garantizar la recoleccion y transporte 100 % de los residuos sólidos que se generan en la ciudad al sitio de disposición final</t>
  </si>
  <si>
    <t>1048 - Gestión para la ampliación y modernización de los servicios funerarios prestados en los cementerios de propiedad del Distrito Capital</t>
  </si>
  <si>
    <t>26 servicios funerarios integrales prestados en los cementerios de propiedad del Distrito</t>
  </si>
  <si>
    <t>Subdirección de Servicios Funerarios y Alumbrado Público</t>
  </si>
  <si>
    <t>Entregar 26 servicios funerarios integrales prestados en los cementerios de propiedad del Distrito.</t>
  </si>
  <si>
    <t xml:space="preserve">Fortalecer 100 % la planeación del servicio y la gestión de control, supervisión y evaluación de la prestación de los Servicios Funerarios en el Distrito Capital </t>
  </si>
  <si>
    <t>Fortalecer 100% la planeación del servicio y la gestión de control, supervisión y evaluación de los servicios funerarios prestados en los cementerios de propiedad del Distrito Capital</t>
  </si>
  <si>
    <t>1045 - Gestión para la eficiencia energética del servicio de alumbrado público</t>
  </si>
  <si>
    <t xml:space="preserve">Aumentar en 17 puntos porcentuales las personas que consideran que el barrio en el que habitan es seguro </t>
  </si>
  <si>
    <t>Fortalecer 100 % la planeación del servicio y la gestión de control, supervisión y evaluación de la prestación del servicio de Alumbrado Público en el Distrito Capital.</t>
  </si>
  <si>
    <t>1042 - Fortalecimiento institucional en la gestión pública</t>
  </si>
  <si>
    <t>544-Gestionar el 100% del plan de adecuación y sostenibilidad SIGD-MIPG </t>
  </si>
  <si>
    <t>Mejorar el 100% de la capacidad operativa y administrativa para el buen desarrollo organizacional de la Unidad.</t>
  </si>
  <si>
    <t xml:space="preserve">Subdirección Administrativa y Financiera - Gestion Documental </t>
  </si>
  <si>
    <t>Fortalecer y mantener  el  100%  de la memoria institucional de la Unidad y promoveer la cultura de cero papel.</t>
  </si>
  <si>
    <t>Desarrollar y fortalecer el modelo de  transformación organizacional de la entidad.</t>
  </si>
  <si>
    <t>Garantizar el 100% de la arquitectura tecnológica de la entidad</t>
  </si>
  <si>
    <t>META PLAN DE DESARROLLO 
2021</t>
  </si>
  <si>
    <t>7569 - Transformación Gestión integral de residuos sólidos hacia una cultura de aprovechamiento y valorización de residuos en el distrito capital  Bogotá</t>
  </si>
  <si>
    <t>Gestionar en el terreno del RSDJ la disminución del entierro de residuos y el mayor aprovechamiento con alternativas de transformación en energía y biogás, para que su vida útil no dependa del entierro de residuos sino de los proyectos de aprovechamiento.</t>
  </si>
  <si>
    <t>2-Hacer monitoreo, seguimiento y control del 90% de toneladas en la disposición de residuos sólidos ordinarios.</t>
  </si>
  <si>
    <t>Actualizar e implementar  el  Plan Integral de gestión de residuos sólidos PGIRS del Distrito</t>
  </si>
  <si>
    <t>3-Garantizar el 100% de la contratación del personal para la actualización del PGIRS mediante la entrega del documento de proyecto de Decreto y DTS</t>
  </si>
  <si>
    <t xml:space="preserve">Formular e implementar 2 proyectos piloto de aprovechamiento de tratamiento de residuos con fines de valoración energetica, En medio reductor o procesos biologicos que garanticen minimo un 10 % de tratamiento de residuos no aprovechables.. </t>
  </si>
  <si>
    <t>5-Desarrollar la consultoría de 2 estudios  a nivel de ingeniería de detalle - Fase III.</t>
  </si>
  <si>
    <t>Formular e implementar un modelo de aprovechamiento de residuos para la ciudad, en el que se incluya aprovechamiento de orgánicos – plástico, fortalecimiento a la población recicladora; y supervisión y seguimiento a las ECAS</t>
  </si>
  <si>
    <t>7-Desarrollar 2 modelos de aprovechamiento para la ciudad por flujo de residuos enmarcado en la política pública de aprovechamiento priorizando orgánicos y plásticos.</t>
  </si>
  <si>
    <t>8-Propender por el 100% de procesos de fortalecimiento personal técnico empresarial y social para la población recicladora en general en el marco de la prestación del servicio púbico de aprovechamiento.</t>
  </si>
  <si>
    <t>10-Realizar el 100% de Acompañamiento técnico administrativo y social para fortalecer la operación y gestión de las ECA en cumplimiento de la normatividad y los procedimientos de gestión implementados.</t>
  </si>
  <si>
    <t>12-Desarrollar EL 100% de programas de Formación para la población recicladora de oficio ubicados en las ECA"</t>
  </si>
  <si>
    <t>Garantizar la operación de  recolección, barrido y limpieza de los residuos sólidos al sitio de disposición final, en el marco de lo dispuesto en el PGIRS; y la supervisión de la recolección, transporte y almacenamiento temporal para disposición final de los residuos hospitalarios y similares generados en el Distrito Capital.</t>
  </si>
  <si>
    <t>14-Ejecutar el 100% de los recursos destinados a obligaciones de hacer para el mejoramiento del estándar de calidad y continuidad del servicio público de aseo.</t>
  </si>
  <si>
    <t>Gestión y recolección de los residuos mixtos en los puntos críticos de la ciudad</t>
  </si>
  <si>
    <t>16-Remunerar el 100% de la gestión integral de residuos sólidos no cubiertos en la tarifa del servicio público de aseo</t>
  </si>
  <si>
    <t>Implementar un modelo eficiente y sostenible de gestión de los residuos de demolición y construcción en el Distrito Capital.</t>
  </si>
  <si>
    <t>17-Realizar saneamiento Predial, a través de un (1) modelo adecuado de Servicios Públicos e infraestructura.</t>
  </si>
  <si>
    <t>Implementar una estrategia de cultura ciudadana para promover la separación en la fuente, el reuso, el reciclaje, valoración y aprovechamiento de residuos ordinarios orgánicos e inorgánicos, contribuyendo a mejorar la gestión sostenible de los residuos generados en la ciudad.</t>
  </si>
  <si>
    <t xml:space="preserve">18-Formular una (1) estrategia de cultura ciudadana “Reciclar es la salida” (“Bogotá verde” etc.) para la dignificación separación en la fuente orientada al cambio cultural y comportamental para la separación y el reciclaje.
</t>
  </si>
  <si>
    <t>19-Formular e implementar en el marco de una (1) estrategia de cultura ciudadana las acciones pedagógicas por tipo de usuario orientados a generar conciencia y prácticas responsables del manejo de residuos.</t>
  </si>
  <si>
    <t>7628 -  Fortalecimiento efectivo en la gestión institucional  Bogotá</t>
  </si>
  <si>
    <t xml:space="preserve">Fortalecer la gestión institucional y el modelo de gestión de la SDHT, CVP y UAESP </t>
  </si>
  <si>
    <t>3- Establecer e implementar 1(Un) patrón de procesos y actividades que aumenten el fortalecimiento organizacional de la unidad.</t>
  </si>
  <si>
    <t>2- Aumentar en al menos un 25% la capacidad en la arquitectura tecnológica, subsanando las necesidades que coadyuven a fortalecer y mantener la misma.</t>
  </si>
  <si>
    <t>7644 - Ampliación Gestión para la planeación, ampliación  y revitalización de los servicios funerarios prestados en los cementerios de propiedad del distrito capital  Bogotá</t>
  </si>
  <si>
    <t>Aumentar en un 50 % la capacidad instalada de infraestructura en bóvedas, osarios y cenízaros (BOC) u otros equipamientos en los Cementerios Distritales, promoviendo su revitalización.</t>
  </si>
  <si>
    <t>2- Fortalecer 100% la gestión para realizar proyectos de revitalización, modernización, regularización, desarrollo, ampliación, adecuación y/o restauración de los servicios funerarios en los cementerios</t>
  </si>
  <si>
    <t>3-Mejorar 100% la interventoría y supervisión prestación del servicio funerario en los equipamientos del distrito</t>
  </si>
  <si>
    <t>4-Realizar dos documentos para planeación de los equipamientos y desarrollo de la infraestructura.</t>
  </si>
  <si>
    <t>7652 - Fortalecimiento gestión para la eficiencia energética del servicio de alumbrado público  Bogotá</t>
  </si>
  <si>
    <t>Aumentar en un 25% la Modernización a  Tecnología  Led   del parque lumínico distrital compuesto por un total de 356.000  luminarias.</t>
  </si>
  <si>
    <t>2-Fortalecer 100% la planeación, la gestión y la evaluación de la prestación del servicio de Alumbrado Público en el Distrito Capital, para su modernización</t>
  </si>
  <si>
    <t xml:space="preserve">7660 -  Mejoramiento Subvenciones y ayudas para dar acceso a los servicios funerarios del distrito destinadas a la población en condición de vulnerabilidad  Bogotá </t>
  </si>
  <si>
    <t>Otorgar 12.500 subvenciones y ayudas a la  población vulnerable que cumplan los requisitos, para acceder a los servicios funerarios del Distrito</t>
  </si>
  <si>
    <t>1-Otorgar 12.500 subvenciones o ayudas a la población vulnerable que cumplan los requisitos, para acceder a los servi-cios funerarios del Distrito</t>
  </si>
  <si>
    <t>2-Desarrollo de 4 campañas para incentivar un cambio cultural orientado al uso de la cremación como servicio de destino final</t>
  </si>
  <si>
    <t>RESERVAS INVERSIÓN</t>
  </si>
  <si>
    <t>RESERVAS GASTOS DE FUNCIONAMIENTO</t>
  </si>
  <si>
    <t>TOTAL DE RESERVAS A DICIEMBRE DE 2020</t>
  </si>
  <si>
    <t>*Información con corte a 31 de marzo de 2021</t>
  </si>
  <si>
    <t>PLAN DE DESARROLLO “UN NUEVO CONTRATO SOCIAL Y AMBIENTAL PARA LA BOGOTÁ DEL SIGLO XXI” 2020-2024</t>
  </si>
  <si>
    <t>UNIDAD ADMINISTRATIVAS ESPECIAL DE SERVICIOS PUBLICOS</t>
  </si>
  <si>
    <t xml:space="preserve">SEGUIMIENTO METAS PLAN DESARROLLO  ACUMULADO </t>
  </si>
  <si>
    <t>FECHA:</t>
  </si>
  <si>
    <t>30 DE ENERO 2021</t>
  </si>
  <si>
    <t>Meta PDD</t>
  </si>
  <si>
    <t xml:space="preserve">PRESUPUESTO ASIGNADO </t>
  </si>
  <si>
    <t>PRESUPUESTO EJECUTADO</t>
  </si>
  <si>
    <t>% DE EJECUCIÓN PRESUPUESTAL</t>
  </si>
  <si>
    <t>MANIGTUD PROGRAMADA 
2021</t>
  </si>
  <si>
    <t>MANIGTUD EJECUTADA 2021</t>
  </si>
  <si>
    <t>% CUMPLIMIENTO MANIGTUD
VIGENCIA 2021</t>
  </si>
  <si>
    <t>% AVANCE  FISICO ACUMULADO   METAS PLAN  (2020-2024 UAESP)  ENERO  2021</t>
  </si>
  <si>
    <t>OBSERVACIONES DE SUS AVANCES EN LA VIGENCIA 2021</t>
  </si>
  <si>
    <t>RETRASOS PRESENTADOS EN LA VIGENCIA 2021</t>
  </si>
  <si>
    <t xml:space="preserve">509-Fortalecer la gestión institucional y el modelo de gestión de la SDHT, CVP y UAESP </t>
  </si>
  <si>
    <t xml:space="preserve">Por inicio de la vigencia se garantizaron los procesos contractuales de la pestación de servicio de personal de apoyo según los requerimientos realizados por las diferentes dependencias. </t>
  </si>
  <si>
    <t>5-Otorgar 12.500 subvenciones y ayudas a la  población vulnerable que cumplan los requisitos, para acceder a los servicios funerarios del Distrito</t>
  </si>
  <si>
    <t xml:space="preserve"> Se a logrado a enero entregar 163 Subvenciones a  la población más vulnerable de Bogotá,  dando cobertura en todos los cuatro cementerios del distrito Capital.</t>
  </si>
  <si>
    <t xml:space="preserve">Se tiene programado el presupuesto para el mausoleo en el Cementerio Parque Serafín que ampliará la capacidad en esta vigencia de 475 BOC, se espera inicie el contrato en el mes de febrero 2021. </t>
  </si>
  <si>
    <t>Por las dificultades presentadas en el año inmediatamente anterior frente a la pandemia por el COVID -19 que se vive en la ciudad, retrazó la expedición de los permisos requeridos para inciar las obras de las BOC y por ello, no se pudieron contratar a tiempo los diseños de dicho proyecto para el inicio de la obra.</t>
  </si>
  <si>
    <t>1.A la fecha se encuentra suscrito el Contrato de Consultoría No. UAESP-777-2020 con el CONSORCIO ESTRUCTURADOR RESIDUOS CYC y cuyo objeto es 2020 "Estudios de Factibilidad para el Sistema de Aprovechamiento y Valorización de Residuos Mediante el Tratamiento Térmico y/o Similares con Generación de Energía y/o sub-productos incluyendo su Análisis Costo Beneficio y Evaluación Económica y Financiera", sobre el cual en el mes de enero el contratista presentó la documentación requerida para la suscripción del Acta de Inicio, la cual fue revisada por la supervisión y se enviaron las respectivas observaciones para que sean atendidas por parte del contratista.
2.Frente a la disminución de residuos ingresados al Relleno Sanitario por separación de RPCC, se obtienen los siguientes avances:
-Se realiza el monitoreo, seguimiento y control permanente a las toneladas en la disposición de residuos ordinarios.
-La información de pesaje de material RPCC (arrojo clandestino en puntos críticos) mediante certificación emitida por la interventoría UT Inter DJ corresponde a mes vencido; en el mes de enero de 2021 se descargaron 6.488,98 toneladas de Residuos RPCC en el Punto Limpio (Punto Limpio es el sitio establecido por la UAESP para que el gestor realice la separación y almacenamiento temporal de los Residuos de construcción y demolición – RCD, que se encuentra ubicado el Predio Buenos Aires Doña Juana).
3. Con el ánimo de garantizar el seguimiento y gestión de obras civiles identificadas dentro del marco de mitigación del riesgo, se adelanta:
- Adición No. 7 al contrato 130E 2011 de interventoría para la realización de las obras de terminación de estabilización del talud ubicado entre los postes 53 y 59 de la vía principal del Relleno Sanitario Doña Juana.
4. Para determinar el cumplimiento de parámetros en el tratamiento de lixiviados:
- Durante el periodo de enero se firmó acta de inicio del Contrato UAESP-738-2020 con fecha 15 de enero de 2021, cuyo objeto es: “Contratar la prestación de servicios de un laboratorio acreditado para realizar la toma de muestras y análisis de los parámetros fisicoquímicos y microbiológicos de los lixiviados generados en el predio Doña Juana que son vertidos al río Tunjuelo.” Así mismo, se programó mesa de trabajo con el laboratorio contratado para establecer el programa de muestreo a realizarse durante el periodo contractual
5. Con el fin de dar cumplimiento a las Medidas de Compensación establecidas en el Artículo 5 de la Resolución 2320 de 2014 sobre medidas de compensación, se ha logrado los siguientes avances:
- Se avanza en la legalización de los Contratos:  No. UAESP-725-2020 (CONSORCIO OBRAS CIVILES MOCHUELO, para la construcción del Jardin y CDC del barrio los Paticos en Mochuelo Bajo), CONTRATO DE INTERVENTORÍA N° UAESP-745-2020 (CONSORCIO INTER MOCHUELO 05, para la interventoría de la obra de Paticos) y No. UAESP-752-2020 (con Ingeniería e Interventoría Nacional -INALTER S.A.S. para la Elaboración de los estudios y diseños para completar al 100% las redes de alcantarillado sanitario y pluvial de mochuelo alto y mochuelo bajo y la optimización de la planta de aguas residuales de ambos sectores), suscritos en el mes de diciembre del 2020 y en la ejecución del Contrato No. UAESP-632-2020 (con INGEVEC S.A.S, para Adecuación de la planta de compostaje y lombricultora, ubicada en el sector de mochuelo bajo para el fortalecimiento, implementación y estandarización del proceso de producción de abonos a partir del aprovechamiento de residuos sólidos orgánicos)
6.  Para avanzar en los compromisos establecidos en el Plan de Gestión Social para la Recuperación Territorial, Social, Ambiental, y Económica para la zona de influencia del RSDJ, se han gestionado los siguientes avances:
-Se avanza en la ejecución del CONVENIO INTERADMINISTRATIVO No. UAESP-604 -2020, CELEBRADO ENTRE LA UNIDAD ADMINISTRATIVA DE SERVICIOS PÚBLICOS - UAESP Y LA UNIVERSIDAD PEDAGÓGICA NACIONAL - UPN.
-Se avanza en la ejecución del Convenio Interadministrativo 437 de 2020 con la Universidad Distrital Francisco José de Caldas.</t>
  </si>
  <si>
    <t>289-Actualizar e implementar  el  Plan Integral de gestión de residuos sólidos PGIRS del Distrito</t>
  </si>
  <si>
    <t>Al inicio de la vigencia la unidad ya cuenta con un PGIRS actualizado mediante el decreto No. 345 de 2020 por la Alcaldía Mayor de Bogotá. Y se espera iniciar su proceso de Implementación de los 13 programas a partir del mes de febrero.</t>
  </si>
  <si>
    <t>No se reportaron avances</t>
  </si>
  <si>
    <r>
      <rPr>
        <b/>
        <u/>
        <sz val="10"/>
        <rFont val="Calibri"/>
        <family val="2"/>
      </rPr>
      <t>En cuanto al Modelo de Aprovechamiento:</t>
    </r>
    <r>
      <rPr>
        <sz val="10"/>
        <rFont val="Calibri"/>
        <family val="2"/>
      </rPr>
      <t xml:space="preserve"> Se están realizando los ajustes enviados por la SDH, avanzando en el proyecto de aprovechamiento de orgánicos y plásticos.
</t>
    </r>
    <r>
      <rPr>
        <b/>
        <u/>
        <sz val="10"/>
        <rFont val="Calibri"/>
        <family val="2"/>
      </rPr>
      <t>En  la parte de Orgánicos:</t>
    </r>
    <r>
      <rPr>
        <sz val="10"/>
        <rFont val="Calibri"/>
        <family val="2"/>
      </rPr>
      <t xml:space="preserve"> Se realiza una alianza con la agencia de cooperación alemana GIZ, quien a través del Instituto Alemán de biomasa- DBFZ realizará los estudios con los cuales se analizarán los resultados de los muestreos del proceso de caracterización de los residuos orgánicos, entre otros productos.  Por su parte la UAESP realizará los análisis de campo que sean requeridos por DBFZ para adelantar dichos estudios. 
Adicionalmente se adelantó la contratación de personal de apoyo para el fortalecimiento de las organizaciones, de la población recicladora y para la atención y apoyo técnico en las ECAS.</t>
    </r>
  </si>
  <si>
    <t>Durante el mes de enero de 2021, fueron recolectadas y transportadas 161.403,52 toneladas de residuos sólidos al sitio de disposición final por los operadores, garantizando la recolección y transporte del 100% de los residuos no aprovechables. Y se recogierón 1,430 toneladas de residuos hospitalarios.</t>
  </si>
  <si>
    <t>Durante el mes de enero de 2021, fueron arrojadas clandestinamente en puntos críticos de la ciudad 21.641.70 toneladas, estas fueron recolectadas y transportadas por los operadores.</t>
  </si>
  <si>
    <t xml:space="preserve"> Limitaciones en los trámites notariales y de registro por problemas legales y efectos de  la Pandemia Covid19.</t>
  </si>
  <si>
    <t>Se realizó en rueda de prensa el lanzamiento de la estrategia de cultura ciudadana “La Basura no es Basura” junto con la Secretaría de Ambiente, Secretaria de Hábitat, Secretario de Cultura, Director de Cultura Ciudadana y Subdirector de Aprovechamiento. Se propuso un reto para la ciudad que consistió en aumentar el aprovechamiento de residuos por dos semanas, del 14 al 28 de enero. Más o menos, Bogotá aprovecha 1200 toneladas de residuos diarios, alrededor de 8400 toneladas semanales; el reto consistió en aumentar las toneladas semanales de residuos aprovechadas a un total de nueve mil, es decir, seiscientas toneladas más, por dos semanas, serían mil doscientas toneladas. La propuesta se lanzó con videos promocionales en los que participaron niños de Mochuelo, niños que invitaron a la ciudadanía y a los niños a sumarse al reto, a separar en las tres bolsas, a disminuir los residuos, a aumentar el aprovechamiento, ya que, por estar en zona de influencia, son bastante afectados. Los niños son, precisamente, la población objeto de la estrategia que puede hacer los cambios contundentes, cambios de comportamiento en la gestión de residuos, y que pueden promover, transformar, y formar, sus entornos. 
Se continuo con la actividad en territorio “Asómate a la ventana y te contamos porque la Basura no es Basura”. Se presenta la estrategia de cultura ciudadana en las CLIP, CAL y JAL.</t>
  </si>
  <si>
    <t>335-Aumentar en un 25% la Modernización a  Tecnología  Led   del parque lumínico distrital compuesto por un total de 356.000  luminarias.</t>
  </si>
  <si>
    <t>Se encuentra en estructuración el plan de modernización en el marco del nuevo Plan de Desarrollo, brindando de esta forma espacios mas iluminados y con mayor percepciòn de seguridad para los ciudadanos de las diferentes localidades. En enero se modernizaron 1390 luinarias</t>
  </si>
  <si>
    <t>TOTAL</t>
  </si>
  <si>
    <t>Fuente: Oficina Asesora de Planeación-UAESP/Reporte oficiales de las Subdirecciones en informe sectorial  de 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</si>
</sst>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00_);_(* \(#,##0.00\);_(* &quot;-&quot;??_);_(@_)"/>
    <numFmt numFmtId="165" formatCode="_(&quot;$&quot;\ * #,##0.00_);_(&quot;$&quot;\ * \(#,##0.00\);_(&quot;$&quot;\ * &quot;-&quot;??_);_(@_)"/>
    <numFmt numFmtId="166" formatCode="&quot;$&quot;#,##0;[Red]\-&quot;$&quot;#,##0"/>
    <numFmt numFmtId="167" formatCode="_-&quot;$&quot;* #,##0_-;\-&quot;$&quot;* #,##0_-;_-&quot;$&quot;* &quot;-&quot;_-;_-@_-"/>
    <numFmt numFmtId="168" formatCode="_(* #,##0_);_(* \(#,##0\);_(* &quot;-&quot;??_);_(@_)"/>
    <numFmt numFmtId="169" formatCode="0;[Red]0"/>
    <numFmt numFmtId="170" formatCode="0.000%"/>
    <numFmt numFmtId="171" formatCode="#,###\ &quot;COP&quot;"/>
    <numFmt numFmtId="172" formatCode="_-[$$-240A]\ * #,##0_-;\-[$$-240A]\ * #,##0_-;_-[$$-240A]\ * &quot;-&quot;??_-;_-@_-"/>
    <numFmt numFmtId="173" formatCode="&quot;$&quot;#,##0"/>
    <numFmt numFmtId="174" formatCode="&quot;$&quot;\ #,##0"/>
    <numFmt numFmtId="175" formatCode="_-&quot;$&quot;\ * #,##0_-;\-&quot;$&quot;\ * #,##0_-;_-&quot;$&quot;\ * &quot;-&quot;??_-;_-@_-"/>
    <numFmt numFmtId="176" formatCode="_-* #,##0_-;\-* #,##0_-;_-* &quot;-&quot;??_-;_-@_-"/>
    <numFmt numFmtId="177" formatCode="0.0"/>
    <numFmt numFmtId="178" formatCode="dd\-mm\-yy;@"/>
    <numFmt numFmtId="179" formatCode="d/mm/yyyy;@"/>
  </numFmts>
  <fonts count="145" x14ac:knownFonts="1">
    <font>
      <sz val="11"/>
      <color theme="1"/>
      <name val="Calibri"/>
      <family val="2"/>
      <scheme val="minor"/>
    </font>
    <font>
      <sz val="11"/>
      <name val="Gisha"/>
      <family val="2"/>
    </font>
    <font>
      <sz val="12"/>
      <color indexed="8"/>
      <name val="Calibri"/>
      <family val="2"/>
    </font>
    <font>
      <sz val="12"/>
      <name val="Calibri"/>
      <family val="2"/>
    </font>
    <font>
      <sz val="12"/>
      <color indexed="8"/>
      <name val="Arial Narrow"/>
      <family val="2"/>
    </font>
    <font>
      <sz val="12"/>
      <color indexed="10"/>
      <name val="Calibri"/>
      <family val="2"/>
    </font>
    <font>
      <b/>
      <sz val="12"/>
      <color indexed="8"/>
      <name val="Calibri"/>
      <family val="2"/>
    </font>
    <font>
      <b/>
      <sz val="12"/>
      <color indexed="8"/>
      <name val="Gisha"/>
      <family val="2"/>
    </font>
    <font>
      <sz val="9"/>
      <name val="Gisha"/>
      <family val="2"/>
    </font>
    <font>
      <sz val="12"/>
      <name val="Gisha"/>
      <family val="2"/>
    </font>
    <font>
      <sz val="10"/>
      <color indexed="8"/>
      <name val="Calibri"/>
      <family val="2"/>
    </font>
    <font>
      <sz val="10"/>
      <name val="Calibri"/>
      <family val="2"/>
    </font>
    <font>
      <b/>
      <u/>
      <sz val="10"/>
      <name val="Calibri"/>
      <family val="2"/>
    </font>
    <font>
      <b/>
      <sz val="10"/>
      <name val="Calibri"/>
      <family val="2"/>
    </font>
    <font>
      <b/>
      <sz val="10"/>
      <color indexed="8"/>
      <name val="Calibri"/>
      <family val="2"/>
    </font>
    <font>
      <sz val="10"/>
      <name val="Arial"/>
      <family val="2"/>
    </font>
    <font>
      <sz val="11"/>
      <color indexed="10"/>
      <name val="Calibri"/>
      <family val="2"/>
    </font>
    <font>
      <sz val="12"/>
      <color indexed="10"/>
      <name val="Gisha"/>
      <family val="2"/>
    </font>
    <font>
      <sz val="12"/>
      <color indexed="10"/>
      <name val="Arial Narrow"/>
      <family val="2"/>
    </font>
    <font>
      <b/>
      <sz val="12"/>
      <color indexed="10"/>
      <name val="Arial Narrow"/>
      <family val="2"/>
    </font>
    <font>
      <i/>
      <sz val="12"/>
      <color indexed="10"/>
      <name val="Arial Narrow"/>
      <family val="2"/>
    </font>
    <font>
      <i/>
      <sz val="12"/>
      <name val="Arial Narrow"/>
      <family val="2"/>
    </font>
    <font>
      <sz val="12"/>
      <name val="Arial Narrow"/>
      <family val="2"/>
    </font>
    <font>
      <sz val="10.5"/>
      <color indexed="8"/>
      <name val="Arial Narrow"/>
      <family val="2"/>
    </font>
    <font>
      <b/>
      <sz val="10.5"/>
      <color indexed="8"/>
      <name val="Arial Narrow"/>
      <family val="2"/>
    </font>
    <font>
      <i/>
      <sz val="12"/>
      <color indexed="8"/>
      <name val="Arial Narrow"/>
      <family val="2"/>
    </font>
    <font>
      <sz val="11"/>
      <color indexed="8"/>
      <name val="Arial Narrow"/>
      <family val="2"/>
    </font>
    <font>
      <sz val="12"/>
      <color indexed="8"/>
      <name val="Times New Roman"/>
      <family val="1"/>
    </font>
    <font>
      <sz val="12"/>
      <color indexed="17"/>
      <name val="Calibri"/>
      <family val="2"/>
    </font>
    <font>
      <sz val="12"/>
      <color indexed="40"/>
      <name val="Calibri"/>
      <family val="2"/>
    </font>
    <font>
      <sz val="12"/>
      <color indexed="40"/>
      <name val="Gisha"/>
      <family val="2"/>
    </font>
    <font>
      <sz val="10"/>
      <color indexed="17"/>
      <name val="Calibri"/>
      <family val="2"/>
    </font>
    <font>
      <sz val="10"/>
      <color indexed="40"/>
      <name val="Calibri"/>
      <family val="2"/>
    </font>
    <font>
      <sz val="10"/>
      <color indexed="10"/>
      <name val="Calibri"/>
      <family val="2"/>
    </font>
    <font>
      <b/>
      <sz val="10"/>
      <color indexed="30"/>
      <name val="Calibri"/>
      <family val="2"/>
    </font>
    <font>
      <b/>
      <sz val="10"/>
      <color indexed="17"/>
      <name val="Calibri"/>
      <family val="2"/>
    </font>
    <font>
      <b/>
      <sz val="10"/>
      <color indexed="10"/>
      <name val="Calibri"/>
      <family val="2"/>
    </font>
    <font>
      <b/>
      <sz val="10"/>
      <color indexed="40"/>
      <name val="Calibri"/>
      <family val="2"/>
    </font>
    <font>
      <sz val="12"/>
      <color indexed="50"/>
      <name val="Calibri"/>
      <family val="2"/>
    </font>
    <font>
      <b/>
      <sz val="12"/>
      <color indexed="10"/>
      <name val="Calibri"/>
      <family val="2"/>
    </font>
    <font>
      <b/>
      <sz val="12"/>
      <color indexed="30"/>
      <name val="Calibri"/>
      <family val="2"/>
    </font>
    <font>
      <b/>
      <sz val="12"/>
      <color indexed="17"/>
      <name val="Calibri"/>
      <family val="2"/>
    </font>
    <font>
      <b/>
      <sz val="12"/>
      <name val="Calibri"/>
      <family val="2"/>
    </font>
    <font>
      <b/>
      <sz val="12"/>
      <color indexed="40"/>
      <name val="Calibri"/>
      <family val="2"/>
    </font>
    <font>
      <b/>
      <sz val="12"/>
      <color indexed="17"/>
      <name val="Gisha"/>
      <family val="2"/>
    </font>
    <font>
      <b/>
      <sz val="12"/>
      <color indexed="10"/>
      <name val="Gisha"/>
      <family val="2"/>
    </font>
    <font>
      <b/>
      <sz val="12"/>
      <color indexed="17"/>
      <name val="Gisha"/>
      <family val="2"/>
      <charset val="177"/>
    </font>
    <font>
      <b/>
      <sz val="12"/>
      <color indexed="30"/>
      <name val="Gisha"/>
      <family val="2"/>
      <charset val="177"/>
    </font>
    <font>
      <b/>
      <sz val="12"/>
      <color indexed="8"/>
      <name val="Gisha"/>
      <family val="2"/>
      <charset val="177"/>
    </font>
    <font>
      <b/>
      <sz val="12"/>
      <color indexed="40"/>
      <name val="Gisha"/>
      <family val="2"/>
    </font>
    <font>
      <sz val="10"/>
      <name val="Tahoma"/>
      <family val="2"/>
    </font>
    <font>
      <b/>
      <sz val="10"/>
      <name val="Tahoma"/>
      <family val="2"/>
    </font>
    <font>
      <b/>
      <sz val="12"/>
      <name val="Tahoma"/>
      <family val="2"/>
    </font>
    <font>
      <sz val="12"/>
      <name val="Tahoma"/>
      <family val="2"/>
    </font>
    <font>
      <sz val="12"/>
      <name val="Arial"/>
      <family val="2"/>
    </font>
    <font>
      <sz val="8"/>
      <name val="Calibri"/>
      <family val="2"/>
    </font>
    <font>
      <sz val="9"/>
      <color indexed="81"/>
      <name val="Tahoma"/>
      <family val="2"/>
    </font>
    <font>
      <b/>
      <sz val="9"/>
      <color indexed="81"/>
      <name val="Tahoma"/>
      <family val="2"/>
    </font>
    <font>
      <sz val="12"/>
      <name val="Tahoma"/>
      <family val="2"/>
    </font>
    <font>
      <b/>
      <sz val="12"/>
      <name val="Tahoma"/>
      <family val="2"/>
    </font>
    <font>
      <sz val="11"/>
      <color theme="1"/>
      <name val="Calibri"/>
      <family val="2"/>
      <scheme val="minor"/>
    </font>
    <font>
      <sz val="10"/>
      <color theme="1"/>
      <name val="Verdana"/>
      <family val="2"/>
    </font>
    <font>
      <b/>
      <sz val="14"/>
      <color theme="1"/>
      <name val="Verdana"/>
      <family val="2"/>
    </font>
    <font>
      <b/>
      <sz val="10"/>
      <color theme="1"/>
      <name val="Verdana"/>
      <family val="2"/>
    </font>
    <font>
      <sz val="11"/>
      <color theme="1"/>
      <name val="Arial"/>
      <family val="2"/>
    </font>
    <font>
      <sz val="11"/>
      <color theme="1"/>
      <name val="Gisha"/>
      <family val="2"/>
    </font>
    <font>
      <sz val="11"/>
      <name val="Calibri"/>
      <family val="2"/>
      <scheme val="minor"/>
    </font>
    <font>
      <sz val="12"/>
      <color theme="1"/>
      <name val="Calibri"/>
      <family val="2"/>
      <scheme val="minor"/>
    </font>
    <font>
      <b/>
      <sz val="6"/>
      <color theme="1"/>
      <name val="Calibri"/>
      <family val="2"/>
      <scheme val="minor"/>
    </font>
    <font>
      <sz val="12"/>
      <color theme="1"/>
      <name val="Gisha"/>
      <family val="2"/>
    </font>
    <font>
      <sz val="12"/>
      <name val="Calibri"/>
      <family val="2"/>
      <scheme val="minor"/>
    </font>
    <font>
      <sz val="12"/>
      <color rgb="FF000000"/>
      <name val="Calibri"/>
      <family val="2"/>
      <scheme val="minor"/>
    </font>
    <font>
      <sz val="12"/>
      <color rgb="FF000000"/>
      <name val="Arial Narrow"/>
      <family val="2"/>
    </font>
    <font>
      <sz val="12"/>
      <color theme="1"/>
      <name val="Arial Narrow"/>
      <family val="2"/>
    </font>
    <font>
      <sz val="12"/>
      <color rgb="FFFF0000"/>
      <name val="Calibri"/>
      <family val="2"/>
      <scheme val="minor"/>
    </font>
    <font>
      <sz val="9"/>
      <color theme="1"/>
      <name val="Gisha"/>
      <family val="2"/>
    </font>
    <font>
      <sz val="6"/>
      <color theme="1"/>
      <name val="Calibri"/>
      <family val="2"/>
      <scheme val="minor"/>
    </font>
    <font>
      <b/>
      <sz val="11"/>
      <color theme="1"/>
      <name val="Calibri"/>
      <family val="2"/>
      <scheme val="minor"/>
    </font>
    <font>
      <b/>
      <sz val="12"/>
      <color theme="1"/>
      <name val="Calibri"/>
      <family val="2"/>
      <scheme val="minor"/>
    </font>
    <font>
      <b/>
      <sz val="12"/>
      <color theme="1"/>
      <name val="Gisha"/>
      <family val="2"/>
    </font>
    <font>
      <sz val="10"/>
      <color theme="1"/>
      <name val="Calibri"/>
      <family val="2"/>
      <scheme val="minor"/>
    </font>
    <font>
      <sz val="10"/>
      <name val="Calibri"/>
      <family val="2"/>
      <scheme val="minor"/>
    </font>
    <font>
      <b/>
      <sz val="8"/>
      <color theme="1"/>
      <name val="Calibri"/>
      <family val="2"/>
      <scheme val="minor"/>
    </font>
    <font>
      <b/>
      <sz val="18"/>
      <color theme="1"/>
      <name val="Calibri"/>
      <family val="2"/>
      <scheme val="minor"/>
    </font>
    <font>
      <b/>
      <sz val="12"/>
      <color theme="1"/>
      <name val="Calibri"/>
      <family val="2"/>
    </font>
    <font>
      <b/>
      <sz val="12"/>
      <color theme="0"/>
      <name val="Calibri"/>
      <family val="2"/>
      <scheme val="minor"/>
    </font>
    <font>
      <b/>
      <sz val="10"/>
      <name val="Calibri"/>
      <family val="2"/>
      <scheme val="minor"/>
    </font>
    <font>
      <b/>
      <sz val="10"/>
      <color theme="1"/>
      <name val="Calibri"/>
      <family val="2"/>
      <scheme val="minor"/>
    </font>
    <font>
      <b/>
      <sz val="5"/>
      <color theme="1"/>
      <name val="Calibri"/>
      <family val="2"/>
      <scheme val="minor"/>
    </font>
    <font>
      <sz val="8"/>
      <color theme="1"/>
      <name val="Calibri"/>
      <family val="2"/>
      <scheme val="minor"/>
    </font>
    <font>
      <sz val="14"/>
      <color theme="1"/>
      <name val="Calibri"/>
      <family val="2"/>
      <scheme val="minor"/>
    </font>
    <font>
      <sz val="11"/>
      <color rgb="FFFF0000"/>
      <name val="Calibri"/>
      <family val="2"/>
      <scheme val="minor"/>
    </font>
    <font>
      <sz val="11"/>
      <color rgb="FF00B050"/>
      <name val="Calibri"/>
      <family val="2"/>
      <scheme val="minor"/>
    </font>
    <font>
      <sz val="10"/>
      <color theme="1"/>
      <name val="Gisha"/>
      <family val="2"/>
    </font>
    <font>
      <sz val="6"/>
      <color theme="1"/>
      <name val="Gisha"/>
      <family val="2"/>
    </font>
    <font>
      <sz val="12"/>
      <color rgb="FFFF0000"/>
      <name val="Gisha"/>
      <family val="2"/>
    </font>
    <font>
      <sz val="8"/>
      <color theme="1"/>
      <name val="Gisha"/>
      <family val="2"/>
    </font>
    <font>
      <b/>
      <sz val="11"/>
      <color rgb="FFFF0000"/>
      <name val="Calibri"/>
      <family val="2"/>
      <scheme val="minor"/>
    </font>
    <font>
      <sz val="11"/>
      <color theme="4" tint="-0.499984740745262"/>
      <name val="Calibri"/>
      <family val="2"/>
      <scheme val="minor"/>
    </font>
    <font>
      <sz val="10"/>
      <color rgb="FFFF0000"/>
      <name val="Verdana"/>
      <family val="2"/>
    </font>
    <font>
      <sz val="12"/>
      <color rgb="FFFF0000"/>
      <name val="Arial Narrow"/>
      <family val="2"/>
    </font>
    <font>
      <b/>
      <sz val="12"/>
      <color theme="1"/>
      <name val="Arial Narrow"/>
      <family val="2"/>
    </font>
    <font>
      <sz val="10.5"/>
      <color theme="1"/>
      <name val="Arial Narrow"/>
      <family val="2"/>
    </font>
    <font>
      <sz val="8"/>
      <color rgb="FFFF0000"/>
      <name val="Calibri"/>
      <family val="2"/>
      <scheme val="minor"/>
    </font>
    <font>
      <sz val="11"/>
      <color rgb="FF00B0F0"/>
      <name val="Calibri"/>
      <family val="2"/>
      <scheme val="minor"/>
    </font>
    <font>
      <sz val="12"/>
      <color rgb="FF00B050"/>
      <name val="Calibri"/>
      <family val="2"/>
      <scheme val="minor"/>
    </font>
    <font>
      <sz val="12"/>
      <color rgb="FF00B0F0"/>
      <name val="Gisha"/>
      <family val="2"/>
    </font>
    <font>
      <sz val="12"/>
      <color rgb="FF00B0F0"/>
      <name val="Calibri"/>
      <family val="2"/>
      <scheme val="minor"/>
    </font>
    <font>
      <sz val="10"/>
      <color rgb="FF00B050"/>
      <name val="Calibri"/>
      <family val="2"/>
      <scheme val="minor"/>
    </font>
    <font>
      <b/>
      <sz val="10"/>
      <color rgb="FF0070C0"/>
      <name val="Calibri"/>
      <family val="2"/>
      <scheme val="minor"/>
    </font>
    <font>
      <b/>
      <sz val="10"/>
      <color rgb="FF00B050"/>
      <name val="Calibri"/>
      <family val="2"/>
      <scheme val="minor"/>
    </font>
    <font>
      <sz val="12"/>
      <color rgb="FF00B050"/>
      <name val="Gisha"/>
      <family val="2"/>
    </font>
    <font>
      <b/>
      <sz val="12"/>
      <color rgb="FF0070C0"/>
      <name val="Calibri"/>
      <family val="2"/>
      <scheme val="minor"/>
    </font>
    <font>
      <b/>
      <sz val="12"/>
      <color rgb="FF00B050"/>
      <name val="Calibri"/>
      <family val="2"/>
      <scheme val="minor"/>
    </font>
    <font>
      <b/>
      <sz val="12"/>
      <color rgb="FFFF0000"/>
      <name val="Calibri"/>
      <family val="2"/>
      <scheme val="minor"/>
    </font>
    <font>
      <b/>
      <sz val="12"/>
      <color rgb="FF00B0F0"/>
      <name val="Calibri"/>
      <family val="2"/>
      <scheme val="minor"/>
    </font>
    <font>
      <b/>
      <sz val="12"/>
      <color rgb="FF00B050"/>
      <name val="Gisha"/>
      <family val="2"/>
    </font>
    <font>
      <b/>
      <sz val="12"/>
      <name val="Calibri"/>
      <family val="2"/>
      <scheme val="minor"/>
    </font>
    <font>
      <b/>
      <sz val="10"/>
      <color rgb="FFFF0000"/>
      <name val="Calibri"/>
      <family val="2"/>
      <scheme val="minor"/>
    </font>
    <font>
      <b/>
      <sz val="12"/>
      <color rgb="FF0070C0"/>
      <name val="Gisha"/>
      <family val="2"/>
      <charset val="177"/>
    </font>
    <font>
      <b/>
      <sz val="12"/>
      <color rgb="FF0070C0"/>
      <name val="Gisha"/>
      <family val="2"/>
    </font>
    <font>
      <b/>
      <sz val="12"/>
      <color rgb="FF000000"/>
      <name val="Calibri"/>
      <family val="2"/>
      <scheme val="minor"/>
    </font>
    <font>
      <b/>
      <sz val="12"/>
      <color rgb="FF00B0F0"/>
      <name val="Gisha"/>
      <family val="2"/>
    </font>
    <font>
      <b/>
      <sz val="10"/>
      <color rgb="FF00B0F0"/>
      <name val="Calibri"/>
      <family val="2"/>
      <scheme val="minor"/>
    </font>
    <font>
      <sz val="10"/>
      <color rgb="FFFF0000"/>
      <name val="Calibri"/>
      <family val="2"/>
      <scheme val="minor"/>
    </font>
    <font>
      <sz val="12"/>
      <color theme="5" tint="-0.249977111117893"/>
      <name val="Gisha"/>
      <family val="2"/>
    </font>
    <font>
      <b/>
      <sz val="8"/>
      <color rgb="FFFF0000"/>
      <name val="Calibri"/>
      <family val="2"/>
      <scheme val="minor"/>
    </font>
    <font>
      <b/>
      <sz val="8"/>
      <color rgb="FFFF0000"/>
      <name val="Gisha"/>
      <family val="2"/>
    </font>
    <font>
      <b/>
      <sz val="8"/>
      <color rgb="FF00B050"/>
      <name val="Calibri"/>
      <family val="2"/>
      <scheme val="minor"/>
    </font>
    <font>
      <b/>
      <sz val="8"/>
      <color rgb="FF00B050"/>
      <name val="Gisha"/>
      <family val="2"/>
    </font>
    <font>
      <sz val="8"/>
      <color rgb="FF00B050"/>
      <name val="Calibri"/>
      <family val="2"/>
      <scheme val="minor"/>
    </font>
    <font>
      <i/>
      <sz val="10"/>
      <color theme="1"/>
      <name val="Calibri"/>
      <family val="2"/>
      <scheme val="minor"/>
    </font>
    <font>
      <sz val="9"/>
      <color theme="1"/>
      <name val="Calibri"/>
      <family val="2"/>
      <scheme val="minor"/>
    </font>
    <font>
      <sz val="10"/>
      <color theme="1"/>
      <name val="Tahoma"/>
      <family val="2"/>
    </font>
    <font>
      <b/>
      <sz val="10"/>
      <color theme="1"/>
      <name val="Tahoma"/>
      <family val="2"/>
    </font>
    <font>
      <sz val="10"/>
      <color rgb="FF000000"/>
      <name val="Tahoma"/>
      <family val="2"/>
    </font>
    <font>
      <sz val="10"/>
      <color theme="1"/>
      <name val="Arial"/>
      <family val="2"/>
    </font>
    <font>
      <sz val="12"/>
      <color theme="1"/>
      <name val="Tahoma"/>
      <family val="2"/>
    </font>
    <font>
      <b/>
      <sz val="12"/>
      <color theme="1"/>
      <name val="Tahoma"/>
      <family val="2"/>
    </font>
    <font>
      <sz val="12"/>
      <color rgb="FF000000"/>
      <name val="Tahoma"/>
      <family val="2"/>
    </font>
    <font>
      <sz val="12"/>
      <color rgb="FFFF0000"/>
      <name val="Tahoma"/>
      <family val="2"/>
    </font>
    <font>
      <sz val="8"/>
      <color theme="1"/>
      <name val="Arial"/>
      <family val="2"/>
    </font>
    <font>
      <sz val="12"/>
      <color theme="1"/>
      <name val="Tahoma"/>
      <family val="2"/>
    </font>
    <font>
      <b/>
      <i/>
      <sz val="10"/>
      <color theme="1"/>
      <name val="Calibri"/>
      <family val="2"/>
      <scheme val="minor"/>
    </font>
    <font>
      <b/>
      <sz val="12"/>
      <color theme="0"/>
      <name val="Tahoma"/>
      <family val="2"/>
    </font>
  </fonts>
  <fills count="37">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theme="0"/>
        <bgColor indexed="64"/>
      </patternFill>
    </fill>
    <fill>
      <patternFill patternType="solid">
        <fgColor theme="8" tint="0.39997558519241921"/>
        <bgColor indexed="64"/>
      </patternFill>
    </fill>
    <fill>
      <patternFill patternType="solid">
        <fgColor rgb="FFCCCCFF"/>
        <bgColor indexed="64"/>
      </patternFill>
    </fill>
    <fill>
      <patternFill patternType="solid">
        <fgColor theme="4" tint="0.59999389629810485"/>
        <bgColor indexed="64"/>
      </patternFill>
    </fill>
    <fill>
      <patternFill patternType="solid">
        <fgColor rgb="FF99FFCC"/>
        <bgColor indexed="64"/>
      </patternFill>
    </fill>
    <fill>
      <patternFill patternType="solid">
        <fgColor rgb="FFEEEBE6"/>
        <bgColor indexed="64"/>
      </patternFill>
    </fill>
    <fill>
      <patternFill patternType="solid">
        <fgColor theme="8" tint="0.79998168889431442"/>
        <bgColor indexed="64"/>
      </patternFill>
    </fill>
    <fill>
      <patternFill patternType="solid">
        <fgColor rgb="FFB1FFA7"/>
        <bgColor indexed="64"/>
      </patternFill>
    </fill>
    <fill>
      <patternFill patternType="solid">
        <fgColor rgb="FFEBA9FD"/>
        <bgColor indexed="64"/>
      </patternFill>
    </fill>
    <fill>
      <patternFill patternType="solid">
        <fgColor rgb="FFECBAC1"/>
        <bgColor indexed="64"/>
      </patternFill>
    </fill>
    <fill>
      <patternFill patternType="solid">
        <fgColor rgb="FF00B0F0"/>
        <bgColor indexed="64"/>
      </patternFill>
    </fill>
    <fill>
      <patternFill patternType="solid">
        <fgColor rgb="FFEBFDA9"/>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theme="7"/>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CCECFF"/>
        <bgColor indexed="64"/>
      </patternFill>
    </fill>
    <fill>
      <patternFill patternType="solid">
        <fgColor rgb="FF92D050"/>
        <bgColor indexed="64"/>
      </patternFill>
    </fill>
    <fill>
      <patternFill patternType="solid">
        <fgColor rgb="FFFFFFCC"/>
        <bgColor indexed="64"/>
      </patternFill>
    </fill>
    <fill>
      <patternFill patternType="solid">
        <fgColor rgb="FFFFCCFF"/>
        <bgColor indexed="64"/>
      </patternFill>
    </fill>
    <fill>
      <patternFill patternType="solid">
        <fgColor rgb="FFFF9966"/>
        <bgColor indexed="64"/>
      </patternFill>
    </fill>
    <fill>
      <patternFill patternType="solid">
        <fgColor rgb="FFFFFF99"/>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4"/>
        <bgColor theme="4"/>
      </patternFill>
    </fill>
    <fill>
      <patternFill patternType="solid">
        <fgColor theme="2" tint="-0.249977111117893"/>
        <bgColor indexed="64"/>
      </patternFill>
    </fill>
    <fill>
      <patternFill patternType="solid">
        <fgColor theme="9" tint="0.59999389629810485"/>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dashed">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dashed">
        <color indexed="64"/>
      </right>
      <top/>
      <bottom style="dashed">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5"/>
      </left>
      <right/>
      <top style="thin">
        <color indexed="65"/>
      </top>
      <bottom/>
      <diagonal/>
    </border>
    <border>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dashed">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rgb="FF999999"/>
      </left>
      <right/>
      <top style="thin">
        <color indexed="9"/>
      </top>
      <bottom/>
      <diagonal/>
    </border>
    <border>
      <left style="thin">
        <color indexed="65"/>
      </left>
      <right style="thin">
        <color rgb="FF999999"/>
      </right>
      <top style="thin">
        <color indexed="9"/>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9"/>
      </top>
      <bottom style="thin">
        <color rgb="FF999999"/>
      </bottom>
      <diagonal/>
    </border>
    <border>
      <left style="thin">
        <color indexed="9"/>
      </left>
      <right/>
      <top style="thin">
        <color indexed="9"/>
      </top>
      <bottom style="thin">
        <color rgb="FF999999"/>
      </bottom>
      <diagonal/>
    </border>
    <border>
      <left style="thin">
        <color indexed="9"/>
      </left>
      <right style="thin">
        <color rgb="FF999999"/>
      </right>
      <top style="thin">
        <color indexed="9"/>
      </top>
      <bottom style="thin">
        <color rgb="FF999999"/>
      </bottom>
      <diagonal/>
    </border>
    <border>
      <left/>
      <right style="thin">
        <color theme="4" tint="0.39997558519241921"/>
      </right>
      <top style="thin">
        <color theme="4" tint="0.39997558519241921"/>
      </top>
      <bottom style="thin">
        <color theme="4" tint="0.39997558519241921"/>
      </bottom>
      <diagonal/>
    </border>
    <border>
      <left style="thin">
        <color rgb="FF0070C0"/>
      </left>
      <right style="thin">
        <color rgb="FF0070C0"/>
      </right>
      <top style="thin">
        <color rgb="FF0070C0"/>
      </top>
      <bottom style="thin">
        <color rgb="FF0070C0"/>
      </bottom>
      <diagonal/>
    </border>
  </borders>
  <cellStyleXfs count="17">
    <xf numFmtId="0" fontId="0" fillId="0" borderId="0"/>
    <xf numFmtId="49" fontId="61" fillId="0" borderId="0" applyFill="0" applyBorder="0" applyProtection="0">
      <alignment horizontal="left" vertical="center"/>
    </xf>
    <xf numFmtId="0" fontId="63" fillId="3" borderId="0" applyNumberFormat="0" applyBorder="0" applyProtection="0">
      <alignment horizontal="center" vertical="center"/>
    </xf>
    <xf numFmtId="0" fontId="62" fillId="2" borderId="1" applyNumberFormat="0" applyProtection="0">
      <alignment horizontal="left" vertical="center"/>
    </xf>
    <xf numFmtId="43" fontId="60" fillId="0" borderId="0" applyFont="0" applyFill="0" applyBorder="0" applyAlignment="0" applyProtection="0"/>
    <xf numFmtId="41" fontId="60" fillId="0" borderId="0" applyFont="0" applyFill="0" applyBorder="0" applyAlignment="0" applyProtection="0"/>
    <xf numFmtId="41" fontId="15" fillId="0" borderId="0" applyFont="0" applyFill="0" applyBorder="0" applyAlignment="0" applyProtection="0"/>
    <xf numFmtId="164" fontId="60" fillId="0" borderId="0" applyFont="0" applyFill="0" applyBorder="0" applyAlignment="0" applyProtection="0"/>
    <xf numFmtId="43" fontId="60" fillId="0" borderId="0" applyFont="0" applyFill="0" applyBorder="0" applyAlignment="0" applyProtection="0"/>
    <xf numFmtId="44" fontId="60" fillId="0" borderId="0" applyFont="0" applyFill="0" applyBorder="0" applyAlignment="0" applyProtection="0"/>
    <xf numFmtId="42" fontId="60" fillId="0" borderId="0" applyFont="0" applyFill="0" applyBorder="0" applyAlignment="0" applyProtection="0"/>
    <xf numFmtId="167" fontId="15" fillId="0" borderId="0" applyFont="0" applyFill="0" applyBorder="0" applyAlignment="0" applyProtection="0"/>
    <xf numFmtId="165" fontId="60" fillId="0" borderId="0" applyFont="0" applyFill="0" applyBorder="0" applyAlignment="0" applyProtection="0"/>
    <xf numFmtId="0" fontId="15" fillId="0" borderId="0"/>
    <xf numFmtId="0" fontId="15" fillId="0" borderId="0"/>
    <xf numFmtId="0" fontId="64" fillId="0" borderId="0"/>
    <xf numFmtId="9" fontId="60" fillId="0" borderId="0" applyFont="0" applyFill="0" applyBorder="0" applyAlignment="0" applyProtection="0"/>
  </cellStyleXfs>
  <cellXfs count="1449">
    <xf numFmtId="0" fontId="0" fillId="0" borderId="0" xfId="0"/>
    <xf numFmtId="0" fontId="66" fillId="4" borderId="1" xfId="0" applyFont="1" applyFill="1" applyBorder="1" applyAlignment="1">
      <alignment horizontal="center" vertical="center"/>
    </xf>
    <xf numFmtId="0" fontId="0" fillId="4" borderId="0" xfId="0" applyFill="1"/>
    <xf numFmtId="0" fontId="0" fillId="0" borderId="1" xfId="0" applyBorder="1" applyAlignment="1">
      <alignment horizontal="left"/>
    </xf>
    <xf numFmtId="41" fontId="60" fillId="0" borderId="0" xfId="5" applyFont="1"/>
    <xf numFmtId="42" fontId="0" fillId="0" borderId="0" xfId="0" applyNumberFormat="1"/>
    <xf numFmtId="41" fontId="0" fillId="0" borderId="0" xfId="0" applyNumberFormat="1"/>
    <xf numFmtId="0" fontId="1" fillId="4" borderId="2" xfId="0" applyFont="1" applyFill="1" applyBorder="1" applyAlignment="1">
      <alignment vertical="center" wrapText="1"/>
    </xf>
    <xf numFmtId="0" fontId="1" fillId="4" borderId="3" xfId="0" applyFont="1" applyFill="1" applyBorder="1" applyAlignment="1">
      <alignment vertical="center" wrapText="1"/>
    </xf>
    <xf numFmtId="0" fontId="1" fillId="4" borderId="0" xfId="0" applyFont="1" applyFill="1" applyAlignment="1">
      <alignment vertical="center" wrapText="1"/>
    </xf>
    <xf numFmtId="0" fontId="1" fillId="4" borderId="0" xfId="0" applyFont="1" applyFill="1" applyAlignment="1">
      <alignment horizontal="center" vertical="center"/>
    </xf>
    <xf numFmtId="0" fontId="65" fillId="4" borderId="0" xfId="0" applyFont="1" applyFill="1" applyAlignment="1">
      <alignment vertical="center"/>
    </xf>
    <xf numFmtId="0" fontId="65" fillId="4" borderId="0" xfId="0" applyFont="1" applyFill="1" applyAlignment="1">
      <alignment horizontal="left" vertical="center"/>
    </xf>
    <xf numFmtId="42" fontId="60" fillId="4" borderId="0" xfId="10" applyFont="1" applyFill="1" applyAlignment="1">
      <alignment horizontal="center" vertical="center"/>
    </xf>
    <xf numFmtId="9" fontId="60" fillId="4" borderId="0" xfId="16" applyFont="1" applyFill="1" applyAlignment="1">
      <alignment horizontal="center" vertical="center"/>
    </xf>
    <xf numFmtId="0" fontId="1" fillId="4" borderId="4" xfId="0" applyFont="1" applyFill="1" applyBorder="1" applyAlignment="1">
      <alignment vertical="center" wrapText="1"/>
    </xf>
    <xf numFmtId="0" fontId="66" fillId="4" borderId="5" xfId="0" applyFont="1" applyFill="1" applyBorder="1" applyAlignment="1">
      <alignment vertical="center" wrapText="1"/>
    </xf>
    <xf numFmtId="0" fontId="66" fillId="4" borderId="6" xfId="0" applyFont="1" applyFill="1" applyBorder="1" applyAlignment="1">
      <alignment vertical="center" wrapText="1"/>
    </xf>
    <xf numFmtId="0" fontId="0" fillId="4" borderId="7" xfId="0" applyFill="1" applyBorder="1" applyAlignment="1">
      <alignment vertical="center"/>
    </xf>
    <xf numFmtId="0" fontId="0" fillId="4" borderId="8" xfId="0" applyFill="1" applyBorder="1" applyAlignment="1">
      <alignment horizontal="center" vertical="center"/>
    </xf>
    <xf numFmtId="0" fontId="66" fillId="4" borderId="9" xfId="0" applyFont="1" applyFill="1" applyBorder="1" applyAlignment="1">
      <alignment horizontal="center" vertical="center" wrapText="1"/>
    </xf>
    <xf numFmtId="0" fontId="67" fillId="4" borderId="1" xfId="0" applyFont="1" applyFill="1" applyBorder="1" applyAlignment="1">
      <alignment horizontal="center" vertical="center" wrapText="1"/>
    </xf>
    <xf numFmtId="0" fontId="67" fillId="4" borderId="1" xfId="0" applyFont="1" applyFill="1" applyBorder="1" applyAlignment="1">
      <alignment horizontal="center" vertical="center"/>
    </xf>
    <xf numFmtId="0" fontId="67" fillId="5" borderId="1" xfId="0" applyFont="1" applyFill="1" applyBorder="1" applyAlignment="1">
      <alignment horizontal="center" vertical="center"/>
    </xf>
    <xf numFmtId="0" fontId="67" fillId="5" borderId="1" xfId="0" applyFont="1" applyFill="1" applyBorder="1" applyAlignment="1">
      <alignment horizontal="center" vertical="center" wrapText="1"/>
    </xf>
    <xf numFmtId="0" fontId="67" fillId="6" borderId="1" xfId="0" applyFont="1" applyFill="1" applyBorder="1" applyAlignment="1">
      <alignment horizontal="center" vertical="center"/>
    </xf>
    <xf numFmtId="0" fontId="67" fillId="4" borderId="8" xfId="0" applyFont="1" applyFill="1" applyBorder="1" applyAlignment="1">
      <alignment horizontal="center" vertical="center"/>
    </xf>
    <xf numFmtId="0" fontId="67" fillId="7" borderId="1" xfId="0" applyFont="1" applyFill="1" applyBorder="1" applyAlignment="1">
      <alignment horizontal="center" vertical="center" wrapText="1"/>
    </xf>
    <xf numFmtId="0" fontId="67" fillId="4" borderId="8" xfId="0" applyFont="1" applyFill="1" applyBorder="1" applyAlignment="1">
      <alignment horizontal="center" vertical="center" wrapText="1"/>
    </xf>
    <xf numFmtId="0" fontId="68" fillId="8" borderId="7" xfId="0" applyFont="1" applyFill="1" applyBorder="1" applyAlignment="1">
      <alignment horizontal="center" vertical="center" wrapText="1"/>
    </xf>
    <xf numFmtId="0" fontId="69" fillId="4" borderId="0" xfId="0" applyFont="1" applyFill="1"/>
    <xf numFmtId="0" fontId="67" fillId="0" borderId="10" xfId="0" applyFont="1" applyBorder="1" applyAlignment="1">
      <alignment horizontal="left" vertical="center" wrapText="1"/>
    </xf>
    <xf numFmtId="0" fontId="67" fillId="0" borderId="11" xfId="0" applyFont="1" applyBorder="1" applyAlignment="1">
      <alignment horizontal="left" vertical="center" wrapText="1"/>
    </xf>
    <xf numFmtId="1" fontId="0" fillId="0" borderId="1" xfId="0" applyNumberFormat="1" applyBorder="1" applyAlignment="1">
      <alignment horizontal="center" vertical="center"/>
    </xf>
    <xf numFmtId="0" fontId="67" fillId="9" borderId="10" xfId="0" applyFont="1" applyFill="1" applyBorder="1" applyAlignment="1">
      <alignment horizontal="center" vertical="center" wrapText="1"/>
    </xf>
    <xf numFmtId="0" fontId="67" fillId="9" borderId="10" xfId="0" applyFont="1" applyFill="1" applyBorder="1" applyAlignment="1">
      <alignment vertical="center" wrapText="1"/>
    </xf>
    <xf numFmtId="0" fontId="67" fillId="0" borderId="10" xfId="0" applyFont="1" applyBorder="1" applyAlignment="1">
      <alignment horizontal="center" vertical="center" wrapText="1"/>
    </xf>
    <xf numFmtId="0" fontId="70" fillId="0" borderId="10" xfId="0" applyFont="1" applyBorder="1" applyAlignment="1">
      <alignment horizontal="center" vertical="center" wrapText="1"/>
    </xf>
    <xf numFmtId="0" fontId="70" fillId="0" borderId="10" xfId="0" applyFont="1" applyBorder="1" applyAlignment="1">
      <alignment vertical="center" wrapText="1"/>
    </xf>
    <xf numFmtId="0" fontId="67" fillId="4" borderId="10" xfId="0" applyFont="1" applyFill="1" applyBorder="1" applyAlignment="1">
      <alignment horizontal="center" vertical="center" wrapText="1"/>
    </xf>
    <xf numFmtId="0" fontId="69" fillId="0" borderId="0" xfId="0" applyFont="1"/>
    <xf numFmtId="0" fontId="67" fillId="9" borderId="10" xfId="0" applyFont="1" applyFill="1" applyBorder="1" applyAlignment="1">
      <alignment horizontal="center" vertical="center"/>
    </xf>
    <xf numFmtId="0" fontId="71" fillId="0" borderId="1" xfId="0" applyFont="1" applyBorder="1" applyAlignment="1">
      <alignment horizontal="left" vertical="center" wrapText="1"/>
    </xf>
    <xf numFmtId="0" fontId="67" fillId="4" borderId="1" xfId="0" applyFont="1" applyFill="1" applyBorder="1" applyAlignment="1">
      <alignment vertical="center" wrapText="1"/>
    </xf>
    <xf numFmtId="0" fontId="67" fillId="4" borderId="12" xfId="0" applyFont="1" applyFill="1" applyBorder="1" applyAlignment="1">
      <alignment vertical="center" wrapText="1"/>
    </xf>
    <xf numFmtId="0" fontId="67" fillId="9" borderId="1" xfId="0" applyFont="1" applyFill="1" applyBorder="1" applyAlignment="1">
      <alignment horizontal="center" vertical="center" wrapText="1"/>
    </xf>
    <xf numFmtId="0" fontId="70" fillId="9" borderId="1" xfId="0" applyFont="1" applyFill="1" applyBorder="1" applyAlignment="1">
      <alignment horizontal="center" vertical="center" wrapText="1"/>
    </xf>
    <xf numFmtId="168" fontId="67" fillId="4" borderId="1" xfId="4" applyNumberFormat="1" applyFont="1" applyFill="1" applyBorder="1" applyAlignment="1">
      <alignment horizontal="center" vertical="center" wrapText="1"/>
    </xf>
    <xf numFmtId="168" fontId="67" fillId="4" borderId="12" xfId="4" applyNumberFormat="1" applyFont="1" applyFill="1" applyBorder="1" applyAlignment="1">
      <alignment horizontal="center" vertical="center" wrapText="1"/>
    </xf>
    <xf numFmtId="0" fontId="70" fillId="0" borderId="1" xfId="0" applyFont="1" applyBorder="1" applyAlignment="1">
      <alignment horizontal="center" vertical="center" wrapText="1"/>
    </xf>
    <xf numFmtId="41" fontId="69" fillId="0" borderId="0" xfId="5" applyFont="1"/>
    <xf numFmtId="0" fontId="67" fillId="9" borderId="1" xfId="0" applyFont="1" applyFill="1" applyBorder="1" applyAlignment="1">
      <alignment horizontal="left" vertical="top" wrapText="1"/>
    </xf>
    <xf numFmtId="0" fontId="70" fillId="9" borderId="1" xfId="0" applyFont="1" applyFill="1" applyBorder="1" applyAlignment="1">
      <alignment horizontal="left" vertical="top" wrapText="1"/>
    </xf>
    <xf numFmtId="0" fontId="70" fillId="0" borderId="1" xfId="0" applyFont="1" applyBorder="1" applyAlignment="1">
      <alignment horizontal="left" vertical="top" wrapText="1"/>
    </xf>
    <xf numFmtId="0" fontId="67" fillId="10" borderId="10" xfId="0" applyFont="1" applyFill="1" applyBorder="1" applyAlignment="1">
      <alignment horizontal="center" vertical="center"/>
    </xf>
    <xf numFmtId="0" fontId="67" fillId="10" borderId="10" xfId="0" applyFont="1" applyFill="1" applyBorder="1" applyAlignment="1">
      <alignment horizontal="center" vertical="center" wrapText="1"/>
    </xf>
    <xf numFmtId="0" fontId="67" fillId="0" borderId="1" xfId="0" applyFont="1" applyBorder="1" applyAlignment="1">
      <alignment horizontal="center" vertical="center" wrapText="1"/>
    </xf>
    <xf numFmtId="0" fontId="67" fillId="11" borderId="10" xfId="0" applyFont="1" applyFill="1" applyBorder="1" applyAlignment="1">
      <alignment horizontal="center" vertical="center"/>
    </xf>
    <xf numFmtId="1" fontId="72" fillId="0" borderId="1" xfId="0" applyNumberFormat="1" applyFont="1" applyBorder="1" applyAlignment="1">
      <alignment horizontal="center" vertical="center"/>
    </xf>
    <xf numFmtId="0" fontId="67" fillId="4" borderId="11" xfId="0" applyFont="1" applyFill="1" applyBorder="1" applyAlignment="1">
      <alignment horizontal="center" vertical="center" wrapText="1"/>
    </xf>
    <xf numFmtId="0" fontId="67" fillId="4" borderId="11" xfId="0" applyFont="1" applyFill="1" applyBorder="1" applyAlignment="1">
      <alignment horizontal="left" vertical="center" wrapText="1"/>
    </xf>
    <xf numFmtId="0" fontId="67" fillId="0" borderId="1" xfId="0" applyFont="1" applyBorder="1" applyAlignment="1">
      <alignment horizontal="left" vertical="center" wrapText="1"/>
    </xf>
    <xf numFmtId="0" fontId="67" fillId="0" borderId="1" xfId="0" applyFont="1" applyBorder="1" applyAlignment="1">
      <alignment horizontal="center" wrapText="1"/>
    </xf>
    <xf numFmtId="0" fontId="67" fillId="0" borderId="1" xfId="0" applyFont="1" applyBorder="1" applyAlignment="1">
      <alignment wrapText="1"/>
    </xf>
    <xf numFmtId="0" fontId="67" fillId="0" borderId="13" xfId="0" applyFont="1" applyBorder="1" applyAlignment="1">
      <alignment horizontal="left" vertical="center" wrapText="1"/>
    </xf>
    <xf numFmtId="0" fontId="67" fillId="12" borderId="10" xfId="0" applyFont="1" applyFill="1" applyBorder="1" applyAlignment="1">
      <alignment horizontal="center" vertical="center"/>
    </xf>
    <xf numFmtId="0" fontId="67" fillId="0" borderId="9" xfId="0" applyFont="1" applyBorder="1" applyAlignment="1">
      <alignment horizontal="center" vertical="center" wrapText="1"/>
    </xf>
    <xf numFmtId="0" fontId="70" fillId="0" borderId="1" xfId="0" applyFont="1" applyBorder="1" applyAlignment="1">
      <alignment horizontal="left" vertical="center" wrapText="1"/>
    </xf>
    <xf numFmtId="0" fontId="67" fillId="12" borderId="1" xfId="0" applyFont="1" applyFill="1" applyBorder="1" applyAlignment="1">
      <alignment horizontal="center" vertical="center" wrapText="1"/>
    </xf>
    <xf numFmtId="0" fontId="67" fillId="12" borderId="1" xfId="0" applyFont="1" applyFill="1" applyBorder="1" applyAlignment="1">
      <alignment horizontal="left" vertical="center" wrapText="1"/>
    </xf>
    <xf numFmtId="0" fontId="67" fillId="0" borderId="14" xfId="0" applyFont="1" applyBorder="1" applyAlignment="1">
      <alignment horizontal="center" vertical="center" wrapText="1"/>
    </xf>
    <xf numFmtId="0" fontId="67" fillId="0" borderId="12" xfId="0" applyFont="1" applyBorder="1" applyAlignment="1">
      <alignment horizontal="center" vertical="center" wrapText="1"/>
    </xf>
    <xf numFmtId="0" fontId="67" fillId="4" borderId="10" xfId="0" applyFont="1" applyFill="1" applyBorder="1" applyAlignment="1">
      <alignment horizontal="left" vertical="center" wrapText="1"/>
    </xf>
    <xf numFmtId="0" fontId="67" fillId="4" borderId="15" xfId="0" applyFont="1" applyFill="1" applyBorder="1" applyAlignment="1">
      <alignment horizontal="center" vertical="center" wrapText="1"/>
    </xf>
    <xf numFmtId="0" fontId="67" fillId="0" borderId="16" xfId="0" applyFont="1" applyBorder="1" applyAlignment="1">
      <alignment vertical="center" wrapText="1"/>
    </xf>
    <xf numFmtId="0" fontId="67" fillId="0" borderId="17" xfId="0" applyFont="1" applyBorder="1" applyAlignment="1">
      <alignment horizontal="center" vertical="center" wrapText="1"/>
    </xf>
    <xf numFmtId="0" fontId="67" fillId="0" borderId="17" xfId="0" applyFont="1" applyBorder="1" applyAlignment="1">
      <alignment horizontal="left" vertical="center" wrapText="1"/>
    </xf>
    <xf numFmtId="0" fontId="67" fillId="0" borderId="16" xfId="0" applyFont="1" applyBorder="1" applyAlignment="1">
      <alignment vertical="center"/>
    </xf>
    <xf numFmtId="0" fontId="67" fillId="0" borderId="11" xfId="0" applyFont="1" applyBorder="1" applyAlignment="1">
      <alignment horizontal="center" vertical="center" wrapText="1"/>
    </xf>
    <xf numFmtId="1" fontId="73" fillId="0" borderId="1" xfId="5" applyNumberFormat="1" applyFont="1" applyBorder="1" applyAlignment="1">
      <alignment horizontal="center" vertical="center"/>
    </xf>
    <xf numFmtId="0" fontId="70" fillId="0" borderId="16" xfId="0" applyFont="1" applyBorder="1" applyAlignment="1">
      <alignment vertical="center" wrapText="1"/>
    </xf>
    <xf numFmtId="0" fontId="67" fillId="0" borderId="16" xfId="0" applyFont="1" applyBorder="1" applyAlignment="1">
      <alignment horizontal="left" vertical="center"/>
    </xf>
    <xf numFmtId="0" fontId="67" fillId="13" borderId="10" xfId="0" applyFont="1" applyFill="1" applyBorder="1" applyAlignment="1">
      <alignment horizontal="center" vertical="center"/>
    </xf>
    <xf numFmtId="0" fontId="67" fillId="13" borderId="1" xfId="0" applyFont="1" applyFill="1" applyBorder="1" applyAlignment="1">
      <alignment horizontal="center" vertical="center" wrapText="1"/>
    </xf>
    <xf numFmtId="0" fontId="67" fillId="13" borderId="1" xfId="0" applyFont="1" applyFill="1" applyBorder="1" applyAlignment="1">
      <alignment horizontal="left" vertical="center" wrapText="1"/>
    </xf>
    <xf numFmtId="0" fontId="67" fillId="4" borderId="17" xfId="0" applyFont="1" applyFill="1" applyBorder="1" applyAlignment="1">
      <alignment horizontal="center" vertical="center" wrapText="1"/>
    </xf>
    <xf numFmtId="0" fontId="67" fillId="14" borderId="10" xfId="0" applyFont="1" applyFill="1" applyBorder="1" applyAlignment="1">
      <alignment horizontal="center" vertical="center"/>
    </xf>
    <xf numFmtId="0" fontId="67" fillId="14" borderId="1" xfId="0" applyFont="1" applyFill="1" applyBorder="1" applyAlignment="1">
      <alignment horizontal="center" vertical="center" wrapText="1"/>
    </xf>
    <xf numFmtId="0" fontId="67" fillId="14" borderId="1" xfId="0" applyFont="1" applyFill="1" applyBorder="1" applyAlignment="1">
      <alignment horizontal="left" vertical="center" wrapText="1"/>
    </xf>
    <xf numFmtId="0" fontId="67" fillId="11" borderId="1" xfId="0" applyFont="1" applyFill="1" applyBorder="1" applyAlignment="1">
      <alignment horizontal="center" vertical="center" wrapText="1"/>
    </xf>
    <xf numFmtId="0" fontId="67" fillId="11" borderId="1" xfId="0" applyFont="1" applyFill="1" applyBorder="1" applyAlignment="1">
      <alignment horizontal="left" vertical="center" wrapText="1"/>
    </xf>
    <xf numFmtId="0" fontId="70" fillId="0" borderId="16" xfId="0" applyFont="1" applyBorder="1" applyAlignment="1">
      <alignment horizontal="center" vertical="center" wrapText="1"/>
    </xf>
    <xf numFmtId="0" fontId="67" fillId="15" borderId="10" xfId="0" applyFont="1" applyFill="1" applyBorder="1" applyAlignment="1">
      <alignment horizontal="center" vertical="center"/>
    </xf>
    <xf numFmtId="0" fontId="67" fillId="15" borderId="1" xfId="0" applyFont="1" applyFill="1" applyBorder="1" applyAlignment="1">
      <alignment horizontal="center" vertical="center" wrapText="1"/>
    </xf>
    <xf numFmtId="0" fontId="67" fillId="15" borderId="1" xfId="0" applyFont="1" applyFill="1" applyBorder="1" applyAlignment="1">
      <alignment horizontal="left" vertical="center" wrapText="1"/>
    </xf>
    <xf numFmtId="0" fontId="67" fillId="12" borderId="18" xfId="0" applyFont="1" applyFill="1" applyBorder="1" applyAlignment="1">
      <alignment horizontal="center" vertical="center" wrapText="1"/>
    </xf>
    <xf numFmtId="0" fontId="67" fillId="12" borderId="18" xfId="0" applyFont="1" applyFill="1" applyBorder="1" applyAlignment="1">
      <alignment horizontal="left" vertical="center" wrapText="1"/>
    </xf>
    <xf numFmtId="0" fontId="67" fillId="0" borderId="19" xfId="0" applyFont="1" applyBorder="1" applyAlignment="1">
      <alignment horizontal="center" vertical="center" wrapText="1"/>
    </xf>
    <xf numFmtId="0" fontId="67" fillId="4" borderId="20" xfId="0" applyFont="1" applyFill="1" applyBorder="1" applyAlignment="1">
      <alignment horizontal="center" vertical="center" wrapText="1"/>
    </xf>
    <xf numFmtId="0" fontId="70" fillId="0" borderId="21" xfId="0" applyFont="1" applyBorder="1" applyAlignment="1">
      <alignment vertical="center" wrapText="1"/>
    </xf>
    <xf numFmtId="0" fontId="67" fillId="4" borderId="1" xfId="0" applyFont="1" applyFill="1" applyBorder="1" applyAlignment="1">
      <alignment horizontal="left" vertical="center" wrapText="1"/>
    </xf>
    <xf numFmtId="169" fontId="67" fillId="4" borderId="22" xfId="0" applyNumberFormat="1" applyFont="1" applyFill="1" applyBorder="1" applyAlignment="1">
      <alignment horizontal="center" vertical="center" wrapText="1"/>
    </xf>
    <xf numFmtId="0" fontId="67" fillId="10" borderId="10" xfId="0" applyFont="1" applyFill="1" applyBorder="1" applyAlignment="1">
      <alignment vertical="center" wrapText="1"/>
    </xf>
    <xf numFmtId="169" fontId="67" fillId="4" borderId="1" xfId="0" applyNumberFormat="1" applyFont="1" applyFill="1" applyBorder="1" applyAlignment="1">
      <alignment horizontal="center" vertical="center" wrapText="1"/>
    </xf>
    <xf numFmtId="0" fontId="70" fillId="10" borderId="10" xfId="0" applyFont="1" applyFill="1" applyBorder="1" applyAlignment="1">
      <alignment horizontal="center" vertical="center" wrapText="1"/>
    </xf>
    <xf numFmtId="0" fontId="67" fillId="10" borderId="1" xfId="0" applyFont="1" applyFill="1" applyBorder="1" applyAlignment="1">
      <alignment vertical="center" wrapText="1"/>
    </xf>
    <xf numFmtId="0" fontId="67" fillId="4" borderId="10" xfId="0" applyFont="1" applyFill="1" applyBorder="1" applyAlignment="1">
      <alignment vertical="center" wrapText="1"/>
    </xf>
    <xf numFmtId="0" fontId="70" fillId="10" borderId="10" xfId="0" applyFont="1" applyFill="1" applyBorder="1" applyAlignment="1">
      <alignment vertical="center" wrapText="1"/>
    </xf>
    <xf numFmtId="0" fontId="70" fillId="0" borderId="10" xfId="0" applyFont="1" applyBorder="1" applyAlignment="1">
      <alignment horizontal="left" vertical="center" wrapText="1"/>
    </xf>
    <xf numFmtId="0" fontId="67" fillId="0" borderId="10" xfId="0" applyFont="1" applyBorder="1" applyAlignment="1">
      <alignment horizontal="left" vertical="top" wrapText="1"/>
    </xf>
    <xf numFmtId="0" fontId="74" fillId="4" borderId="10" xfId="0" applyFont="1" applyFill="1" applyBorder="1" applyAlignment="1">
      <alignment horizontal="center" vertical="center" wrapText="1"/>
    </xf>
    <xf numFmtId="0" fontId="67" fillId="10" borderId="1" xfId="0" applyFont="1" applyFill="1" applyBorder="1" applyAlignment="1">
      <alignment horizontal="center" vertical="center"/>
    </xf>
    <xf numFmtId="0" fontId="70" fillId="10" borderId="1" xfId="0" applyFont="1" applyFill="1" applyBorder="1" applyAlignment="1">
      <alignment horizontal="center" vertical="center" wrapText="1"/>
    </xf>
    <xf numFmtId="0" fontId="75" fillId="4" borderId="10" xfId="0" applyFont="1" applyFill="1" applyBorder="1" applyAlignment="1">
      <alignment horizontal="left" vertical="center" wrapText="1"/>
    </xf>
    <xf numFmtId="0" fontId="67" fillId="4" borderId="10" xfId="0" applyFont="1" applyFill="1" applyBorder="1" applyAlignment="1">
      <alignment horizontal="left" vertical="top" wrapText="1"/>
    </xf>
    <xf numFmtId="0" fontId="70" fillId="4" borderId="1" xfId="0" applyFont="1" applyFill="1" applyBorder="1" applyAlignment="1">
      <alignment vertical="center" wrapText="1"/>
    </xf>
    <xf numFmtId="0" fontId="67" fillId="10" borderId="1" xfId="0" applyFont="1" applyFill="1" applyBorder="1" applyAlignment="1">
      <alignment horizontal="left" vertical="top" wrapText="1"/>
    </xf>
    <xf numFmtId="0" fontId="70" fillId="10" borderId="1" xfId="0" applyFont="1" applyFill="1" applyBorder="1" applyAlignment="1">
      <alignment horizontal="left" vertical="top" wrapText="1"/>
    </xf>
    <xf numFmtId="43" fontId="67" fillId="0" borderId="1" xfId="8" applyFont="1" applyBorder="1" applyAlignment="1">
      <alignment horizontal="center" vertical="center"/>
    </xf>
    <xf numFmtId="168" fontId="67" fillId="4" borderId="1" xfId="4" applyNumberFormat="1" applyFont="1" applyFill="1" applyBorder="1" applyAlignment="1">
      <alignment horizontal="center" wrapText="1"/>
    </xf>
    <xf numFmtId="168" fontId="67" fillId="4" borderId="12" xfId="4" applyNumberFormat="1" applyFont="1" applyFill="1" applyBorder="1" applyAlignment="1">
      <alignment horizontal="center" wrapText="1"/>
    </xf>
    <xf numFmtId="0" fontId="67" fillId="10" borderId="1" xfId="0" applyFont="1" applyFill="1" applyBorder="1" applyAlignment="1">
      <alignment horizontal="center" vertical="center" wrapText="1"/>
    </xf>
    <xf numFmtId="0" fontId="67" fillId="10" borderId="7" xfId="0" applyFont="1" applyFill="1" applyBorder="1" applyAlignment="1">
      <alignment horizontal="center" vertical="center" wrapText="1"/>
    </xf>
    <xf numFmtId="0" fontId="67" fillId="10" borderId="7" xfId="0" applyFont="1" applyFill="1" applyBorder="1" applyAlignment="1">
      <alignment vertical="center" wrapText="1"/>
    </xf>
    <xf numFmtId="168" fontId="67" fillId="4" borderId="7" xfId="4" applyNumberFormat="1" applyFont="1" applyFill="1" applyBorder="1" applyAlignment="1">
      <alignment horizontal="center" wrapText="1"/>
    </xf>
    <xf numFmtId="0" fontId="70" fillId="0" borderId="7" xfId="0" applyFont="1" applyBorder="1" applyAlignment="1">
      <alignment horizontal="left" vertical="top" wrapText="1"/>
    </xf>
    <xf numFmtId="0" fontId="67" fillId="4" borderId="23" xfId="0" applyFont="1" applyFill="1" applyBorder="1" applyAlignment="1">
      <alignment horizontal="center" vertical="center" wrapText="1"/>
    </xf>
    <xf numFmtId="0" fontId="70" fillId="4" borderId="7" xfId="0" applyFont="1" applyFill="1" applyBorder="1" applyAlignment="1">
      <alignment vertical="center" wrapText="1"/>
    </xf>
    <xf numFmtId="42" fontId="60" fillId="0" borderId="0" xfId="10" applyFont="1" applyAlignment="1">
      <alignment horizontal="center" vertical="center"/>
    </xf>
    <xf numFmtId="9" fontId="60" fillId="0" borderId="0" xfId="16" applyFont="1" applyAlignment="1">
      <alignment horizontal="center" vertical="center"/>
    </xf>
    <xf numFmtId="42" fontId="60" fillId="0" borderId="0" xfId="10" applyFont="1" applyAlignment="1"/>
    <xf numFmtId="0" fontId="76" fillId="0" borderId="0" xfId="0" applyFont="1"/>
    <xf numFmtId="0" fontId="77" fillId="4" borderId="0" xfId="0" applyFont="1" applyFill="1"/>
    <xf numFmtId="0" fontId="78" fillId="0" borderId="1" xfId="0" applyFont="1" applyBorder="1"/>
    <xf numFmtId="42" fontId="79" fillId="0" borderId="1" xfId="10" applyFont="1" applyBorder="1" applyAlignment="1">
      <alignment horizontal="center" vertical="center"/>
    </xf>
    <xf numFmtId="9" fontId="79" fillId="0" borderId="1" xfId="16" applyFont="1" applyBorder="1" applyAlignment="1">
      <alignment horizontal="center" vertical="center"/>
    </xf>
    <xf numFmtId="42" fontId="78" fillId="0" borderId="1" xfId="10" applyFont="1" applyBorder="1" applyAlignment="1">
      <alignment horizontal="center" vertical="center"/>
    </xf>
    <xf numFmtId="42" fontId="78" fillId="0" borderId="1" xfId="0" applyNumberFormat="1" applyFont="1" applyBorder="1"/>
    <xf numFmtId="43" fontId="67" fillId="0" borderId="1" xfId="8" applyFont="1" applyBorder="1" applyAlignment="1">
      <alignment horizontal="center" vertical="center" wrapText="1"/>
    </xf>
    <xf numFmtId="0" fontId="67" fillId="16" borderId="11" xfId="0" applyFont="1" applyFill="1" applyBorder="1" applyAlignment="1">
      <alignment horizontal="left" vertical="center" wrapText="1"/>
    </xf>
    <xf numFmtId="0" fontId="8" fillId="4" borderId="10" xfId="0" applyFont="1" applyFill="1" applyBorder="1" applyAlignment="1">
      <alignment horizontal="left" vertical="center" wrapText="1"/>
    </xf>
    <xf numFmtId="0" fontId="67" fillId="17" borderId="10" xfId="0" applyFont="1" applyFill="1" applyBorder="1" applyAlignment="1">
      <alignment horizontal="left" vertical="center" wrapText="1"/>
    </xf>
    <xf numFmtId="0" fontId="80" fillId="0" borderId="24" xfId="0" applyFont="1" applyBorder="1" applyAlignment="1">
      <alignment horizontal="left" vertical="center" wrapText="1"/>
    </xf>
    <xf numFmtId="0" fontId="81" fillId="0" borderId="16" xfId="0" applyFont="1" applyBorder="1" applyAlignment="1">
      <alignment horizontal="center" vertical="center" wrapText="1"/>
    </xf>
    <xf numFmtId="0" fontId="67" fillId="0" borderId="1" xfId="0" applyFont="1" applyBorder="1" applyAlignment="1">
      <alignment vertical="center" wrapText="1"/>
    </xf>
    <xf numFmtId="0" fontId="70" fillId="0" borderId="16" xfId="0" applyFont="1" applyBorder="1" applyAlignment="1">
      <alignment horizontal="left" vertical="center" wrapText="1"/>
    </xf>
    <xf numFmtId="0" fontId="81" fillId="0" borderId="16" xfId="0" applyFont="1" applyBorder="1" applyAlignment="1">
      <alignment vertical="center" wrapText="1"/>
    </xf>
    <xf numFmtId="0" fontId="80" fillId="4" borderId="15" xfId="0" applyFont="1" applyFill="1" applyBorder="1" applyAlignment="1">
      <alignment horizontal="center" vertical="center" wrapText="1"/>
    </xf>
    <xf numFmtId="0" fontId="80" fillId="4" borderId="11" xfId="0" applyFont="1" applyFill="1" applyBorder="1" applyAlignment="1">
      <alignment horizontal="left" vertical="center" wrapText="1"/>
    </xf>
    <xf numFmtId="0" fontId="81" fillId="0" borderId="1" xfId="0" applyFont="1" applyBorder="1" applyAlignment="1">
      <alignment horizontal="center" vertical="center" wrapText="1"/>
    </xf>
    <xf numFmtId="0" fontId="80" fillId="0" borderId="10" xfId="0" applyFont="1" applyBorder="1" applyAlignment="1">
      <alignment horizontal="center" vertical="center" wrapText="1"/>
    </xf>
    <xf numFmtId="0" fontId="80" fillId="0" borderId="12" xfId="0" applyFont="1" applyBorder="1" applyAlignment="1">
      <alignment horizontal="center" vertical="center" wrapText="1"/>
    </xf>
    <xf numFmtId="0" fontId="80" fillId="0" borderId="14" xfId="0" applyFont="1" applyBorder="1" applyAlignment="1">
      <alignment horizontal="center" vertical="center" wrapText="1"/>
    </xf>
    <xf numFmtId="0" fontId="80" fillId="12" borderId="1" xfId="0" applyFont="1" applyFill="1" applyBorder="1" applyAlignment="1">
      <alignment horizontal="left" vertical="center" wrapText="1"/>
    </xf>
    <xf numFmtId="0" fontId="80" fillId="12" borderId="1" xfId="0" applyFont="1" applyFill="1" applyBorder="1" applyAlignment="1">
      <alignment horizontal="center" vertical="center" wrapText="1"/>
    </xf>
    <xf numFmtId="0" fontId="80" fillId="12" borderId="10" xfId="0" applyFont="1" applyFill="1" applyBorder="1" applyAlignment="1">
      <alignment horizontal="center" vertical="center"/>
    </xf>
    <xf numFmtId="0" fontId="70" fillId="0" borderId="25" xfId="0" applyFont="1" applyBorder="1" applyAlignment="1">
      <alignment vertical="center" wrapText="1"/>
    </xf>
    <xf numFmtId="0" fontId="67" fillId="4" borderId="26" xfId="0" applyFont="1" applyFill="1" applyBorder="1" applyAlignment="1">
      <alignment horizontal="center" vertical="center" wrapText="1"/>
    </xf>
    <xf numFmtId="0" fontId="70" fillId="0" borderId="22" xfId="0" applyFont="1" applyBorder="1" applyAlignment="1">
      <alignment horizontal="left" vertical="center" wrapText="1"/>
    </xf>
    <xf numFmtId="0" fontId="70" fillId="0" borderId="22" xfId="0" applyFont="1" applyBorder="1" applyAlignment="1">
      <alignment horizontal="center" vertical="center" wrapText="1"/>
    </xf>
    <xf numFmtId="0" fontId="67" fillId="0" borderId="27" xfId="0" applyFont="1" applyBorder="1" applyAlignment="1">
      <alignment horizontal="center" vertical="center" wrapText="1"/>
    </xf>
    <xf numFmtId="0" fontId="67" fillId="0" borderId="28" xfId="0" applyFont="1" applyBorder="1" applyAlignment="1">
      <alignment horizontal="center" vertical="center" wrapText="1"/>
    </xf>
    <xf numFmtId="0" fontId="67" fillId="12" borderId="22" xfId="0" applyFont="1" applyFill="1" applyBorder="1" applyAlignment="1">
      <alignment horizontal="left" vertical="center" wrapText="1"/>
    </xf>
    <xf numFmtId="0" fontId="67" fillId="12" borderId="22" xfId="0" applyFont="1" applyFill="1" applyBorder="1" applyAlignment="1">
      <alignment horizontal="center" vertical="center" wrapText="1"/>
    </xf>
    <xf numFmtId="0" fontId="67" fillId="12" borderId="27" xfId="0" applyFont="1" applyFill="1" applyBorder="1" applyAlignment="1">
      <alignment horizontal="center" vertical="center"/>
    </xf>
    <xf numFmtId="0" fontId="67" fillId="0" borderId="22" xfId="0" applyFont="1" applyBorder="1" applyAlignment="1">
      <alignment horizontal="left" vertical="center" wrapText="1"/>
    </xf>
    <xf numFmtId="0" fontId="67" fillId="0" borderId="22" xfId="0" applyFont="1" applyBorder="1" applyAlignment="1">
      <alignment wrapText="1"/>
    </xf>
    <xf numFmtId="0" fontId="67" fillId="0" borderId="22" xfId="0" applyFont="1" applyBorder="1" applyAlignment="1">
      <alignment horizontal="center" wrapText="1"/>
    </xf>
    <xf numFmtId="0" fontId="70" fillId="11" borderId="1" xfId="0" applyFont="1" applyFill="1" applyBorder="1" applyAlignment="1">
      <alignment horizontal="left" vertical="center" wrapText="1"/>
    </xf>
    <xf numFmtId="0" fontId="67" fillId="11" borderId="1" xfId="0" applyFont="1" applyFill="1" applyBorder="1" applyAlignment="1">
      <alignment horizontal="center" vertical="center"/>
    </xf>
    <xf numFmtId="0" fontId="70" fillId="0" borderId="1" xfId="0" applyFont="1" applyBorder="1" applyAlignment="1">
      <alignment vertical="center" wrapText="1"/>
    </xf>
    <xf numFmtId="0" fontId="71" fillId="0" borderId="29" xfId="0" applyFont="1" applyBorder="1" applyAlignment="1">
      <alignment horizontal="justify" vertical="center"/>
    </xf>
    <xf numFmtId="0" fontId="67" fillId="4" borderId="7" xfId="0" applyFont="1" applyFill="1" applyBorder="1" applyAlignment="1">
      <alignment horizontal="center" vertical="center" wrapText="1"/>
    </xf>
    <xf numFmtId="0" fontId="67" fillId="0" borderId="7" xfId="0" applyFont="1" applyBorder="1" applyAlignment="1">
      <alignment horizontal="left" vertical="center" wrapText="1"/>
    </xf>
    <xf numFmtId="0" fontId="67" fillId="0" borderId="7" xfId="0" applyFont="1" applyBorder="1" applyAlignment="1">
      <alignment horizontal="center" vertical="center" wrapText="1"/>
    </xf>
    <xf numFmtId="0" fontId="67" fillId="0" borderId="23" xfId="0" applyFont="1" applyBorder="1" applyAlignment="1">
      <alignment horizontal="center" vertical="center" wrapText="1"/>
    </xf>
    <xf numFmtId="0" fontId="67" fillId="10" borderId="23" xfId="0" applyFont="1" applyFill="1" applyBorder="1" applyAlignment="1">
      <alignment horizontal="left" vertical="center" wrapText="1"/>
    </xf>
    <xf numFmtId="0" fontId="67" fillId="10" borderId="23" xfId="0" applyFont="1" applyFill="1" applyBorder="1" applyAlignment="1">
      <alignment horizontal="center" vertical="center" wrapText="1"/>
    </xf>
    <xf numFmtId="0" fontId="67" fillId="10" borderId="23" xfId="0" applyFont="1" applyFill="1" applyBorder="1" applyAlignment="1">
      <alignment horizontal="center" vertical="center"/>
    </xf>
    <xf numFmtId="0" fontId="67" fillId="0" borderId="23" xfId="0" applyFont="1" applyBorder="1" applyAlignment="1">
      <alignment horizontal="left" vertical="center" wrapText="1"/>
    </xf>
    <xf numFmtId="1" fontId="67" fillId="0" borderId="7" xfId="0" applyNumberFormat="1" applyFont="1" applyBorder="1" applyAlignment="1">
      <alignment horizontal="center" vertical="center"/>
    </xf>
    <xf numFmtId="0" fontId="71" fillId="0" borderId="1" xfId="0" applyFont="1" applyBorder="1" applyAlignment="1">
      <alignment horizontal="center" vertical="center"/>
    </xf>
    <xf numFmtId="0" fontId="71" fillId="0" borderId="1" xfId="0" applyFont="1" applyBorder="1" applyAlignment="1">
      <alignment horizontal="justify" vertical="top"/>
    </xf>
    <xf numFmtId="0" fontId="82" fillId="8" borderId="7" xfId="0" applyFont="1" applyFill="1" applyBorder="1" applyAlignment="1">
      <alignment horizontal="center" vertical="center" wrapText="1"/>
    </xf>
    <xf numFmtId="9" fontId="82" fillId="8" borderId="7" xfId="16" applyFont="1" applyFill="1" applyBorder="1" applyAlignment="1">
      <alignment horizontal="center" vertical="center" wrapText="1"/>
    </xf>
    <xf numFmtId="42" fontId="82" fillId="8" borderId="7" xfId="10" applyFont="1" applyFill="1" applyBorder="1" applyAlignment="1">
      <alignment horizontal="center" wrapText="1"/>
    </xf>
    <xf numFmtId="42" fontId="82" fillId="8" borderId="7" xfId="10" applyFont="1" applyFill="1" applyBorder="1" applyAlignment="1">
      <alignment horizontal="center" vertical="center" wrapText="1"/>
    </xf>
    <xf numFmtId="42" fontId="67" fillId="8" borderId="7" xfId="10" applyFont="1" applyFill="1" applyBorder="1" applyAlignment="1">
      <alignment horizontal="center" vertical="center"/>
    </xf>
    <xf numFmtId="0" fontId="67" fillId="18" borderId="7" xfId="0" applyFont="1" applyFill="1" applyBorder="1" applyAlignment="1">
      <alignment horizontal="center" vertical="center" wrapText="1"/>
    </xf>
    <xf numFmtId="0" fontId="83" fillId="4" borderId="30" xfId="0" applyFont="1" applyFill="1" applyBorder="1"/>
    <xf numFmtId="0" fontId="83" fillId="4" borderId="0" xfId="0" applyFont="1" applyFill="1"/>
    <xf numFmtId="0" fontId="84" fillId="19" borderId="31" xfId="0" applyFont="1" applyFill="1" applyBorder="1" applyAlignment="1">
      <alignment horizontal="center" vertical="center" wrapText="1" readingOrder="1"/>
    </xf>
    <xf numFmtId="0" fontId="84" fillId="19" borderId="32" xfId="0" applyFont="1" applyFill="1" applyBorder="1" applyAlignment="1">
      <alignment horizontal="center" vertical="center" wrapText="1" readingOrder="1"/>
    </xf>
    <xf numFmtId="0" fontId="85" fillId="20" borderId="33" xfId="0" applyFont="1" applyFill="1" applyBorder="1" applyAlignment="1">
      <alignment horizontal="center" vertical="top" wrapText="1"/>
    </xf>
    <xf numFmtId="0" fontId="84" fillId="19" borderId="1" xfId="0" applyFont="1" applyFill="1" applyBorder="1" applyAlignment="1">
      <alignment horizontal="center" vertical="center" wrapText="1" readingOrder="1"/>
    </xf>
    <xf numFmtId="0" fontId="81" fillId="0" borderId="22" xfId="0" applyFont="1" applyBorder="1" applyAlignment="1">
      <alignment horizontal="center" vertical="center" wrapText="1"/>
    </xf>
    <xf numFmtId="0" fontId="81" fillId="0" borderId="22" xfId="0" applyFont="1" applyBorder="1" applyAlignment="1">
      <alignment horizontal="left" vertical="center" wrapText="1"/>
    </xf>
    <xf numFmtId="3" fontId="80" fillId="0" borderId="22" xfId="0" applyNumberFormat="1" applyFont="1" applyBorder="1" applyAlignment="1">
      <alignment horizontal="center" vertical="center"/>
    </xf>
    <xf numFmtId="10" fontId="80" fillId="4" borderId="22" xfId="16" applyNumberFormat="1" applyFont="1" applyFill="1" applyBorder="1" applyAlignment="1">
      <alignment horizontal="center" vertical="center"/>
    </xf>
    <xf numFmtId="10" fontId="80" fillId="21" borderId="28" xfId="16" applyNumberFormat="1" applyFont="1" applyFill="1" applyBorder="1" applyAlignment="1">
      <alignment horizontal="center" vertical="center"/>
    </xf>
    <xf numFmtId="0" fontId="81" fillId="0" borderId="1" xfId="0" applyFont="1" applyBorder="1" applyAlignment="1">
      <alignment horizontal="left" vertical="center" wrapText="1"/>
    </xf>
    <xf numFmtId="3" fontId="80" fillId="0" borderId="1" xfId="0" applyNumberFormat="1" applyFont="1" applyBorder="1" applyAlignment="1">
      <alignment horizontal="center" vertical="center"/>
    </xf>
    <xf numFmtId="10" fontId="80" fillId="4" borderId="1" xfId="16" applyNumberFormat="1" applyFont="1" applyFill="1" applyBorder="1" applyAlignment="1">
      <alignment horizontal="center" vertical="center"/>
    </xf>
    <xf numFmtId="3" fontId="80" fillId="4" borderId="1" xfId="0" applyNumberFormat="1" applyFont="1" applyFill="1" applyBorder="1" applyAlignment="1">
      <alignment horizontal="center" vertical="center"/>
    </xf>
    <xf numFmtId="10" fontId="80" fillId="21" borderId="8" xfId="16" applyNumberFormat="1" applyFont="1" applyFill="1" applyBorder="1" applyAlignment="1">
      <alignment horizontal="center" vertical="center"/>
    </xf>
    <xf numFmtId="9" fontId="80" fillId="4" borderId="1" xfId="16" applyFont="1" applyFill="1" applyBorder="1" applyAlignment="1">
      <alignment horizontal="center" vertical="center"/>
    </xf>
    <xf numFmtId="170" fontId="80" fillId="4" borderId="1" xfId="16" applyNumberFormat="1" applyFont="1" applyFill="1" applyBorder="1" applyAlignment="1">
      <alignment horizontal="center" vertical="center"/>
    </xf>
    <xf numFmtId="4" fontId="80" fillId="4" borderId="1" xfId="0" applyNumberFormat="1" applyFont="1" applyFill="1" applyBorder="1" applyAlignment="1">
      <alignment horizontal="center" vertical="center"/>
    </xf>
    <xf numFmtId="0" fontId="86" fillId="22" borderId="1" xfId="0" applyFont="1" applyFill="1" applyBorder="1" applyAlignment="1">
      <alignment horizontal="left" vertical="center" wrapText="1"/>
    </xf>
    <xf numFmtId="3" fontId="77" fillId="22" borderId="1" xfId="0" applyNumberFormat="1" applyFont="1" applyFill="1" applyBorder="1"/>
    <xf numFmtId="9" fontId="87" fillId="22" borderId="1" xfId="16" applyFont="1" applyFill="1" applyBorder="1" applyAlignment="1">
      <alignment horizontal="center" vertical="center"/>
    </xf>
    <xf numFmtId="0" fontId="66" fillId="0" borderId="1" xfId="0" applyFont="1" applyBorder="1"/>
    <xf numFmtId="0" fontId="0" fillId="0" borderId="1" xfId="0" applyBorder="1" applyAlignment="1">
      <alignment horizontal="center"/>
    </xf>
    <xf numFmtId="0" fontId="0" fillId="0" borderId="1" xfId="0" applyBorder="1"/>
    <xf numFmtId="41" fontId="60" fillId="0" borderId="0" xfId="5" applyFont="1" applyFill="1"/>
    <xf numFmtId="0" fontId="66" fillId="0" borderId="1" xfId="0" applyFont="1" applyBorder="1" applyAlignment="1">
      <alignment horizontal="left" wrapText="1"/>
    </xf>
    <xf numFmtId="0" fontId="87" fillId="0" borderId="31" xfId="13" applyFont="1" applyBorder="1" applyAlignment="1">
      <alignment horizontal="center" vertical="center"/>
    </xf>
    <xf numFmtId="0" fontId="87" fillId="0" borderId="32" xfId="13" applyFont="1" applyBorder="1" applyAlignment="1">
      <alignment horizontal="center" vertical="center"/>
    </xf>
    <xf numFmtId="41" fontId="87" fillId="0" borderId="32" xfId="6" applyFont="1" applyFill="1" applyBorder="1" applyAlignment="1">
      <alignment horizontal="center" vertical="center" wrapText="1"/>
    </xf>
    <xf numFmtId="0" fontId="87" fillId="0" borderId="32" xfId="13" applyFont="1" applyBorder="1" applyAlignment="1">
      <alignment horizontal="center" vertical="center" wrapText="1"/>
    </xf>
    <xf numFmtId="0" fontId="87" fillId="0" borderId="34" xfId="13" applyFont="1" applyBorder="1" applyAlignment="1">
      <alignment horizontal="center" vertical="center" wrapText="1"/>
    </xf>
    <xf numFmtId="0" fontId="80" fillId="0" borderId="0" xfId="13" applyFont="1"/>
    <xf numFmtId="0" fontId="80" fillId="0" borderId="22" xfId="13" applyFont="1" applyBorder="1"/>
    <xf numFmtId="41" fontId="80" fillId="0" borderId="22" xfId="6" applyFont="1" applyFill="1" applyBorder="1"/>
    <xf numFmtId="3" fontId="80" fillId="0" borderId="0" xfId="13" applyNumberFormat="1" applyFont="1"/>
    <xf numFmtId="41" fontId="80" fillId="0" borderId="22" xfId="13" applyNumberFormat="1" applyFont="1" applyBorder="1"/>
    <xf numFmtId="41" fontId="80" fillId="0" borderId="35" xfId="13" applyNumberFormat="1" applyFont="1" applyBorder="1"/>
    <xf numFmtId="0" fontId="80" fillId="0" borderId="1" xfId="13" applyFont="1" applyBorder="1"/>
    <xf numFmtId="41" fontId="80" fillId="0" borderId="1" xfId="6" applyFont="1" applyFill="1" applyBorder="1"/>
    <xf numFmtId="41" fontId="80" fillId="0" borderId="14" xfId="13" applyNumberFormat="1" applyFont="1" applyBorder="1"/>
    <xf numFmtId="0" fontId="80" fillId="0" borderId="21" xfId="13" applyFont="1" applyBorder="1"/>
    <xf numFmtId="0" fontId="80" fillId="0" borderId="18" xfId="13" applyFont="1" applyBorder="1"/>
    <xf numFmtId="41" fontId="87" fillId="0" borderId="18" xfId="6" applyFont="1" applyFill="1" applyBorder="1"/>
    <xf numFmtId="41" fontId="80" fillId="0" borderId="0" xfId="6" applyFont="1" applyFill="1"/>
    <xf numFmtId="0" fontId="80" fillId="0" borderId="13" xfId="13" applyFont="1" applyBorder="1"/>
    <xf numFmtId="41" fontId="80" fillId="0" borderId="13" xfId="6" applyFont="1" applyFill="1" applyBorder="1"/>
    <xf numFmtId="41" fontId="80" fillId="0" borderId="13" xfId="13" applyNumberFormat="1" applyFont="1" applyBorder="1"/>
    <xf numFmtId="41" fontId="80" fillId="0" borderId="36" xfId="13" applyNumberFormat="1" applyFont="1" applyBorder="1"/>
    <xf numFmtId="41" fontId="80" fillId="0" borderId="1" xfId="13" applyNumberFormat="1" applyFont="1" applyBorder="1"/>
    <xf numFmtId="0" fontId="80" fillId="0" borderId="13" xfId="13" applyFont="1" applyBorder="1" applyAlignment="1">
      <alignment horizontal="left" vertical="center"/>
    </xf>
    <xf numFmtId="41" fontId="80" fillId="0" borderId="36" xfId="6" applyFont="1" applyFill="1" applyBorder="1"/>
    <xf numFmtId="0" fontId="80" fillId="0" borderId="1" xfId="13" applyFont="1" applyBorder="1" applyAlignment="1">
      <alignment horizontal="left" vertical="center"/>
    </xf>
    <xf numFmtId="41" fontId="80" fillId="0" borderId="14" xfId="6" applyFont="1" applyFill="1" applyBorder="1"/>
    <xf numFmtId="3" fontId="80" fillId="0" borderId="1" xfId="13" applyNumberFormat="1" applyFont="1" applyBorder="1"/>
    <xf numFmtId="0" fontId="87" fillId="17" borderId="31" xfId="13" applyFont="1" applyFill="1" applyBorder="1" applyAlignment="1">
      <alignment horizontal="center" vertical="center"/>
    </xf>
    <xf numFmtId="0" fontId="87" fillId="17" borderId="32" xfId="13" applyFont="1" applyFill="1" applyBorder="1" applyAlignment="1">
      <alignment horizontal="center" vertical="center"/>
    </xf>
    <xf numFmtId="41" fontId="87" fillId="17" borderId="33" xfId="6" applyFont="1" applyFill="1" applyBorder="1" applyAlignment="1">
      <alignment horizontal="center" vertical="center" wrapText="1"/>
    </xf>
    <xf numFmtId="41" fontId="87" fillId="17" borderId="37" xfId="6" applyFont="1" applyFill="1" applyBorder="1" applyAlignment="1">
      <alignment horizontal="center" vertical="center" wrapText="1"/>
    </xf>
    <xf numFmtId="41" fontId="87" fillId="17" borderId="38" xfId="6" applyFont="1" applyFill="1" applyBorder="1" applyAlignment="1">
      <alignment horizontal="center" vertical="center" wrapText="1"/>
    </xf>
    <xf numFmtId="41" fontId="87" fillId="17" borderId="39" xfId="6" applyFont="1" applyFill="1" applyBorder="1" applyAlignment="1">
      <alignment horizontal="center" vertical="center" wrapText="1"/>
    </xf>
    <xf numFmtId="41" fontId="87" fillId="17" borderId="40" xfId="6" applyFont="1" applyFill="1" applyBorder="1" applyAlignment="1">
      <alignment horizontal="center" vertical="center" wrapText="1"/>
    </xf>
    <xf numFmtId="0" fontId="87" fillId="17" borderId="40" xfId="13" applyFont="1" applyFill="1" applyBorder="1" applyAlignment="1">
      <alignment horizontal="center" vertical="center" wrapText="1"/>
    </xf>
    <xf numFmtId="0" fontId="80" fillId="0" borderId="0" xfId="13" applyFont="1" applyAlignment="1">
      <alignment vertical="center"/>
    </xf>
    <xf numFmtId="0" fontId="81" fillId="0" borderId="1" xfId="13" applyFont="1" applyBorder="1" applyAlignment="1">
      <alignment horizontal="left"/>
    </xf>
    <xf numFmtId="167" fontId="80" fillId="4" borderId="22" xfId="11" applyFont="1" applyFill="1" applyBorder="1"/>
    <xf numFmtId="167" fontId="80" fillId="0" borderId="22" xfId="11" applyFont="1" applyFill="1" applyBorder="1"/>
    <xf numFmtId="42" fontId="80" fillId="0" borderId="35" xfId="13" applyNumberFormat="1" applyFont="1" applyBorder="1"/>
    <xf numFmtId="167" fontId="80" fillId="0" borderId="1" xfId="11" applyFont="1" applyFill="1" applyBorder="1"/>
    <xf numFmtId="42" fontId="80" fillId="0" borderId="14" xfId="13" applyNumberFormat="1" applyFont="1" applyBorder="1"/>
    <xf numFmtId="0" fontId="81" fillId="0" borderId="1" xfId="13" applyFont="1" applyBorder="1" applyAlignment="1">
      <alignment horizontal="left" vertical="center"/>
    </xf>
    <xf numFmtId="0" fontId="81" fillId="4" borderId="1" xfId="13" applyFont="1" applyFill="1" applyBorder="1" applyAlignment="1">
      <alignment horizontal="left"/>
    </xf>
    <xf numFmtId="167" fontId="80" fillId="4" borderId="1" xfId="11" applyFont="1" applyFill="1" applyBorder="1"/>
    <xf numFmtId="0" fontId="81" fillId="0" borderId="1" xfId="13" applyFont="1" applyBorder="1" applyAlignment="1">
      <alignment horizontal="center" vertical="center"/>
    </xf>
    <xf numFmtId="0" fontId="80" fillId="0" borderId="41" xfId="13" applyFont="1" applyBorder="1"/>
    <xf numFmtId="0" fontId="80" fillId="0" borderId="42" xfId="13" applyFont="1" applyBorder="1"/>
    <xf numFmtId="41" fontId="87" fillId="0" borderId="42" xfId="6" applyFont="1" applyFill="1" applyBorder="1" applyAlignment="1">
      <alignment vertical="center"/>
    </xf>
    <xf numFmtId="41" fontId="87" fillId="0" borderId="43" xfId="6" applyFont="1" applyFill="1" applyBorder="1" applyAlignment="1">
      <alignment vertical="center"/>
    </xf>
    <xf numFmtId="42" fontId="80" fillId="0" borderId="0" xfId="13" applyNumberFormat="1" applyFont="1"/>
    <xf numFmtId="0" fontId="80" fillId="0" borderId="13" xfId="13" applyFont="1" applyBorder="1" applyAlignment="1">
      <alignment horizontal="left"/>
    </xf>
    <xf numFmtId="167" fontId="80" fillId="0" borderId="13" xfId="11" applyFont="1" applyFill="1" applyBorder="1"/>
    <xf numFmtId="42" fontId="80" fillId="0" borderId="36" xfId="13" applyNumberFormat="1" applyFont="1" applyBorder="1"/>
    <xf numFmtId="0" fontId="80" fillId="0" borderId="1" xfId="13" applyFont="1" applyBorder="1" applyAlignment="1">
      <alignment horizontal="left"/>
    </xf>
    <xf numFmtId="41" fontId="87" fillId="0" borderId="18" xfId="6" applyFont="1" applyFill="1" applyBorder="1" applyAlignment="1">
      <alignment vertical="center"/>
    </xf>
    <xf numFmtId="167" fontId="80" fillId="0" borderId="0" xfId="11" applyFont="1" applyFill="1" applyBorder="1"/>
    <xf numFmtId="42" fontId="80" fillId="0" borderId="29" xfId="13" applyNumberFormat="1" applyFont="1" applyBorder="1"/>
    <xf numFmtId="42" fontId="80" fillId="0" borderId="13" xfId="13" applyNumberFormat="1" applyFont="1" applyBorder="1"/>
    <xf numFmtId="41" fontId="87" fillId="0" borderId="19" xfId="6" applyFont="1" applyFill="1" applyBorder="1"/>
    <xf numFmtId="0" fontId="77" fillId="0" borderId="0" xfId="13" applyFont="1"/>
    <xf numFmtId="41" fontId="77" fillId="0" borderId="0" xfId="6" applyFont="1" applyFill="1"/>
    <xf numFmtId="0" fontId="87" fillId="0" borderId="0" xfId="13" applyFont="1"/>
    <xf numFmtId="41" fontId="87" fillId="0" borderId="0" xfId="6" applyFont="1" applyFill="1"/>
    <xf numFmtId="0" fontId="88" fillId="0" borderId="0" xfId="13" applyFont="1"/>
    <xf numFmtId="41" fontId="88" fillId="0" borderId="0" xfId="6" applyFont="1" applyFill="1"/>
    <xf numFmtId="0" fontId="89" fillId="0" borderId="0" xfId="13" applyFont="1"/>
    <xf numFmtId="167" fontId="80" fillId="4" borderId="13" xfId="11" applyFont="1" applyFill="1" applyBorder="1"/>
    <xf numFmtId="41" fontId="80" fillId="18" borderId="0" xfId="6" applyFont="1" applyFill="1"/>
    <xf numFmtId="41" fontId="80" fillId="0" borderId="0" xfId="13" applyNumberFormat="1" applyFont="1"/>
    <xf numFmtId="41" fontId="80" fillId="0" borderId="0" xfId="5" applyFont="1"/>
    <xf numFmtId="0" fontId="80" fillId="0" borderId="1" xfId="13" applyFont="1" applyBorder="1" applyAlignment="1">
      <alignment vertical="center" wrapText="1"/>
    </xf>
    <xf numFmtId="167" fontId="80" fillId="0" borderId="44" xfId="11" applyFont="1" applyFill="1" applyBorder="1"/>
    <xf numFmtId="167" fontId="80" fillId="0" borderId="1" xfId="13" applyNumberFormat="1" applyFont="1" applyBorder="1"/>
    <xf numFmtId="167" fontId="80" fillId="0" borderId="22" xfId="13" applyNumberFormat="1" applyFont="1" applyBorder="1"/>
    <xf numFmtId="167" fontId="80" fillId="0" borderId="45" xfId="11" applyFont="1" applyFill="1" applyBorder="1"/>
    <xf numFmtId="42" fontId="80" fillId="0" borderId="46" xfId="13" applyNumberFormat="1" applyFont="1" applyBorder="1"/>
    <xf numFmtId="42" fontId="80" fillId="0" borderId="47" xfId="13" applyNumberFormat="1" applyFont="1" applyBorder="1"/>
    <xf numFmtId="42" fontId="80" fillId="0" borderId="1" xfId="13" applyNumberFormat="1" applyFont="1" applyBorder="1"/>
    <xf numFmtId="167" fontId="80" fillId="0" borderId="29" xfId="11" applyFont="1" applyFill="1" applyBorder="1"/>
    <xf numFmtId="41" fontId="80" fillId="4" borderId="0" xfId="6" applyFont="1" applyFill="1"/>
    <xf numFmtId="0" fontId="74" fillId="0" borderId="10" xfId="0" applyFont="1" applyBorder="1" applyAlignment="1">
      <alignment horizontal="center" vertical="center" wrapText="1"/>
    </xf>
    <xf numFmtId="0" fontId="74" fillId="4" borderId="11" xfId="0" applyFont="1" applyFill="1" applyBorder="1" applyAlignment="1">
      <alignment horizontal="center" vertical="center" wrapText="1"/>
    </xf>
    <xf numFmtId="0" fontId="0" fillId="4" borderId="1" xfId="0" applyFill="1" applyBorder="1"/>
    <xf numFmtId="0" fontId="69" fillId="0" borderId="1" xfId="0" applyFont="1" applyBorder="1" applyAlignment="1">
      <alignment horizontal="center" vertical="center" wrapText="1"/>
    </xf>
    <xf numFmtId="0" fontId="70" fillId="4" borderId="10" xfId="0" applyFont="1" applyFill="1" applyBorder="1" applyAlignment="1">
      <alignment horizontal="center" vertical="center" wrapText="1"/>
    </xf>
    <xf numFmtId="0" fontId="70" fillId="4" borderId="10" xfId="0" applyFont="1" applyFill="1" applyBorder="1" applyAlignment="1">
      <alignment horizontal="left" vertical="center" wrapText="1"/>
    </xf>
    <xf numFmtId="0" fontId="0" fillId="4" borderId="12" xfId="0" applyFill="1" applyBorder="1" applyAlignment="1">
      <alignment vertical="center"/>
    </xf>
    <xf numFmtId="0" fontId="0" fillId="4" borderId="12" xfId="0" applyFill="1" applyBorder="1" applyAlignment="1">
      <alignment horizontal="center" vertical="center"/>
    </xf>
    <xf numFmtId="0" fontId="90" fillId="4" borderId="0" xfId="0" applyFont="1" applyFill="1"/>
    <xf numFmtId="42" fontId="60" fillId="0" borderId="1" xfId="10" applyFont="1" applyBorder="1"/>
    <xf numFmtId="42" fontId="91" fillId="0" borderId="1" xfId="10" applyFont="1" applyBorder="1"/>
    <xf numFmtId="0" fontId="0" fillId="0" borderId="1" xfId="0" applyBorder="1" applyAlignment="1">
      <alignment horizontal="center" vertical="center"/>
    </xf>
    <xf numFmtId="1" fontId="66" fillId="0" borderId="1" xfId="0" applyNumberFormat="1" applyFont="1" applyBorder="1"/>
    <xf numFmtId="14" fontId="66" fillId="0" borderId="1" xfId="0" applyNumberFormat="1" applyFont="1" applyBorder="1"/>
    <xf numFmtId="1" fontId="0" fillId="0" borderId="1" xfId="0" applyNumberFormat="1" applyBorder="1"/>
    <xf numFmtId="0" fontId="91" fillId="0" borderId="1" xfId="0" applyFont="1" applyBorder="1"/>
    <xf numFmtId="0" fontId="66" fillId="23" borderId="1" xfId="0" applyFont="1" applyFill="1" applyBorder="1"/>
    <xf numFmtId="0" fontId="91" fillId="0" borderId="1" xfId="0" applyFont="1" applyBorder="1" applyAlignment="1">
      <alignment horizontal="center" vertical="center"/>
    </xf>
    <xf numFmtId="14" fontId="91" fillId="0" borderId="1" xfId="0" applyNumberFormat="1" applyFont="1" applyBorder="1"/>
    <xf numFmtId="0" fontId="91" fillId="0" borderId="1" xfId="0" applyFont="1" applyBorder="1" applyAlignment="1">
      <alignment horizontal="center"/>
    </xf>
    <xf numFmtId="0" fontId="91" fillId="0" borderId="1" xfId="0" applyFont="1" applyBorder="1" applyAlignment="1">
      <alignment horizontal="left"/>
    </xf>
    <xf numFmtId="42" fontId="91" fillId="0" borderId="1" xfId="0" applyNumberFormat="1" applyFont="1" applyBorder="1"/>
    <xf numFmtId="0" fontId="66" fillId="0" borderId="1" xfId="0" applyFont="1" applyBorder="1" applyAlignment="1">
      <alignment horizontal="center" vertical="center"/>
    </xf>
    <xf numFmtId="14" fontId="66" fillId="0" borderId="1" xfId="0" applyNumberFormat="1" applyFont="1" applyBorder="1" applyAlignment="1">
      <alignment horizontal="right" vertical="top"/>
    </xf>
    <xf numFmtId="0" fontId="66" fillId="0" borderId="1" xfId="0" applyFont="1" applyBorder="1" applyAlignment="1">
      <alignment vertical="top"/>
    </xf>
    <xf numFmtId="0" fontId="66" fillId="0" borderId="1" xfId="0" applyFont="1" applyBorder="1" applyAlignment="1">
      <alignment horizontal="center"/>
    </xf>
    <xf numFmtId="0" fontId="66" fillId="0" borderId="1" xfId="0" applyFont="1" applyBorder="1" applyAlignment="1">
      <alignment horizontal="left" vertical="top"/>
    </xf>
    <xf numFmtId="42" fontId="66" fillId="0" borderId="1" xfId="10" applyFont="1" applyFill="1" applyBorder="1"/>
    <xf numFmtId="1" fontId="91" fillId="0" borderId="1" xfId="0" applyNumberFormat="1" applyFont="1" applyBorder="1"/>
    <xf numFmtId="1" fontId="66" fillId="4" borderId="1" xfId="0" applyNumberFormat="1" applyFont="1" applyFill="1" applyBorder="1"/>
    <xf numFmtId="0" fontId="0" fillId="4" borderId="1" xfId="0" applyFill="1" applyBorder="1" applyAlignment="1">
      <alignment horizontal="center"/>
    </xf>
    <xf numFmtId="0" fontId="66" fillId="0" borderId="1" xfId="0" applyFont="1" applyBorder="1" applyAlignment="1">
      <alignment horizontal="center" vertical="top"/>
    </xf>
    <xf numFmtId="0" fontId="92" fillId="0" borderId="1" xfId="0" applyFont="1" applyBorder="1"/>
    <xf numFmtId="0" fontId="0" fillId="0" borderId="0" xfId="0" applyAlignment="1">
      <alignment vertical="center"/>
    </xf>
    <xf numFmtId="0" fontId="0" fillId="4" borderId="10" xfId="0" applyFill="1" applyBorder="1" applyAlignment="1">
      <alignment horizontal="left" vertical="center" wrapText="1"/>
    </xf>
    <xf numFmtId="42" fontId="70" fillId="0" borderId="1" xfId="0" applyNumberFormat="1" applyFont="1" applyBorder="1" applyAlignment="1">
      <alignment horizontal="center" vertical="center" wrapText="1"/>
    </xf>
    <xf numFmtId="0" fontId="69" fillId="0" borderId="1" xfId="0" applyFont="1" applyBorder="1"/>
    <xf numFmtId="42" fontId="60" fillId="0" borderId="1" xfId="10" applyFont="1" applyFill="1" applyBorder="1" applyAlignment="1">
      <alignment horizontal="center" vertical="center"/>
    </xf>
    <xf numFmtId="0" fontId="69" fillId="0" borderId="1" xfId="0" applyFont="1" applyBorder="1" applyAlignment="1">
      <alignment wrapText="1"/>
    </xf>
    <xf numFmtId="42" fontId="70" fillId="0" borderId="1" xfId="10" applyFont="1" applyFill="1" applyBorder="1" applyAlignment="1">
      <alignment vertical="center" wrapText="1"/>
    </xf>
    <xf numFmtId="0" fontId="93" fillId="0" borderId="1" xfId="0" applyFont="1" applyBorder="1" applyAlignment="1">
      <alignment wrapText="1"/>
    </xf>
    <xf numFmtId="42" fontId="70" fillId="0" borderId="1" xfId="10" applyFont="1" applyFill="1" applyBorder="1" applyAlignment="1">
      <alignment vertical="center"/>
    </xf>
    <xf numFmtId="42" fontId="70" fillId="0" borderId="1" xfId="10" applyFont="1" applyFill="1" applyBorder="1" applyAlignment="1">
      <alignment horizontal="right" vertical="center"/>
    </xf>
    <xf numFmtId="42" fontId="70" fillId="0" borderId="29" xfId="0" applyNumberFormat="1" applyFont="1" applyBorder="1" applyAlignment="1">
      <alignment horizontal="center" vertical="center" wrapText="1"/>
    </xf>
    <xf numFmtId="0" fontId="69" fillId="0" borderId="29" xfId="0" applyFont="1" applyBorder="1"/>
    <xf numFmtId="42" fontId="70" fillId="0" borderId="22" xfId="0" applyNumberFormat="1" applyFont="1" applyBorder="1" applyAlignment="1">
      <alignment horizontal="center" vertical="center" wrapText="1"/>
    </xf>
    <xf numFmtId="9" fontId="93" fillId="0" borderId="1" xfId="16" applyFont="1" applyFill="1" applyBorder="1" applyAlignment="1">
      <alignment horizontal="center" vertical="center"/>
    </xf>
    <xf numFmtId="0" fontId="93" fillId="0" borderId="1" xfId="0" applyFont="1" applyBorder="1" applyAlignment="1">
      <alignment horizontal="center" wrapText="1"/>
    </xf>
    <xf numFmtId="42" fontId="67" fillId="0" borderId="1" xfId="10" applyFont="1" applyFill="1" applyBorder="1" applyAlignment="1">
      <alignment horizontal="center" vertical="center"/>
    </xf>
    <xf numFmtId="0" fontId="94" fillId="0" borderId="1" xfId="0" applyFont="1" applyBorder="1" applyAlignment="1">
      <alignment horizontal="center" vertical="center" wrapText="1"/>
    </xf>
    <xf numFmtId="42" fontId="95" fillId="0" borderId="1" xfId="10" applyFont="1" applyFill="1" applyBorder="1" applyAlignment="1">
      <alignment horizontal="center" vertical="center"/>
    </xf>
    <xf numFmtId="0" fontId="96" fillId="0" borderId="1" xfId="0" applyFont="1" applyBorder="1" applyAlignment="1">
      <alignment horizontal="center" vertical="center" wrapText="1"/>
    </xf>
    <xf numFmtId="42" fontId="69" fillId="0" borderId="1" xfId="10" applyFont="1" applyFill="1" applyBorder="1" applyAlignment="1">
      <alignment vertical="center"/>
    </xf>
    <xf numFmtId="0" fontId="94" fillId="0" borderId="1" xfId="0" applyFont="1" applyBorder="1" applyAlignment="1">
      <alignment vertical="center" wrapText="1"/>
    </xf>
    <xf numFmtId="42" fontId="74" fillId="0" borderId="1" xfId="0" applyNumberFormat="1" applyFont="1" applyBorder="1" applyAlignment="1">
      <alignment horizontal="center" vertical="center" wrapText="1"/>
    </xf>
    <xf numFmtId="42" fontId="69" fillId="0" borderId="7" xfId="10" applyFont="1" applyFill="1" applyBorder="1" applyAlignment="1">
      <alignment horizontal="center" vertical="center" wrapText="1"/>
    </xf>
    <xf numFmtId="9" fontId="69" fillId="0" borderId="7" xfId="16" applyFont="1" applyFill="1" applyBorder="1" applyAlignment="1">
      <alignment horizontal="center" vertical="center" wrapText="1"/>
    </xf>
    <xf numFmtId="42" fontId="70" fillId="0" borderId="1" xfId="10" applyFont="1" applyFill="1" applyBorder="1" applyAlignment="1">
      <alignment horizontal="center" vertical="center"/>
    </xf>
    <xf numFmtId="42" fontId="69" fillId="0" borderId="7" xfId="10" applyFont="1" applyFill="1" applyBorder="1" applyAlignment="1">
      <alignment vertical="center"/>
    </xf>
    <xf numFmtId="0" fontId="96" fillId="0" borderId="1" xfId="0" applyFont="1" applyBorder="1" applyAlignment="1">
      <alignment horizontal="center" wrapText="1"/>
    </xf>
    <xf numFmtId="0" fontId="75" fillId="0" borderId="1" xfId="0" applyFont="1" applyBorder="1" applyAlignment="1">
      <alignment horizontal="center" vertical="center" wrapText="1"/>
    </xf>
    <xf numFmtId="14" fontId="91" fillId="0" borderId="1" xfId="0" applyNumberFormat="1" applyFont="1" applyBorder="1" applyAlignment="1">
      <alignment horizontal="center"/>
    </xf>
    <xf numFmtId="14" fontId="66" fillId="0" borderId="1" xfId="0" applyNumberFormat="1" applyFont="1" applyBorder="1" applyAlignment="1">
      <alignment horizontal="center" vertical="top"/>
    </xf>
    <xf numFmtId="0" fontId="91" fillId="0" borderId="1" xfId="0" applyFont="1" applyBorder="1" applyAlignment="1">
      <alignment vertical="top"/>
    </xf>
    <xf numFmtId="0" fontId="91" fillId="23" borderId="1" xfId="0" applyFont="1" applyFill="1" applyBorder="1"/>
    <xf numFmtId="42" fontId="91" fillId="0" borderId="8" xfId="10" applyFont="1" applyBorder="1"/>
    <xf numFmtId="14" fontId="91" fillId="0" borderId="1" xfId="0" applyNumberFormat="1" applyFont="1" applyBorder="1" applyAlignment="1">
      <alignment horizontal="right" vertical="top"/>
    </xf>
    <xf numFmtId="0" fontId="91" fillId="0" borderId="22" xfId="0" applyFont="1" applyBorder="1"/>
    <xf numFmtId="1" fontId="91" fillId="24" borderId="1" xfId="0" applyNumberFormat="1" applyFont="1" applyFill="1" applyBorder="1"/>
    <xf numFmtId="1" fontId="66" fillId="24" borderId="1" xfId="0" applyNumberFormat="1" applyFont="1" applyFill="1" applyBorder="1"/>
    <xf numFmtId="0" fontId="77" fillId="25" borderId="1" xfId="0" applyFont="1" applyFill="1" applyBorder="1"/>
    <xf numFmtId="1" fontId="77" fillId="25" borderId="1" xfId="0" applyNumberFormat="1" applyFont="1" applyFill="1" applyBorder="1"/>
    <xf numFmtId="14" fontId="77" fillId="25" borderId="1" xfId="0" applyNumberFormat="1" applyFont="1" applyFill="1" applyBorder="1"/>
    <xf numFmtId="0" fontId="77" fillId="26" borderId="1" xfId="0" applyFont="1" applyFill="1" applyBorder="1"/>
    <xf numFmtId="14" fontId="77" fillId="26" borderId="1" xfId="0" applyNumberFormat="1" applyFont="1" applyFill="1" applyBorder="1"/>
    <xf numFmtId="42" fontId="97" fillId="26" borderId="1" xfId="10" applyFont="1" applyFill="1" applyBorder="1"/>
    <xf numFmtId="0" fontId="77" fillId="8" borderId="1" xfId="0" applyFont="1" applyFill="1" applyBorder="1" applyAlignment="1">
      <alignment horizontal="left" vertical="center"/>
    </xf>
    <xf numFmtId="14" fontId="77" fillId="8" borderId="1" xfId="0" applyNumberFormat="1" applyFont="1" applyFill="1" applyBorder="1" applyAlignment="1">
      <alignment horizontal="left"/>
    </xf>
    <xf numFmtId="0" fontId="77" fillId="8" borderId="1" xfId="0" applyFont="1" applyFill="1" applyBorder="1" applyAlignment="1">
      <alignment horizontal="left"/>
    </xf>
    <xf numFmtId="0" fontId="77" fillId="8" borderId="1" xfId="0" applyFont="1" applyFill="1" applyBorder="1"/>
    <xf numFmtId="0" fontId="66" fillId="0" borderId="22" xfId="0" applyFont="1" applyBorder="1"/>
    <xf numFmtId="1" fontId="66" fillId="0" borderId="22" xfId="0" applyNumberFormat="1" applyFont="1" applyBorder="1"/>
    <xf numFmtId="42" fontId="91" fillId="0" borderId="28" xfId="10" applyFont="1" applyBorder="1"/>
    <xf numFmtId="0" fontId="91" fillId="23" borderId="22" xfId="0" applyFont="1" applyFill="1" applyBorder="1"/>
    <xf numFmtId="1" fontId="91" fillId="0" borderId="22" xfId="0" applyNumberFormat="1" applyFont="1" applyBorder="1"/>
    <xf numFmtId="14" fontId="91" fillId="0" borderId="22" xfId="0" applyNumberFormat="1" applyFont="1" applyBorder="1"/>
    <xf numFmtId="14" fontId="91" fillId="0" borderId="22" xfId="0" applyNumberFormat="1" applyFont="1" applyBorder="1" applyAlignment="1">
      <alignment horizontal="right" vertical="top"/>
    </xf>
    <xf numFmtId="0" fontId="91" fillId="0" borderId="22" xfId="0" applyFont="1" applyBorder="1" applyAlignment="1">
      <alignment vertical="top"/>
    </xf>
    <xf numFmtId="14" fontId="66" fillId="0" borderId="22" xfId="0" applyNumberFormat="1" applyFont="1" applyBorder="1"/>
    <xf numFmtId="1" fontId="92" fillId="0" borderId="1" xfId="0" applyNumberFormat="1" applyFont="1" applyBorder="1"/>
    <xf numFmtId="0" fontId="66" fillId="23" borderId="22" xfId="0" applyFont="1" applyFill="1" applyBorder="1"/>
    <xf numFmtId="0" fontId="91" fillId="0" borderId="8" xfId="0" applyFont="1" applyBorder="1"/>
    <xf numFmtId="0" fontId="77" fillId="0" borderId="1" xfId="0" applyFont="1" applyBorder="1"/>
    <xf numFmtId="14" fontId="91" fillId="0" borderId="1" xfId="0" applyNumberFormat="1" applyFont="1" applyBorder="1" applyAlignment="1">
      <alignment horizontal="center" vertical="top"/>
    </xf>
    <xf numFmtId="0" fontId="91" fillId="0" borderId="1" xfId="0" applyFont="1" applyBorder="1" applyAlignment="1">
      <alignment horizontal="left" vertical="top"/>
    </xf>
    <xf numFmtId="1" fontId="91" fillId="0" borderId="1" xfId="0" applyNumberFormat="1" applyFont="1" applyBorder="1" applyAlignment="1">
      <alignment horizontal="left" vertical="top"/>
    </xf>
    <xf numFmtId="0" fontId="91" fillId="4" borderId="1" xfId="0" applyFont="1" applyFill="1" applyBorder="1"/>
    <xf numFmtId="0" fontId="91" fillId="0" borderId="62" xfId="0" applyFont="1" applyBorder="1"/>
    <xf numFmtId="0" fontId="91" fillId="0" borderId="48" xfId="0" applyFont="1" applyBorder="1"/>
    <xf numFmtId="0" fontId="91" fillId="0" borderId="63" xfId="0" applyFont="1" applyBorder="1"/>
    <xf numFmtId="42" fontId="91" fillId="0" borderId="8" xfId="10" applyFont="1" applyBorder="1" applyAlignment="1">
      <alignment horizontal="right"/>
    </xf>
    <xf numFmtId="3" fontId="91" fillId="0" borderId="8" xfId="0" applyNumberFormat="1" applyFont="1" applyBorder="1" applyAlignment="1">
      <alignment horizontal="right" vertical="top"/>
    </xf>
    <xf numFmtId="42" fontId="91" fillId="0" borderId="8" xfId="10" applyFont="1" applyFill="1" applyBorder="1"/>
    <xf numFmtId="42" fontId="91" fillId="4" borderId="8" xfId="10" applyFont="1" applyFill="1" applyBorder="1"/>
    <xf numFmtId="42" fontId="66" fillId="0" borderId="8" xfId="10" applyFont="1" applyBorder="1"/>
    <xf numFmtId="42" fontId="91" fillId="0" borderId="28" xfId="10" applyFont="1" applyBorder="1" applyAlignment="1">
      <alignment horizontal="right"/>
    </xf>
    <xf numFmtId="172" fontId="77" fillId="27" borderId="1" xfId="10" applyNumberFormat="1" applyFont="1" applyFill="1" applyBorder="1"/>
    <xf numFmtId="172" fontId="77" fillId="0" borderId="1" xfId="10" applyNumberFormat="1" applyFont="1" applyBorder="1"/>
    <xf numFmtId="172" fontId="91" fillId="0" borderId="1" xfId="10" applyNumberFormat="1" applyFont="1" applyBorder="1"/>
    <xf numFmtId="172" fontId="91" fillId="0" borderId="1" xfId="10" applyNumberFormat="1" applyFont="1" applyFill="1" applyBorder="1"/>
    <xf numFmtId="172" fontId="66" fillId="0" borderId="1" xfId="10" applyNumberFormat="1" applyFont="1" applyBorder="1"/>
    <xf numFmtId="172" fontId="91" fillId="0" borderId="22" xfId="10" applyNumberFormat="1" applyFont="1" applyBorder="1"/>
    <xf numFmtId="172" fontId="77" fillId="8" borderId="1" xfId="10" applyNumberFormat="1" applyFont="1" applyFill="1" applyBorder="1" applyAlignment="1">
      <alignment horizontal="center"/>
    </xf>
    <xf numFmtId="172" fontId="91" fillId="0" borderId="1" xfId="10" applyNumberFormat="1" applyFont="1" applyBorder="1" applyAlignment="1">
      <alignment horizontal="right"/>
    </xf>
    <xf numFmtId="172" fontId="91" fillId="0" borderId="1" xfId="10" applyNumberFormat="1" applyFont="1" applyFill="1" applyBorder="1" applyAlignment="1">
      <alignment horizontal="right"/>
    </xf>
    <xf numFmtId="172" fontId="77" fillId="26" borderId="1" xfId="10" applyNumberFormat="1" applyFont="1" applyFill="1" applyBorder="1"/>
    <xf numFmtId="172" fontId="97" fillId="26" borderId="1" xfId="10" applyNumberFormat="1" applyFont="1" applyFill="1" applyBorder="1"/>
    <xf numFmtId="172" fontId="91" fillId="0" borderId="22" xfId="10" applyNumberFormat="1" applyFont="1" applyFill="1" applyBorder="1"/>
    <xf numFmtId="172" fontId="66" fillId="0" borderId="1" xfId="10" applyNumberFormat="1" applyFont="1" applyFill="1" applyBorder="1"/>
    <xf numFmtId="172" fontId="77" fillId="23" borderId="1" xfId="10" applyNumberFormat="1" applyFont="1" applyFill="1" applyBorder="1"/>
    <xf numFmtId="172" fontId="91" fillId="23" borderId="1" xfId="10" applyNumberFormat="1" applyFont="1" applyFill="1" applyBorder="1"/>
    <xf numFmtId="172" fontId="91" fillId="23" borderId="1" xfId="10" applyNumberFormat="1" applyFont="1" applyFill="1" applyBorder="1" applyProtection="1">
      <protection locked="0"/>
    </xf>
    <xf numFmtId="172" fontId="66" fillId="23" borderId="1" xfId="10" applyNumberFormat="1" applyFont="1" applyFill="1" applyBorder="1"/>
    <xf numFmtId="172" fontId="91" fillId="23" borderId="1" xfId="0" applyNumberFormat="1" applyFont="1" applyFill="1" applyBorder="1"/>
    <xf numFmtId="172" fontId="91" fillId="23" borderId="22" xfId="10" applyNumberFormat="1" applyFont="1" applyFill="1" applyBorder="1"/>
    <xf numFmtId="172" fontId="66" fillId="23" borderId="22" xfId="10" applyNumberFormat="1" applyFont="1" applyFill="1" applyBorder="1"/>
    <xf numFmtId="172" fontId="77" fillId="25" borderId="1" xfId="10" applyNumberFormat="1" applyFont="1" applyFill="1" applyBorder="1"/>
    <xf numFmtId="172" fontId="66" fillId="0" borderId="22" xfId="10" applyNumberFormat="1" applyFont="1" applyBorder="1"/>
    <xf numFmtId="172" fontId="66" fillId="0" borderId="22" xfId="10" applyNumberFormat="1" applyFont="1" applyFill="1" applyBorder="1"/>
    <xf numFmtId="172" fontId="60" fillId="0" borderId="1" xfId="10" applyNumberFormat="1" applyFont="1" applyFill="1" applyBorder="1"/>
    <xf numFmtId="0" fontId="91" fillId="18" borderId="1" xfId="0" applyFont="1" applyFill="1" applyBorder="1"/>
    <xf numFmtId="0" fontId="93" fillId="0" borderId="22" xfId="0" applyFont="1" applyBorder="1" applyAlignment="1">
      <alignment horizontal="center" vertical="center" wrapText="1"/>
    </xf>
    <xf numFmtId="9" fontId="69" fillId="0" borderId="1" xfId="16" applyFont="1" applyFill="1" applyBorder="1" applyAlignment="1">
      <alignment horizontal="center" vertical="center"/>
    </xf>
    <xf numFmtId="42" fontId="69" fillId="0" borderId="1" xfId="10" applyFont="1" applyFill="1" applyBorder="1" applyAlignment="1">
      <alignment horizontal="center" vertical="center"/>
    </xf>
    <xf numFmtId="0" fontId="93" fillId="0" borderId="1" xfId="0" applyFont="1" applyBorder="1" applyAlignment="1">
      <alignment horizontal="center" vertical="center" wrapText="1"/>
    </xf>
    <xf numFmtId="42" fontId="69" fillId="0" borderId="29" xfId="10" applyFont="1" applyFill="1" applyBorder="1" applyAlignment="1">
      <alignment horizontal="center" vertical="center"/>
    </xf>
    <xf numFmtId="42" fontId="69" fillId="0" borderId="22" xfId="10" applyFont="1" applyFill="1" applyBorder="1" applyAlignment="1">
      <alignment horizontal="center" vertical="center"/>
    </xf>
    <xf numFmtId="9" fontId="69" fillId="0" borderId="29" xfId="16" applyFont="1" applyFill="1" applyBorder="1" applyAlignment="1">
      <alignment horizontal="center" vertical="center"/>
    </xf>
    <xf numFmtId="9" fontId="69" fillId="0" borderId="22" xfId="16" applyFont="1" applyFill="1" applyBorder="1" applyAlignment="1">
      <alignment horizontal="center" vertical="center"/>
    </xf>
    <xf numFmtId="42" fontId="9" fillId="0" borderId="1" xfId="10" applyFont="1" applyFill="1" applyBorder="1" applyAlignment="1">
      <alignment horizontal="center" vertical="center"/>
    </xf>
    <xf numFmtId="0" fontId="91" fillId="0" borderId="0" xfId="0" applyFont="1" applyAlignment="1">
      <alignment vertical="top"/>
    </xf>
    <xf numFmtId="14" fontId="91" fillId="0" borderId="0" xfId="0" applyNumberFormat="1" applyFont="1" applyAlignment="1">
      <alignment horizontal="right" vertical="top"/>
    </xf>
    <xf numFmtId="172" fontId="91" fillId="0" borderId="0" xfId="0" applyNumberFormat="1" applyFont="1" applyAlignment="1">
      <alignment horizontal="right" vertical="top"/>
    </xf>
    <xf numFmtId="42" fontId="60" fillId="0" borderId="0" xfId="10" applyFont="1" applyFill="1" applyAlignment="1">
      <alignment horizontal="center" vertical="center"/>
    </xf>
    <xf numFmtId="42" fontId="60" fillId="0" borderId="0" xfId="10" applyFont="1" applyFill="1" applyAlignment="1"/>
    <xf numFmtId="172" fontId="91" fillId="0" borderId="1" xfId="0" applyNumberFormat="1" applyFont="1" applyBorder="1" applyAlignment="1">
      <alignment horizontal="right" vertical="top"/>
    </xf>
    <xf numFmtId="172" fontId="91" fillId="0" borderId="22" xfId="10" applyNumberFormat="1" applyFont="1" applyFill="1" applyBorder="1" applyAlignment="1">
      <alignment horizontal="right"/>
    </xf>
    <xf numFmtId="0" fontId="60" fillId="23" borderId="1" xfId="10" applyNumberFormat="1" applyFont="1" applyFill="1" applyBorder="1"/>
    <xf numFmtId="172" fontId="91" fillId="0" borderId="1" xfId="0" applyNumberFormat="1" applyFont="1" applyBorder="1"/>
    <xf numFmtId="0" fontId="91" fillId="0" borderId="1" xfId="0" applyFont="1" applyBorder="1" applyAlignment="1">
      <alignment horizontal="right"/>
    </xf>
    <xf numFmtId="0" fontId="98" fillId="23" borderId="1" xfId="0" applyFont="1" applyFill="1" applyBorder="1"/>
    <xf numFmtId="172" fontId="98" fillId="23" borderId="1" xfId="10" applyNumberFormat="1" applyFont="1" applyFill="1" applyBorder="1"/>
    <xf numFmtId="0" fontId="98" fillId="0" borderId="1" xfId="0" applyFont="1" applyBorder="1"/>
    <xf numFmtId="1" fontId="98" fillId="0" borderId="1" xfId="0" applyNumberFormat="1" applyFont="1" applyBorder="1"/>
    <xf numFmtId="14" fontId="98" fillId="0" borderId="1" xfId="0" applyNumberFormat="1" applyFont="1" applyBorder="1"/>
    <xf numFmtId="172" fontId="98" fillId="0" borderId="1" xfId="10" applyNumberFormat="1" applyFont="1" applyFill="1" applyBorder="1"/>
    <xf numFmtId="172" fontId="98" fillId="0" borderId="1" xfId="0" applyNumberFormat="1" applyFont="1" applyBorder="1"/>
    <xf numFmtId="0" fontId="98" fillId="0" borderId="8" xfId="0" applyFont="1" applyBorder="1"/>
    <xf numFmtId="0" fontId="98" fillId="0" borderId="1" xfId="0" applyFont="1" applyBorder="1" applyAlignment="1">
      <alignment horizontal="center"/>
    </xf>
    <xf numFmtId="172" fontId="98" fillId="0" borderId="1" xfId="10" applyNumberFormat="1" applyFont="1" applyBorder="1"/>
    <xf numFmtId="172" fontId="66" fillId="0" borderId="1" xfId="0" applyNumberFormat="1" applyFont="1" applyBorder="1"/>
    <xf numFmtId="0" fontId="66" fillId="0" borderId="8" xfId="0" applyFont="1" applyBorder="1"/>
    <xf numFmtId="42" fontId="69" fillId="0" borderId="1" xfId="10" applyFont="1" applyFill="1" applyBorder="1" applyAlignment="1">
      <alignment horizontal="center" vertical="center" wrapText="1"/>
    </xf>
    <xf numFmtId="0" fontId="77" fillId="8" borderId="1" xfId="0" applyFont="1" applyFill="1" applyBorder="1" applyAlignment="1">
      <alignment horizontal="center"/>
    </xf>
    <xf numFmtId="42" fontId="66" fillId="0" borderId="1" xfId="10" applyFont="1" applyBorder="1"/>
    <xf numFmtId="41" fontId="91" fillId="0" borderId="1" xfId="5" applyFont="1" applyBorder="1"/>
    <xf numFmtId="9" fontId="69" fillId="0" borderId="1" xfId="16" applyFont="1" applyFill="1" applyBorder="1" applyAlignment="1">
      <alignment horizontal="center" vertical="center" wrapText="1"/>
    </xf>
    <xf numFmtId="0" fontId="0" fillId="23" borderId="22" xfId="0" applyFill="1" applyBorder="1"/>
    <xf numFmtId="172" fontId="60" fillId="23" borderId="22" xfId="10" applyNumberFormat="1" applyFont="1" applyFill="1" applyBorder="1"/>
    <xf numFmtId="0" fontId="0" fillId="0" borderId="22" xfId="0" applyBorder="1"/>
    <xf numFmtId="1" fontId="0" fillId="0" borderId="22" xfId="0" applyNumberFormat="1" applyBorder="1"/>
    <xf numFmtId="14" fontId="0" fillId="0" borderId="22" xfId="0" applyNumberFormat="1" applyBorder="1"/>
    <xf numFmtId="172" fontId="60" fillId="0" borderId="22" xfId="10" applyNumberFormat="1" applyFont="1" applyBorder="1"/>
    <xf numFmtId="14" fontId="0" fillId="0" borderId="1" xfId="0" applyNumberFormat="1" applyBorder="1" applyAlignment="1">
      <alignment horizontal="center"/>
    </xf>
    <xf numFmtId="172" fontId="60" fillId="0" borderId="1" xfId="10" applyNumberFormat="1" applyFont="1" applyBorder="1" applyAlignment="1">
      <alignment horizontal="right"/>
    </xf>
    <xf numFmtId="42" fontId="0" fillId="0" borderId="1" xfId="0" applyNumberFormat="1" applyBorder="1"/>
    <xf numFmtId="172" fontId="60" fillId="0" borderId="1" xfId="10" applyNumberFormat="1" applyFont="1" applyBorder="1"/>
    <xf numFmtId="0" fontId="0" fillId="23" borderId="1" xfId="0" applyFill="1" applyBorder="1"/>
    <xf numFmtId="172" fontId="60" fillId="23" borderId="1" xfId="10" applyNumberFormat="1" applyFont="1" applyFill="1" applyBorder="1"/>
    <xf numFmtId="14" fontId="0" fillId="0" borderId="1" xfId="0" applyNumberFormat="1" applyBorder="1"/>
    <xf numFmtId="172" fontId="60" fillId="4" borderId="1" xfId="10" applyNumberFormat="1" applyFont="1" applyFill="1" applyBorder="1"/>
    <xf numFmtId="1" fontId="0" fillId="0" borderId="1" xfId="0" applyNumberFormat="1" applyBorder="1" applyAlignment="1">
      <alignment horizontal="center"/>
    </xf>
    <xf numFmtId="0" fontId="0" fillId="0" borderId="1" xfId="0" applyBorder="1" applyAlignment="1">
      <alignment horizontal="center" vertical="top"/>
    </xf>
    <xf numFmtId="14" fontId="0" fillId="0" borderId="1" xfId="0" applyNumberFormat="1" applyBorder="1" applyAlignment="1">
      <alignment horizontal="center" vertical="top"/>
    </xf>
    <xf numFmtId="0" fontId="0" fillId="0" borderId="1" xfId="0" applyBorder="1" applyAlignment="1">
      <alignment horizontal="left" vertical="top"/>
    </xf>
    <xf numFmtId="0" fontId="0" fillId="0" borderId="1" xfId="0" applyBorder="1" applyAlignment="1">
      <alignment vertical="top"/>
    </xf>
    <xf numFmtId="1" fontId="0" fillId="0" borderId="1" xfId="0" applyNumberFormat="1" applyBorder="1" applyAlignment="1">
      <alignment horizontal="left" vertical="top"/>
    </xf>
    <xf numFmtId="172" fontId="60" fillId="0" borderId="1" xfId="10" applyNumberFormat="1" applyFont="1" applyFill="1" applyBorder="1" applyAlignment="1">
      <alignment horizontal="right"/>
    </xf>
    <xf numFmtId="172" fontId="60" fillId="21" borderId="1" xfId="10" applyNumberFormat="1" applyFont="1" applyFill="1" applyBorder="1"/>
    <xf numFmtId="14" fontId="0" fillId="0" borderId="1" xfId="0" applyNumberFormat="1" applyBorder="1" applyAlignment="1">
      <alignment horizontal="right" vertical="top"/>
    </xf>
    <xf numFmtId="14" fontId="15" fillId="0" borderId="1" xfId="0" applyNumberFormat="1" applyFont="1" applyBorder="1" applyAlignment="1">
      <alignment horizontal="center"/>
    </xf>
    <xf numFmtId="0" fontId="15" fillId="0" borderId="1" xfId="0" applyFont="1" applyBorder="1" applyAlignment="1">
      <alignment horizontal="left"/>
    </xf>
    <xf numFmtId="0" fontId="15" fillId="0" borderId="1" xfId="0" applyFont="1" applyBorder="1"/>
    <xf numFmtId="49" fontId="61" fillId="23" borderId="1" xfId="1" applyFill="1" applyBorder="1" applyProtection="1">
      <alignment horizontal="left" vertical="center"/>
      <protection locked="0"/>
    </xf>
    <xf numFmtId="172" fontId="60" fillId="23" borderId="1" xfId="10" applyNumberFormat="1" applyFont="1" applyFill="1" applyBorder="1" applyProtection="1">
      <protection locked="0"/>
    </xf>
    <xf numFmtId="172" fontId="60" fillId="0" borderId="1" xfId="10" applyNumberFormat="1" applyFont="1" applyBorder="1" applyAlignment="1">
      <alignment horizontal="right" vertical="top"/>
    </xf>
    <xf numFmtId="14" fontId="0" fillId="4" borderId="1" xfId="0" applyNumberFormat="1" applyFill="1" applyBorder="1" applyAlignment="1">
      <alignment horizontal="center" vertical="top"/>
    </xf>
    <xf numFmtId="0" fontId="0" fillId="4" borderId="1" xfId="0" applyFill="1" applyBorder="1" applyAlignment="1">
      <alignment horizontal="left" vertical="top"/>
    </xf>
    <xf numFmtId="0" fontId="0" fillId="4" borderId="1" xfId="0" applyFill="1" applyBorder="1" applyAlignment="1">
      <alignment horizontal="center" vertical="top"/>
    </xf>
    <xf numFmtId="0" fontId="0" fillId="4" borderId="1" xfId="0" applyFill="1" applyBorder="1" applyAlignment="1">
      <alignment vertical="top"/>
    </xf>
    <xf numFmtId="172" fontId="0" fillId="23" borderId="1" xfId="0" applyNumberFormat="1" applyFill="1" applyBorder="1"/>
    <xf numFmtId="49" fontId="61" fillId="28" borderId="1" xfId="1" applyFill="1" applyBorder="1" applyProtection="1">
      <alignment horizontal="left" vertical="center"/>
      <protection locked="0"/>
    </xf>
    <xf numFmtId="49" fontId="99" fillId="23" borderId="1" xfId="1" applyFont="1" applyFill="1" applyBorder="1" applyProtection="1">
      <alignment horizontal="left" vertical="center"/>
      <protection locked="0"/>
    </xf>
    <xf numFmtId="0" fontId="0" fillId="0" borderId="64" xfId="0" applyBorder="1"/>
    <xf numFmtId="0" fontId="0" fillId="0" borderId="65" xfId="0" applyBorder="1"/>
    <xf numFmtId="0" fontId="0" fillId="0" borderId="66" xfId="0" applyBorder="1"/>
    <xf numFmtId="0" fontId="0" fillId="0" borderId="62" xfId="0" applyBorder="1"/>
    <xf numFmtId="0" fontId="0" fillId="0" borderId="48" xfId="0" applyBorder="1"/>
    <xf numFmtId="0" fontId="0" fillId="0" borderId="63" xfId="0" applyBorder="1"/>
    <xf numFmtId="0" fontId="100" fillId="0" borderId="1" xfId="0" applyFont="1" applyBorder="1"/>
    <xf numFmtId="0" fontId="21" fillId="0" borderId="1" xfId="0" applyFont="1" applyBorder="1"/>
    <xf numFmtId="0" fontId="0" fillId="0" borderId="67" xfId="0" applyBorder="1"/>
    <xf numFmtId="0" fontId="0" fillId="0" borderId="68" xfId="0" applyBorder="1"/>
    <xf numFmtId="0" fontId="0" fillId="0" borderId="69" xfId="0" applyBorder="1"/>
    <xf numFmtId="0" fontId="73" fillId="0" borderId="1" xfId="0" applyFont="1" applyBorder="1"/>
    <xf numFmtId="0" fontId="72" fillId="0" borderId="1" xfId="0" applyFont="1" applyBorder="1"/>
    <xf numFmtId="0" fontId="101" fillId="0" borderId="1" xfId="0" applyFont="1" applyBorder="1"/>
    <xf numFmtId="0" fontId="22" fillId="0" borderId="1" xfId="0" applyFont="1" applyBorder="1"/>
    <xf numFmtId="0" fontId="102" fillId="0" borderId="1" xfId="0" applyFont="1" applyBorder="1"/>
    <xf numFmtId="42" fontId="60" fillId="0" borderId="8" xfId="10" applyFont="1" applyBorder="1"/>
    <xf numFmtId="1" fontId="0" fillId="4" borderId="1" xfId="0" applyNumberFormat="1" applyFill="1" applyBorder="1"/>
    <xf numFmtId="14" fontId="0" fillId="4" borderId="1" xfId="0" applyNumberFormat="1" applyFill="1" applyBorder="1"/>
    <xf numFmtId="14" fontId="0" fillId="4" borderId="1" xfId="0" applyNumberFormat="1" applyFill="1" applyBorder="1" applyAlignment="1">
      <alignment horizontal="right" vertical="top"/>
    </xf>
    <xf numFmtId="0" fontId="0" fillId="4" borderId="1" xfId="0" applyFill="1" applyBorder="1" applyAlignment="1">
      <alignment horizontal="center" vertical="center"/>
    </xf>
    <xf numFmtId="14" fontId="0" fillId="4" borderId="1" xfId="0" applyNumberFormat="1" applyFill="1" applyBorder="1" applyAlignment="1">
      <alignment horizontal="center"/>
    </xf>
    <xf numFmtId="172" fontId="60" fillId="0" borderId="0" xfId="10" applyNumberFormat="1" applyFont="1"/>
    <xf numFmtId="0" fontId="73" fillId="0" borderId="1" xfId="0" applyFont="1" applyBorder="1" applyAlignment="1">
      <alignment horizontal="justify" vertical="center"/>
    </xf>
    <xf numFmtId="14" fontId="0" fillId="0" borderId="22" xfId="0" applyNumberFormat="1" applyBorder="1" applyAlignment="1">
      <alignment horizontal="right" vertical="top"/>
    </xf>
    <xf numFmtId="0" fontId="0" fillId="0" borderId="22" xfId="0" applyBorder="1" applyAlignment="1">
      <alignment vertical="top"/>
    </xf>
    <xf numFmtId="0" fontId="15" fillId="0" borderId="1" xfId="0" applyFont="1" applyBorder="1" applyAlignment="1">
      <alignment horizontal="center"/>
    </xf>
    <xf numFmtId="172" fontId="60" fillId="0" borderId="22" xfId="10" applyNumberFormat="1" applyFont="1" applyFill="1" applyBorder="1"/>
    <xf numFmtId="14" fontId="0" fillId="0" borderId="1" xfId="0" applyNumberFormat="1" applyBorder="1" applyAlignment="1">
      <alignment horizontal="left" vertical="top"/>
    </xf>
    <xf numFmtId="0" fontId="100" fillId="0" borderId="22" xfId="0" applyFont="1" applyBorder="1"/>
    <xf numFmtId="0" fontId="73" fillId="0" borderId="22" xfId="0" applyFont="1" applyBorder="1"/>
    <xf numFmtId="0" fontId="0" fillId="0" borderId="0" xfId="0" applyAlignment="1">
      <alignment horizontal="center" vertical="top"/>
    </xf>
    <xf numFmtId="0" fontId="0" fillId="0" borderId="0" xfId="0" applyAlignment="1">
      <alignment vertical="top"/>
    </xf>
    <xf numFmtId="1" fontId="89" fillId="0" borderId="1" xfId="0" applyNumberFormat="1" applyFont="1" applyBorder="1"/>
    <xf numFmtId="1" fontId="103" fillId="0" borderId="1" xfId="0" applyNumberFormat="1" applyFont="1" applyBorder="1"/>
    <xf numFmtId="172" fontId="0" fillId="0" borderId="1" xfId="0" applyNumberFormat="1" applyBorder="1"/>
    <xf numFmtId="0" fontId="0" fillId="0" borderId="8" xfId="0" applyBorder="1"/>
    <xf numFmtId="0" fontId="0" fillId="0" borderId="1" xfId="0" applyBorder="1" applyAlignment="1">
      <alignment horizontal="right"/>
    </xf>
    <xf numFmtId="42" fontId="0" fillId="0" borderId="8" xfId="0" applyNumberFormat="1" applyBorder="1"/>
    <xf numFmtId="172" fontId="60" fillId="23" borderId="1" xfId="10" applyNumberFormat="1" applyFont="1" applyFill="1" applyBorder="1" applyAlignment="1">
      <alignment horizontal="right"/>
    </xf>
    <xf numFmtId="42" fontId="69" fillId="0" borderId="7" xfId="10" applyFont="1" applyFill="1" applyBorder="1" applyAlignment="1">
      <alignment horizontal="center" vertical="center"/>
    </xf>
    <xf numFmtId="9" fontId="69" fillId="0" borderId="7" xfId="16" applyFont="1" applyFill="1" applyBorder="1" applyAlignment="1">
      <alignment horizontal="center" vertical="center"/>
    </xf>
    <xf numFmtId="0" fontId="91" fillId="0" borderId="1" xfId="0" applyFont="1" applyBorder="1" applyAlignment="1">
      <alignment horizontal="left" wrapText="1"/>
    </xf>
    <xf numFmtId="0" fontId="104" fillId="0" borderId="1" xfId="0" applyFont="1" applyBorder="1"/>
    <xf numFmtId="0" fontId="0" fillId="4" borderId="9" xfId="0" applyFill="1" applyBorder="1" applyAlignment="1">
      <alignment horizontal="center" vertical="center"/>
    </xf>
    <xf numFmtId="0" fontId="66" fillId="4" borderId="0" xfId="0" applyFont="1" applyFill="1" applyAlignment="1">
      <alignment horizontal="center" vertical="center" wrapText="1"/>
    </xf>
    <xf numFmtId="0" fontId="66" fillId="4" borderId="1" xfId="0" applyFont="1" applyFill="1" applyBorder="1"/>
    <xf numFmtId="0" fontId="67" fillId="17" borderId="7" xfId="0" applyFont="1" applyFill="1" applyBorder="1" applyAlignment="1">
      <alignment horizontal="center" vertical="center" wrapText="1"/>
    </xf>
    <xf numFmtId="0" fontId="74" fillId="0" borderId="1" xfId="0" applyFont="1" applyBorder="1" applyAlignment="1">
      <alignment horizontal="left" vertical="top" wrapText="1"/>
    </xf>
    <xf numFmtId="49" fontId="74" fillId="0" borderId="1" xfId="0" applyNumberFormat="1" applyFont="1" applyBorder="1" applyAlignment="1">
      <alignment horizontal="left" vertical="top" wrapText="1"/>
    </xf>
    <xf numFmtId="42" fontId="69" fillId="0" borderId="1" xfId="0" applyNumberFormat="1" applyFont="1" applyBorder="1" applyAlignment="1">
      <alignment vertical="center"/>
    </xf>
    <xf numFmtId="0" fontId="74" fillId="0" borderId="1" xfId="0" applyFont="1" applyBorder="1" applyAlignment="1">
      <alignment horizontal="left" vertical="center" wrapText="1"/>
    </xf>
    <xf numFmtId="49" fontId="74" fillId="0" borderId="1" xfId="0" applyNumberFormat="1" applyFont="1" applyBorder="1" applyAlignment="1">
      <alignment horizontal="left" vertical="center" wrapText="1"/>
    </xf>
    <xf numFmtId="0" fontId="105" fillId="0" borderId="1" xfId="0" applyFont="1" applyBorder="1" applyAlignment="1">
      <alignment horizontal="left" vertical="top" wrapText="1"/>
    </xf>
    <xf numFmtId="49" fontId="105" fillId="0" borderId="1" xfId="0" applyNumberFormat="1" applyFont="1" applyBorder="1" applyAlignment="1">
      <alignment horizontal="left" vertical="top" wrapText="1"/>
    </xf>
    <xf numFmtId="42" fontId="9" fillId="0" borderId="1" xfId="10" applyFont="1" applyFill="1" applyBorder="1" applyAlignment="1">
      <alignment vertical="center" wrapText="1"/>
    </xf>
    <xf numFmtId="0" fontId="106" fillId="0" borderId="1" xfId="0" applyFont="1" applyBorder="1" applyAlignment="1">
      <alignment horizontal="left" vertical="center" wrapText="1"/>
    </xf>
    <xf numFmtId="49" fontId="106" fillId="0" borderId="1" xfId="0" applyNumberFormat="1" applyFont="1" applyBorder="1" applyAlignment="1">
      <alignment horizontal="left" vertical="center" wrapText="1"/>
    </xf>
    <xf numFmtId="0" fontId="106" fillId="0" borderId="1" xfId="0" applyFont="1" applyBorder="1" applyAlignment="1">
      <alignment horizontal="center" vertical="center" wrapText="1"/>
    </xf>
    <xf numFmtId="49" fontId="107" fillId="0" borderId="1" xfId="0" applyNumberFormat="1" applyFont="1" applyBorder="1" applyAlignment="1">
      <alignment horizontal="left" vertical="center"/>
    </xf>
    <xf numFmtId="42" fontId="69" fillId="0" borderId="1" xfId="0" applyNumberFormat="1" applyFont="1" applyBorder="1"/>
    <xf numFmtId="0" fontId="105" fillId="0" borderId="1" xfId="0" applyFont="1" applyBorder="1" applyAlignment="1">
      <alignment horizontal="justify" vertical="top"/>
    </xf>
    <xf numFmtId="49" fontId="105" fillId="0" borderId="1" xfId="0" applyNumberFormat="1" applyFont="1" applyBorder="1" applyAlignment="1">
      <alignment horizontal="justify" vertical="top"/>
    </xf>
    <xf numFmtId="49" fontId="71" fillId="0" borderId="1" xfId="0" applyNumberFormat="1" applyFont="1" applyBorder="1" applyAlignment="1">
      <alignment horizontal="justify" vertical="top"/>
    </xf>
    <xf numFmtId="42" fontId="69" fillId="0" borderId="29" xfId="0" applyNumberFormat="1" applyFont="1" applyBorder="1" applyAlignment="1">
      <alignment vertical="center"/>
    </xf>
    <xf numFmtId="0" fontId="74" fillId="0" borderId="1" xfId="0" applyFont="1" applyBorder="1" applyAlignment="1">
      <alignment horizontal="center" vertical="center" wrapText="1"/>
    </xf>
    <xf numFmtId="0" fontId="107" fillId="4" borderId="1" xfId="0" applyFont="1" applyFill="1" applyBorder="1" applyAlignment="1">
      <alignment horizontal="left" vertical="top" wrapText="1"/>
    </xf>
    <xf numFmtId="0" fontId="107" fillId="0" borderId="1" xfId="0" applyFont="1" applyBorder="1" applyAlignment="1">
      <alignment horizontal="left" vertical="top" wrapText="1"/>
    </xf>
    <xf numFmtId="42" fontId="69" fillId="0" borderId="7" xfId="10" applyFont="1" applyFill="1" applyBorder="1" applyAlignment="1">
      <alignment vertical="center" wrapText="1"/>
    </xf>
    <xf numFmtId="0" fontId="93" fillId="0" borderId="7" xfId="0" applyFont="1" applyBorder="1" applyAlignment="1">
      <alignment horizontal="center" vertical="center" wrapText="1"/>
    </xf>
    <xf numFmtId="49" fontId="67" fillId="0" borderId="1" xfId="0" applyNumberFormat="1" applyFont="1" applyBorder="1" applyAlignment="1">
      <alignment horizontal="left" vertical="center" wrapText="1"/>
    </xf>
    <xf numFmtId="0" fontId="105" fillId="0" borderId="6" xfId="0" applyFont="1" applyBorder="1" applyAlignment="1">
      <alignment vertical="top" wrapText="1"/>
    </xf>
    <xf numFmtId="49" fontId="105" fillId="0" borderId="6" xfId="0" applyNumberFormat="1" applyFont="1" applyBorder="1" applyAlignment="1">
      <alignment vertical="top" wrapText="1"/>
    </xf>
    <xf numFmtId="0" fontId="70" fillId="0" borderId="6" xfId="0" applyFont="1" applyBorder="1" applyAlignment="1">
      <alignment vertical="center" wrapText="1"/>
    </xf>
    <xf numFmtId="42" fontId="69" fillId="0" borderId="22" xfId="0" applyNumberFormat="1" applyFont="1" applyBorder="1" applyAlignment="1">
      <alignment vertical="center"/>
    </xf>
    <xf numFmtId="0" fontId="69" fillId="0" borderId="22" xfId="0" applyFont="1" applyBorder="1"/>
    <xf numFmtId="0" fontId="67" fillId="0" borderId="49" xfId="0" applyFont="1" applyBorder="1" applyAlignment="1">
      <alignment vertical="center" wrapText="1"/>
    </xf>
    <xf numFmtId="49" fontId="67" fillId="0" borderId="49" xfId="0" applyNumberFormat="1" applyFont="1" applyBorder="1" applyAlignment="1">
      <alignment vertical="center" wrapText="1"/>
    </xf>
    <xf numFmtId="0" fontId="67" fillId="0" borderId="49" xfId="0" applyFont="1" applyBorder="1" applyAlignment="1">
      <alignment vertical="center"/>
    </xf>
    <xf numFmtId="0" fontId="81" fillId="0" borderId="16" xfId="0" applyFont="1" applyBorder="1" applyAlignment="1">
      <alignment horizontal="left" vertical="center" wrapText="1"/>
    </xf>
    <xf numFmtId="0" fontId="81" fillId="0" borderId="49" xfId="0" applyFont="1" applyBorder="1" applyAlignment="1">
      <alignment vertical="center" wrapText="1"/>
    </xf>
    <xf numFmtId="49" fontId="81" fillId="0" borderId="49" xfId="0" applyNumberFormat="1" applyFont="1" applyBorder="1" applyAlignment="1">
      <alignment vertical="center" wrapText="1"/>
    </xf>
    <xf numFmtId="0" fontId="74" fillId="0" borderId="49" xfId="0" applyFont="1" applyBorder="1" applyAlignment="1">
      <alignment vertical="center" wrapText="1"/>
    </xf>
    <xf numFmtId="49" fontId="74" fillId="0" borderId="49" xfId="0" applyNumberFormat="1" applyFont="1" applyBorder="1" applyAlignment="1">
      <alignment vertical="center" wrapText="1"/>
    </xf>
    <xf numFmtId="0" fontId="70" fillId="0" borderId="49" xfId="0" applyFont="1" applyBorder="1" applyAlignment="1">
      <alignment vertical="center" wrapText="1"/>
    </xf>
    <xf numFmtId="0" fontId="74" fillId="0" borderId="49" xfId="0" applyFont="1" applyBorder="1" applyAlignment="1">
      <alignment horizontal="left" vertical="center"/>
    </xf>
    <xf numFmtId="49" fontId="74" fillId="0" borderId="49" xfId="0" applyNumberFormat="1" applyFont="1" applyBorder="1" applyAlignment="1">
      <alignment horizontal="left" vertical="center"/>
    </xf>
    <xf numFmtId="0" fontId="67" fillId="0" borderId="49" xfId="0" applyFont="1" applyBorder="1" applyAlignment="1">
      <alignment horizontal="left" vertical="center"/>
    </xf>
    <xf numFmtId="0" fontId="105" fillId="0" borderId="49" xfId="0" applyFont="1" applyBorder="1" applyAlignment="1">
      <alignment vertical="top" wrapText="1"/>
    </xf>
    <xf numFmtId="49" fontId="105" fillId="0" borderId="49" xfId="0" applyNumberFormat="1" applyFont="1" applyBorder="1" applyAlignment="1">
      <alignment vertical="top" wrapText="1"/>
    </xf>
    <xf numFmtId="0" fontId="105" fillId="0" borderId="49" xfId="0" applyFont="1" applyBorder="1" applyAlignment="1">
      <alignment horizontal="left" vertical="center" wrapText="1"/>
    </xf>
    <xf numFmtId="49" fontId="105" fillId="0" borderId="49" xfId="0" applyNumberFormat="1" applyFont="1" applyBorder="1" applyAlignment="1">
      <alignment horizontal="left" vertical="top" wrapText="1"/>
    </xf>
    <xf numFmtId="0" fontId="70" fillId="0" borderId="49" xfId="0" applyFont="1" applyBorder="1" applyAlignment="1">
      <alignment horizontal="left" vertical="center" wrapText="1"/>
    </xf>
    <xf numFmtId="49" fontId="70" fillId="0" borderId="49" xfId="0" applyNumberFormat="1" applyFont="1" applyBorder="1" applyAlignment="1">
      <alignment vertical="center" wrapText="1"/>
    </xf>
    <xf numFmtId="0" fontId="67" fillId="0" borderId="16" xfId="0" applyFont="1" applyBorder="1" applyAlignment="1">
      <alignment horizontal="left" vertical="center" wrapText="1"/>
    </xf>
    <xf numFmtId="0" fontId="74" fillId="0" borderId="49" xfId="0" applyFont="1" applyBorder="1" applyAlignment="1">
      <alignment horizontal="left" vertical="center" wrapText="1"/>
    </xf>
    <xf numFmtId="49" fontId="74" fillId="0" borderId="49" xfId="0" applyNumberFormat="1" applyFont="1" applyBorder="1" applyAlignment="1">
      <alignment vertical="center"/>
    </xf>
    <xf numFmtId="0" fontId="105" fillId="0" borderId="49" xfId="0" applyFont="1" applyBorder="1" applyAlignment="1">
      <alignment vertical="center" wrapText="1"/>
    </xf>
    <xf numFmtId="49" fontId="105" fillId="0" borderId="49" xfId="0" applyNumberFormat="1" applyFont="1" applyBorder="1" applyAlignment="1">
      <alignment vertical="center" wrapText="1"/>
    </xf>
    <xf numFmtId="0" fontId="105" fillId="0" borderId="49" xfId="0" applyFont="1" applyBorder="1" applyAlignment="1">
      <alignment horizontal="left" vertical="top" wrapText="1"/>
    </xf>
    <xf numFmtId="0" fontId="70" fillId="0" borderId="49" xfId="0" applyFont="1" applyBorder="1" applyAlignment="1">
      <alignment horizontal="center" vertical="center" wrapText="1"/>
    </xf>
    <xf numFmtId="42" fontId="67" fillId="0" borderId="1" xfId="0" applyNumberFormat="1" applyFont="1" applyBorder="1" applyAlignment="1">
      <alignment vertical="center"/>
    </xf>
    <xf numFmtId="0" fontId="67" fillId="0" borderId="1" xfId="0" applyFont="1" applyBorder="1"/>
    <xf numFmtId="0" fontId="108" fillId="0" borderId="49" xfId="0" applyFont="1" applyBorder="1" applyAlignment="1">
      <alignment horizontal="left" vertical="top" wrapText="1"/>
    </xf>
    <xf numFmtId="49" fontId="108" fillId="0" borderId="49" xfId="0" applyNumberFormat="1" applyFont="1" applyBorder="1" applyAlignment="1">
      <alignment horizontal="left" vertical="top" wrapText="1"/>
    </xf>
    <xf numFmtId="0" fontId="81" fillId="0" borderId="49" xfId="0" applyFont="1" applyBorder="1" applyAlignment="1">
      <alignment horizontal="center" vertical="center" wrapText="1"/>
    </xf>
    <xf numFmtId="0" fontId="70" fillId="0" borderId="21" xfId="0" applyFont="1" applyBorder="1" applyAlignment="1">
      <alignment horizontal="left" vertical="center" wrapText="1"/>
    </xf>
    <xf numFmtId="0" fontId="109" fillId="0" borderId="1" xfId="0" applyFont="1" applyBorder="1" applyAlignment="1">
      <alignment horizontal="left" vertical="center" wrapText="1"/>
    </xf>
    <xf numFmtId="166" fontId="110" fillId="0" borderId="1" xfId="0" applyNumberFormat="1" applyFont="1" applyBorder="1" applyAlignment="1">
      <alignment horizontal="left" vertical="center" wrapText="1"/>
    </xf>
    <xf numFmtId="41" fontId="69" fillId="0" borderId="1" xfId="0" applyNumberFormat="1" applyFont="1" applyBorder="1" applyAlignment="1">
      <alignment horizontal="center" vertical="center"/>
    </xf>
    <xf numFmtId="0" fontId="109" fillId="0" borderId="1" xfId="0" applyFont="1" applyBorder="1" applyAlignment="1">
      <alignment vertical="top" wrapText="1"/>
    </xf>
    <xf numFmtId="166" fontId="109" fillId="0" borderId="1" xfId="0" applyNumberFormat="1" applyFont="1" applyBorder="1" applyAlignment="1">
      <alignment horizontal="left" vertical="top" wrapText="1"/>
    </xf>
    <xf numFmtId="0" fontId="67" fillId="0" borderId="12" xfId="0" applyFont="1" applyBorder="1" applyAlignment="1">
      <alignment horizontal="left" vertical="center" wrapText="1"/>
    </xf>
    <xf numFmtId="41" fontId="69" fillId="0" borderId="1" xfId="0" applyNumberFormat="1" applyFont="1" applyBorder="1"/>
    <xf numFmtId="0" fontId="74" fillId="0" borderId="12" xfId="0" applyFont="1" applyBorder="1" applyAlignment="1">
      <alignment horizontal="left" vertical="top" wrapText="1"/>
    </xf>
    <xf numFmtId="49" fontId="74" fillId="0" borderId="12" xfId="0" applyNumberFormat="1" applyFont="1" applyBorder="1" applyAlignment="1">
      <alignment horizontal="left" vertical="top" wrapText="1"/>
    </xf>
    <xf numFmtId="41" fontId="69" fillId="0" borderId="1" xfId="0" applyNumberFormat="1" applyFont="1" applyBorder="1" applyAlignment="1">
      <alignment vertical="center"/>
    </xf>
    <xf numFmtId="0" fontId="70" fillId="4" borderId="1" xfId="0" applyFont="1" applyFill="1" applyBorder="1" applyAlignment="1">
      <alignment horizontal="center" vertical="center" wrapText="1"/>
    </xf>
    <xf numFmtId="0" fontId="110" fillId="0" borderId="1" xfId="0" applyFont="1" applyBorder="1" applyAlignment="1">
      <alignment vertical="center"/>
    </xf>
    <xf numFmtId="166" fontId="110" fillId="0" borderId="1" xfId="0" applyNumberFormat="1" applyFont="1" applyBorder="1" applyAlignment="1">
      <alignment horizontal="left" vertical="center"/>
    </xf>
    <xf numFmtId="42" fontId="95" fillId="0" borderId="1" xfId="0" applyNumberFormat="1" applyFont="1" applyBorder="1" applyAlignment="1">
      <alignment vertical="center"/>
    </xf>
    <xf numFmtId="0" fontId="70" fillId="0" borderId="11" xfId="0" applyFont="1" applyBorder="1" applyAlignment="1">
      <alignment horizontal="left" vertical="center" wrapText="1"/>
    </xf>
    <xf numFmtId="0" fontId="110" fillId="0" borderId="1" xfId="0" applyFont="1" applyBorder="1" applyAlignment="1">
      <alignment vertical="top" wrapText="1"/>
    </xf>
    <xf numFmtId="0" fontId="110" fillId="0" borderId="1" xfId="0" applyFont="1" applyBorder="1" applyAlignment="1">
      <alignment horizontal="left" vertical="top" wrapText="1"/>
    </xf>
    <xf numFmtId="166" fontId="110" fillId="0" borderId="1" xfId="0" applyNumberFormat="1" applyFont="1" applyBorder="1" applyAlignment="1">
      <alignment horizontal="left" vertical="top" wrapText="1"/>
    </xf>
    <xf numFmtId="0" fontId="70" fillId="0" borderId="12" xfId="0" applyFont="1" applyBorder="1" applyAlignment="1">
      <alignment horizontal="left" vertical="center" wrapText="1"/>
    </xf>
    <xf numFmtId="0" fontId="80" fillId="0" borderId="1" xfId="0" applyFont="1" applyBorder="1" applyAlignment="1">
      <alignment vertical="top" wrapText="1"/>
    </xf>
    <xf numFmtId="166" fontId="110" fillId="0" borderId="1" xfId="0" applyNumberFormat="1" applyFont="1" applyBorder="1" applyAlignment="1">
      <alignment vertical="top" wrapText="1"/>
    </xf>
    <xf numFmtId="0" fontId="80" fillId="0" borderId="1" xfId="0" applyFont="1" applyBorder="1" applyAlignment="1">
      <alignment horizontal="left" wrapText="1"/>
    </xf>
    <xf numFmtId="166" fontId="80" fillId="0" borderId="1" xfId="0" applyNumberFormat="1" applyFont="1" applyBorder="1" applyAlignment="1">
      <alignment vertical="top" wrapText="1"/>
    </xf>
    <xf numFmtId="0" fontId="69" fillId="0" borderId="1" xfId="0" applyFont="1" applyBorder="1" applyAlignment="1">
      <alignment horizontal="center" wrapText="1"/>
    </xf>
    <xf numFmtId="0" fontId="67" fillId="0" borderId="12" xfId="0" applyFont="1" applyBorder="1" applyAlignment="1">
      <alignment horizontal="left" vertical="top" wrapText="1"/>
    </xf>
    <xf numFmtId="0" fontId="67" fillId="4" borderId="12" xfId="0" applyFont="1" applyFill="1" applyBorder="1" applyAlignment="1">
      <alignment horizontal="left" vertical="center" wrapText="1"/>
    </xf>
    <xf numFmtId="49" fontId="67" fillId="4" borderId="12" xfId="0" applyNumberFormat="1" applyFont="1" applyFill="1" applyBorder="1" applyAlignment="1">
      <alignment horizontal="left" vertical="center" wrapText="1"/>
    </xf>
    <xf numFmtId="49" fontId="67" fillId="4" borderId="1" xfId="0" applyNumberFormat="1" applyFont="1" applyFill="1" applyBorder="1" applyAlignment="1">
      <alignment horizontal="left" vertical="center" wrapText="1"/>
    </xf>
    <xf numFmtId="0" fontId="74" fillId="4" borderId="12" xfId="0" applyFont="1" applyFill="1" applyBorder="1" applyAlignment="1">
      <alignment horizontal="left" vertical="top" wrapText="1"/>
    </xf>
    <xf numFmtId="49" fontId="74" fillId="4" borderId="12" xfId="0" applyNumberFormat="1" applyFont="1" applyFill="1" applyBorder="1" applyAlignment="1">
      <alignment horizontal="left" vertical="top" wrapText="1"/>
    </xf>
    <xf numFmtId="0" fontId="87" fillId="0" borderId="1" xfId="0" applyFont="1" applyBorder="1" applyAlignment="1">
      <alignment vertical="top" wrapText="1"/>
    </xf>
    <xf numFmtId="166" fontId="87" fillId="0" borderId="1" xfId="0" applyNumberFormat="1" applyFont="1" applyBorder="1" applyAlignment="1">
      <alignment vertical="top" wrapText="1"/>
    </xf>
    <xf numFmtId="0" fontId="67" fillId="4" borderId="1" xfId="0" applyFont="1" applyFill="1" applyBorder="1" applyAlignment="1">
      <alignment horizontal="left" vertical="top" wrapText="1"/>
    </xf>
    <xf numFmtId="0" fontId="70" fillId="4" borderId="11" xfId="0" applyFont="1" applyFill="1" applyBorder="1" applyAlignment="1">
      <alignment horizontal="left" vertical="center" wrapText="1"/>
    </xf>
    <xf numFmtId="0" fontId="70" fillId="4" borderId="1" xfId="0" applyFont="1" applyFill="1" applyBorder="1" applyAlignment="1">
      <alignment horizontal="left" vertical="center" wrapText="1"/>
    </xf>
    <xf numFmtId="49" fontId="107" fillId="4" borderId="1" xfId="0" applyNumberFormat="1" applyFont="1" applyFill="1" applyBorder="1" applyAlignment="1">
      <alignment horizontal="left" vertical="top" wrapText="1"/>
    </xf>
    <xf numFmtId="0" fontId="74" fillId="4" borderId="1" xfId="0" applyFont="1" applyFill="1" applyBorder="1" applyAlignment="1">
      <alignment horizontal="left" vertical="top" wrapText="1"/>
    </xf>
    <xf numFmtId="49" fontId="74" fillId="4" borderId="1" xfId="0" applyNumberFormat="1" applyFont="1" applyFill="1" applyBorder="1" applyAlignment="1">
      <alignment horizontal="left" vertical="top" wrapText="1"/>
    </xf>
    <xf numFmtId="0" fontId="67" fillId="4" borderId="12" xfId="0" applyFont="1" applyFill="1" applyBorder="1" applyAlignment="1">
      <alignment horizontal="center" vertical="center" wrapText="1"/>
    </xf>
    <xf numFmtId="0" fontId="105" fillId="4" borderId="12" xfId="0" applyFont="1" applyFill="1" applyBorder="1" applyAlignment="1">
      <alignment horizontal="left" vertical="top" wrapText="1"/>
    </xf>
    <xf numFmtId="49" fontId="105" fillId="4" borderId="12" xfId="0" applyNumberFormat="1" applyFont="1" applyFill="1" applyBorder="1" applyAlignment="1">
      <alignment horizontal="left" vertical="top" wrapText="1"/>
    </xf>
    <xf numFmtId="0" fontId="67" fillId="4" borderId="12" xfId="0" applyFont="1" applyFill="1" applyBorder="1" applyAlignment="1">
      <alignment horizontal="left" vertical="top" wrapText="1"/>
    </xf>
    <xf numFmtId="0" fontId="67" fillId="4" borderId="11" xfId="0" applyFont="1" applyFill="1" applyBorder="1" applyAlignment="1">
      <alignment horizontal="left" vertical="top" wrapText="1"/>
    </xf>
    <xf numFmtId="42" fontId="69" fillId="0" borderId="7" xfId="0" applyNumberFormat="1" applyFont="1" applyBorder="1" applyAlignment="1">
      <alignment horizontal="center" vertical="center"/>
    </xf>
    <xf numFmtId="42" fontId="95" fillId="0" borderId="1" xfId="10" applyFont="1" applyFill="1" applyBorder="1" applyAlignment="1">
      <alignment horizontal="center" vertical="center" wrapText="1"/>
    </xf>
    <xf numFmtId="9" fontId="95" fillId="0" borderId="1" xfId="16" applyFont="1" applyFill="1" applyBorder="1" applyAlignment="1">
      <alignment horizontal="center" vertical="center"/>
    </xf>
    <xf numFmtId="49" fontId="67" fillId="4" borderId="1" xfId="0" applyNumberFormat="1" applyFont="1" applyFill="1" applyBorder="1" applyAlignment="1">
      <alignment horizontal="left" vertical="top" wrapText="1"/>
    </xf>
    <xf numFmtId="0" fontId="67" fillId="17" borderId="11" xfId="0" applyFont="1" applyFill="1" applyBorder="1" applyAlignment="1">
      <alignment horizontal="left" vertical="center" wrapText="1"/>
    </xf>
    <xf numFmtId="0" fontId="111" fillId="0" borderId="1" xfId="0" applyFont="1" applyBorder="1" applyAlignment="1">
      <alignment vertical="top" wrapText="1"/>
    </xf>
    <xf numFmtId="49" fontId="111" fillId="0" borderId="1" xfId="0" applyNumberFormat="1" applyFont="1" applyBorder="1" applyAlignment="1">
      <alignment vertical="top" wrapText="1"/>
    </xf>
    <xf numFmtId="0" fontId="67" fillId="17" borderId="12" xfId="0" applyFont="1" applyFill="1" applyBorder="1" applyAlignment="1">
      <alignment horizontal="left" vertical="center" wrapText="1"/>
    </xf>
    <xf numFmtId="0" fontId="107" fillId="4" borderId="12" xfId="0" applyFont="1" applyFill="1" applyBorder="1" applyAlignment="1">
      <alignment horizontal="left" vertical="top" wrapText="1"/>
    </xf>
    <xf numFmtId="49" fontId="107" fillId="4" borderId="12" xfId="0" applyNumberFormat="1" applyFont="1" applyFill="1" applyBorder="1" applyAlignment="1">
      <alignment horizontal="left" vertical="top" wrapText="1"/>
    </xf>
    <xf numFmtId="49" fontId="106" fillId="0" borderId="1" xfId="0" applyNumberFormat="1" applyFont="1" applyBorder="1" applyAlignment="1">
      <alignment vertical="top" wrapText="1"/>
    </xf>
    <xf numFmtId="6" fontId="67" fillId="4" borderId="1" xfId="0" applyNumberFormat="1" applyFont="1" applyFill="1" applyBorder="1" applyAlignment="1">
      <alignment horizontal="left" vertical="center" wrapText="1"/>
    </xf>
    <xf numFmtId="42" fontId="66" fillId="4" borderId="0" xfId="0" applyNumberFormat="1" applyFont="1" applyFill="1" applyAlignment="1">
      <alignment horizontal="center" vertical="center" wrapText="1"/>
    </xf>
    <xf numFmtId="42" fontId="69" fillId="10" borderId="1" xfId="10" applyFont="1" applyFill="1" applyBorder="1" applyAlignment="1">
      <alignment horizontal="center" vertical="center"/>
    </xf>
    <xf numFmtId="42" fontId="9" fillId="10" borderId="1" xfId="10" applyFont="1" applyFill="1" applyBorder="1" applyAlignment="1">
      <alignment horizontal="center" vertical="center"/>
    </xf>
    <xf numFmtId="0" fontId="69" fillId="10" borderId="1" xfId="0" applyFont="1" applyFill="1" applyBorder="1"/>
    <xf numFmtId="42" fontId="95" fillId="0" borderId="1" xfId="10" applyFont="1" applyFill="1" applyBorder="1" applyAlignment="1">
      <alignment vertical="center"/>
    </xf>
    <xf numFmtId="0" fontId="91" fillId="29" borderId="1" xfId="0" applyFont="1" applyFill="1" applyBorder="1"/>
    <xf numFmtId="0" fontId="0" fillId="29" borderId="1" xfId="0" applyFill="1" applyBorder="1"/>
    <xf numFmtId="14" fontId="0" fillId="29" borderId="1" xfId="0" applyNumberFormat="1" applyFill="1" applyBorder="1"/>
    <xf numFmtId="172" fontId="91" fillId="29" borderId="1" xfId="10" applyNumberFormat="1" applyFont="1" applyFill="1" applyBorder="1"/>
    <xf numFmtId="42" fontId="95" fillId="10" borderId="1" xfId="10" applyFont="1" applyFill="1" applyBorder="1" applyAlignment="1">
      <alignment horizontal="center" vertical="center"/>
    </xf>
    <xf numFmtId="41" fontId="69" fillId="21" borderId="1" xfId="0" applyNumberFormat="1" applyFont="1" applyFill="1" applyBorder="1" applyAlignment="1">
      <alignment horizontal="center" vertical="center"/>
    </xf>
    <xf numFmtId="41" fontId="69" fillId="21" borderId="1" xfId="0" applyNumberFormat="1" applyFont="1" applyFill="1" applyBorder="1" applyAlignment="1">
      <alignment vertical="center"/>
    </xf>
    <xf numFmtId="14" fontId="91" fillId="0" borderId="8" xfId="10" applyNumberFormat="1" applyFont="1" applyBorder="1"/>
    <xf numFmtId="14" fontId="91" fillId="0" borderId="28" xfId="10" applyNumberFormat="1" applyFont="1" applyBorder="1"/>
    <xf numFmtId="14" fontId="91" fillId="0" borderId="1" xfId="10" applyNumberFormat="1" applyFont="1" applyBorder="1"/>
    <xf numFmtId="0" fontId="70" fillId="0" borderId="3" xfId="0" applyFont="1" applyBorder="1" applyAlignment="1">
      <alignment vertical="center" wrapText="1"/>
    </xf>
    <xf numFmtId="0" fontId="70" fillId="4" borderId="12" xfId="0" applyFont="1" applyFill="1" applyBorder="1" applyAlignment="1">
      <alignment horizontal="left" vertical="center" wrapText="1"/>
    </xf>
    <xf numFmtId="0" fontId="69" fillId="0" borderId="7" xfId="0" applyFont="1" applyBorder="1" applyAlignment="1">
      <alignment horizontal="center" vertical="center" wrapText="1"/>
    </xf>
    <xf numFmtId="42" fontId="95" fillId="0" borderId="22" xfId="10" applyFont="1" applyFill="1" applyBorder="1" applyAlignment="1">
      <alignment horizontal="center" vertical="center"/>
    </xf>
    <xf numFmtId="0" fontId="95" fillId="0" borderId="1" xfId="0" applyFont="1" applyBorder="1"/>
    <xf numFmtId="0" fontId="107" fillId="0" borderId="1" xfId="0" applyFont="1" applyBorder="1" applyAlignment="1">
      <alignment horizontal="center" vertical="center" wrapText="1"/>
    </xf>
    <xf numFmtId="49" fontId="107" fillId="0" borderId="1" xfId="0" applyNumberFormat="1" applyFont="1" applyBorder="1" applyAlignment="1">
      <alignment horizontal="left" vertical="center" wrapText="1"/>
    </xf>
    <xf numFmtId="42" fontId="78" fillId="0" borderId="1" xfId="10" applyFont="1" applyFill="1" applyBorder="1" applyAlignment="1">
      <alignment horizontal="center" vertical="center"/>
    </xf>
    <xf numFmtId="42" fontId="77" fillId="23" borderId="1" xfId="10" applyFont="1" applyFill="1" applyBorder="1"/>
    <xf numFmtId="0" fontId="0" fillId="18" borderId="1" xfId="0" applyFill="1" applyBorder="1" applyAlignment="1">
      <alignment vertical="top"/>
    </xf>
    <xf numFmtId="172" fontId="60" fillId="18" borderId="1" xfId="10" applyNumberFormat="1" applyFont="1" applyFill="1" applyBorder="1" applyAlignment="1">
      <alignment horizontal="right"/>
    </xf>
    <xf numFmtId="3" fontId="0" fillId="0" borderId="1" xfId="0" applyNumberFormat="1" applyBorder="1" applyAlignment="1">
      <alignment horizontal="right" vertical="top"/>
    </xf>
    <xf numFmtId="172" fontId="60" fillId="18" borderId="1" xfId="10" applyNumberFormat="1" applyFont="1" applyFill="1" applyBorder="1"/>
    <xf numFmtId="0" fontId="0" fillId="0" borderId="8" xfId="0" applyBorder="1" applyAlignment="1">
      <alignment vertical="top"/>
    </xf>
    <xf numFmtId="14" fontId="0" fillId="0" borderId="0" xfId="0" applyNumberFormat="1" applyAlignment="1">
      <alignment horizontal="right" vertical="top"/>
    </xf>
    <xf numFmtId="14" fontId="0" fillId="0" borderId="49" xfId="0" applyNumberFormat="1" applyBorder="1" applyAlignment="1">
      <alignment horizontal="center" vertical="top"/>
    </xf>
    <xf numFmtId="14" fontId="15" fillId="0" borderId="49" xfId="0" applyNumberFormat="1" applyFont="1" applyBorder="1" applyAlignment="1">
      <alignment horizontal="center"/>
    </xf>
    <xf numFmtId="0" fontId="0" fillId="0" borderId="28" xfId="0" applyBorder="1"/>
    <xf numFmtId="172" fontId="60" fillId="18" borderId="1" xfId="10" applyNumberFormat="1" applyFont="1" applyFill="1" applyBorder="1" applyAlignment="1">
      <alignment horizontal="right" vertical="top"/>
    </xf>
    <xf numFmtId="172" fontId="91" fillId="0" borderId="1" xfId="10" applyNumberFormat="1" applyFont="1" applyBorder="1" applyAlignment="1">
      <alignment horizontal="right" vertical="top"/>
    </xf>
    <xf numFmtId="172" fontId="91" fillId="23" borderId="1" xfId="10" applyNumberFormat="1" applyFont="1" applyFill="1" applyBorder="1" applyAlignment="1">
      <alignment horizontal="right"/>
    </xf>
    <xf numFmtId="42" fontId="77" fillId="0" borderId="1" xfId="10" applyFont="1" applyBorder="1"/>
    <xf numFmtId="0" fontId="9" fillId="0" borderId="1" xfId="0" applyFont="1" applyBorder="1"/>
    <xf numFmtId="42" fontId="66" fillId="0" borderId="1" xfId="10" applyFont="1" applyFill="1" applyBorder="1" applyAlignment="1">
      <alignment horizontal="center" vertical="center"/>
    </xf>
    <xf numFmtId="42" fontId="69" fillId="0" borderId="1" xfId="10" applyFont="1" applyFill="1" applyBorder="1" applyAlignment="1">
      <alignment vertical="center" wrapText="1"/>
    </xf>
    <xf numFmtId="42" fontId="9" fillId="0" borderId="7" xfId="10" applyFont="1" applyFill="1" applyBorder="1" applyAlignment="1">
      <alignment horizontal="center" vertical="center"/>
    </xf>
    <xf numFmtId="42" fontId="69" fillId="0" borderId="1" xfId="0" applyNumberFormat="1" applyFont="1" applyBorder="1" applyAlignment="1">
      <alignment horizontal="center" vertical="center"/>
    </xf>
    <xf numFmtId="42" fontId="9" fillId="0" borderId="1" xfId="0" applyNumberFormat="1" applyFont="1" applyBorder="1" applyAlignment="1">
      <alignment vertical="center"/>
    </xf>
    <xf numFmtId="0" fontId="70" fillId="17" borderId="10" xfId="0" applyFont="1" applyFill="1" applyBorder="1" applyAlignment="1">
      <alignment vertical="center" wrapText="1"/>
    </xf>
    <xf numFmtId="42" fontId="69" fillId="10" borderId="1" xfId="0" applyNumberFormat="1" applyFont="1" applyFill="1" applyBorder="1" applyAlignment="1">
      <alignment vertical="center"/>
    </xf>
    <xf numFmtId="42" fontId="69" fillId="4" borderId="1" xfId="10" applyFont="1" applyFill="1" applyBorder="1" applyAlignment="1">
      <alignment horizontal="center" vertical="center"/>
    </xf>
    <xf numFmtId="42" fontId="69" fillId="21" borderId="1" xfId="10" applyFont="1" applyFill="1" applyBorder="1" applyAlignment="1">
      <alignment horizontal="center" vertical="center"/>
    </xf>
    <xf numFmtId="0" fontId="67" fillId="19" borderId="10" xfId="0" applyFont="1" applyFill="1" applyBorder="1" applyAlignment="1">
      <alignment horizontal="left" vertical="center" wrapText="1"/>
    </xf>
    <xf numFmtId="0" fontId="67" fillId="30" borderId="1" xfId="0" applyFont="1" applyFill="1" applyBorder="1" applyAlignment="1">
      <alignment horizontal="left" vertical="center" wrapText="1"/>
    </xf>
    <xf numFmtId="0" fontId="67" fillId="30" borderId="1" xfId="0" applyFont="1" applyFill="1" applyBorder="1" applyAlignment="1">
      <alignment horizontal="center" vertical="center" wrapText="1"/>
    </xf>
    <xf numFmtId="169" fontId="67" fillId="30" borderId="1" xfId="0" applyNumberFormat="1" applyFont="1" applyFill="1" applyBorder="1" applyAlignment="1">
      <alignment horizontal="center" vertical="center" wrapText="1"/>
    </xf>
    <xf numFmtId="0" fontId="75" fillId="30" borderId="10" xfId="0" applyFont="1" applyFill="1" applyBorder="1" applyAlignment="1">
      <alignment horizontal="left" vertical="center" wrapText="1"/>
    </xf>
    <xf numFmtId="0" fontId="67" fillId="30" borderId="10" xfId="0" applyFont="1" applyFill="1" applyBorder="1" applyAlignment="1">
      <alignment horizontal="left" vertical="center" wrapText="1"/>
    </xf>
    <xf numFmtId="0" fontId="67" fillId="30" borderId="10" xfId="0" applyFont="1" applyFill="1" applyBorder="1" applyAlignment="1">
      <alignment horizontal="center" vertical="center"/>
    </xf>
    <xf numFmtId="0" fontId="67" fillId="30" borderId="10" xfId="0" applyFont="1" applyFill="1" applyBorder="1" applyAlignment="1">
      <alignment horizontal="center" vertical="center" wrapText="1"/>
    </xf>
    <xf numFmtId="0" fontId="67" fillId="30" borderId="10" xfId="0" applyFont="1" applyFill="1" applyBorder="1" applyAlignment="1">
      <alignment vertical="center" wrapText="1"/>
    </xf>
    <xf numFmtId="0" fontId="70" fillId="30" borderId="10" xfId="0" applyFont="1" applyFill="1" applyBorder="1" applyAlignment="1">
      <alignment horizontal="center" vertical="center" wrapText="1"/>
    </xf>
    <xf numFmtId="0" fontId="67" fillId="30" borderId="11" xfId="0" applyFont="1" applyFill="1" applyBorder="1" applyAlignment="1">
      <alignment horizontal="left" vertical="center" wrapText="1"/>
    </xf>
    <xf numFmtId="0" fontId="67" fillId="30" borderId="10" xfId="0" applyFont="1" applyFill="1" applyBorder="1" applyAlignment="1">
      <alignment horizontal="left" vertical="top" wrapText="1"/>
    </xf>
    <xf numFmtId="0" fontId="67" fillId="30" borderId="1" xfId="0" applyFont="1" applyFill="1" applyBorder="1" applyAlignment="1">
      <alignment horizontal="left" vertical="top" wrapText="1"/>
    </xf>
    <xf numFmtId="49" fontId="67" fillId="30" borderId="1" xfId="0" applyNumberFormat="1" applyFont="1" applyFill="1" applyBorder="1" applyAlignment="1">
      <alignment horizontal="left" vertical="top" wrapText="1"/>
    </xf>
    <xf numFmtId="0" fontId="67" fillId="30" borderId="12" xfId="0" applyFont="1" applyFill="1" applyBorder="1" applyAlignment="1">
      <alignment horizontal="left" vertical="top" wrapText="1"/>
    </xf>
    <xf numFmtId="42" fontId="70" fillId="30" borderId="1" xfId="0" applyNumberFormat="1" applyFont="1" applyFill="1" applyBorder="1" applyAlignment="1">
      <alignment horizontal="center" vertical="center" wrapText="1"/>
    </xf>
    <xf numFmtId="42" fontId="69" fillId="30" borderId="1" xfId="0" applyNumberFormat="1" applyFont="1" applyFill="1" applyBorder="1" applyAlignment="1">
      <alignment vertical="center"/>
    </xf>
    <xf numFmtId="41" fontId="69" fillId="30" borderId="1" xfId="0" applyNumberFormat="1" applyFont="1" applyFill="1" applyBorder="1" applyAlignment="1">
      <alignment vertical="center"/>
    </xf>
    <xf numFmtId="42" fontId="69" fillId="30" borderId="1" xfId="10" applyFont="1" applyFill="1" applyBorder="1" applyAlignment="1">
      <alignment horizontal="center" vertical="center"/>
    </xf>
    <xf numFmtId="0" fontId="69" fillId="30" borderId="1" xfId="0" applyFont="1" applyFill="1" applyBorder="1"/>
    <xf numFmtId="9" fontId="69" fillId="30" borderId="1" xfId="16" applyFont="1" applyFill="1" applyBorder="1" applyAlignment="1">
      <alignment horizontal="center" vertical="center"/>
    </xf>
    <xf numFmtId="0" fontId="69" fillId="30" borderId="0" xfId="0" applyFont="1" applyFill="1"/>
    <xf numFmtId="42" fontId="69" fillId="18" borderId="1" xfId="10" applyFont="1" applyFill="1" applyBorder="1" applyAlignment="1">
      <alignment horizontal="center" vertical="center"/>
    </xf>
    <xf numFmtId="41" fontId="69" fillId="0" borderId="1" xfId="5" applyFont="1" applyBorder="1" applyAlignment="1">
      <alignment vertical="center"/>
    </xf>
    <xf numFmtId="49" fontId="67" fillId="4" borderId="12" xfId="0" applyNumberFormat="1" applyFont="1" applyFill="1" applyBorder="1" applyAlignment="1">
      <alignment horizontal="left" vertical="top" wrapText="1"/>
    </xf>
    <xf numFmtId="0" fontId="71" fillId="31" borderId="1" xfId="0" applyFont="1" applyFill="1" applyBorder="1" applyAlignment="1">
      <alignment horizontal="justify" vertical="top"/>
    </xf>
    <xf numFmtId="0" fontId="66" fillId="4" borderId="0" xfId="0" applyFont="1" applyFill="1" applyAlignment="1">
      <alignment vertical="center" wrapText="1"/>
    </xf>
    <xf numFmtId="0" fontId="66" fillId="4" borderId="7" xfId="0" applyFont="1" applyFill="1" applyBorder="1" applyAlignment="1">
      <alignment horizontal="center" vertical="center"/>
    </xf>
    <xf numFmtId="0" fontId="78" fillId="4" borderId="31" xfId="0" applyFont="1" applyFill="1" applyBorder="1" applyAlignment="1">
      <alignment horizontal="center" vertical="center" wrapText="1"/>
    </xf>
    <xf numFmtId="0" fontId="78" fillId="4" borderId="32" xfId="0" applyFont="1" applyFill="1" applyBorder="1" applyAlignment="1">
      <alignment horizontal="center" vertical="center"/>
    </xf>
    <xf numFmtId="0" fontId="78" fillId="5" borderId="32" xfId="0" applyFont="1" applyFill="1" applyBorder="1" applyAlignment="1">
      <alignment horizontal="center" vertical="center"/>
    </xf>
    <xf numFmtId="0" fontId="78" fillId="5" borderId="32" xfId="0" applyFont="1" applyFill="1" applyBorder="1" applyAlignment="1">
      <alignment horizontal="center" vertical="center" wrapText="1"/>
    </xf>
    <xf numFmtId="0" fontId="78" fillId="6" borderId="32" xfId="0" applyFont="1" applyFill="1" applyBorder="1" applyAlignment="1">
      <alignment horizontal="center" vertical="center"/>
    </xf>
    <xf numFmtId="0" fontId="78" fillId="4" borderId="33" xfId="0" applyFont="1" applyFill="1" applyBorder="1" applyAlignment="1">
      <alignment horizontal="center" vertical="center"/>
    </xf>
    <xf numFmtId="0" fontId="78" fillId="7" borderId="32" xfId="0" applyFont="1" applyFill="1" applyBorder="1" applyAlignment="1">
      <alignment horizontal="center" vertical="center" wrapText="1"/>
    </xf>
    <xf numFmtId="0" fontId="78" fillId="4" borderId="33" xfId="0" applyFont="1" applyFill="1" applyBorder="1" applyAlignment="1">
      <alignment horizontal="center" vertical="center" wrapText="1"/>
    </xf>
    <xf numFmtId="0" fontId="78" fillId="18" borderId="32" xfId="0" applyFont="1" applyFill="1" applyBorder="1" applyAlignment="1">
      <alignment horizontal="center" vertical="center" wrapText="1"/>
    </xf>
    <xf numFmtId="42" fontId="78" fillId="8" borderId="32" xfId="10" applyFont="1" applyFill="1" applyBorder="1" applyAlignment="1">
      <alignment horizontal="center" vertical="center"/>
    </xf>
    <xf numFmtId="0" fontId="82" fillId="8" borderId="32" xfId="0" applyFont="1" applyFill="1" applyBorder="1" applyAlignment="1">
      <alignment horizontal="center" vertical="center" wrapText="1"/>
    </xf>
    <xf numFmtId="42" fontId="82" fillId="8" borderId="32" xfId="10" applyFont="1" applyFill="1" applyBorder="1" applyAlignment="1">
      <alignment horizontal="center" vertical="center" wrapText="1"/>
    </xf>
    <xf numFmtId="42" fontId="82" fillId="8" borderId="32" xfId="10" applyFont="1" applyFill="1" applyBorder="1" applyAlignment="1">
      <alignment horizontal="center" wrapText="1"/>
    </xf>
    <xf numFmtId="9" fontId="82" fillId="8" borderId="32" xfId="16" applyFont="1" applyFill="1" applyBorder="1" applyAlignment="1">
      <alignment horizontal="center" vertical="center" wrapText="1"/>
    </xf>
    <xf numFmtId="0" fontId="68" fillId="8" borderId="34" xfId="0" applyFont="1" applyFill="1" applyBorder="1" applyAlignment="1">
      <alignment horizontal="center" vertical="center" wrapText="1"/>
    </xf>
    <xf numFmtId="0" fontId="67" fillId="0" borderId="27" xfId="0" applyFont="1" applyBorder="1" applyAlignment="1">
      <alignment horizontal="left" vertical="center" wrapText="1"/>
    </xf>
    <xf numFmtId="0" fontId="67" fillId="0" borderId="50" xfId="0" applyFont="1" applyBorder="1" applyAlignment="1">
      <alignment horizontal="left" vertical="center" wrapText="1"/>
    </xf>
    <xf numFmtId="1" fontId="0" fillId="0" borderId="22" xfId="0" applyNumberFormat="1" applyBorder="1" applyAlignment="1">
      <alignment horizontal="center" vertical="center"/>
    </xf>
    <xf numFmtId="0" fontId="67" fillId="9" borderId="27" xfId="0" applyFont="1" applyFill="1" applyBorder="1" applyAlignment="1">
      <alignment horizontal="center" vertical="center" wrapText="1"/>
    </xf>
    <xf numFmtId="0" fontId="67" fillId="9" borderId="27" xfId="0" applyFont="1" applyFill="1" applyBorder="1" applyAlignment="1">
      <alignment vertical="center" wrapText="1"/>
    </xf>
    <xf numFmtId="0" fontId="70" fillId="0" borderId="27" xfId="0" applyFont="1" applyBorder="1" applyAlignment="1">
      <alignment horizontal="center" vertical="center" wrapText="1"/>
    </xf>
    <xf numFmtId="0" fontId="67" fillId="4" borderId="50" xfId="0" applyFont="1" applyFill="1" applyBorder="1" applyAlignment="1">
      <alignment horizontal="center" vertical="center" wrapText="1"/>
    </xf>
    <xf numFmtId="0" fontId="71" fillId="0" borderId="22" xfId="0" applyFont="1" applyBorder="1" applyAlignment="1">
      <alignment horizontal="left" vertical="center" wrapText="1"/>
    </xf>
    <xf numFmtId="42" fontId="9" fillId="0" borderId="22" xfId="10" applyFont="1" applyFill="1" applyBorder="1" applyAlignment="1">
      <alignment horizontal="center" vertical="center"/>
    </xf>
    <xf numFmtId="0" fontId="112" fillId="0" borderId="49" xfId="0" applyFont="1" applyBorder="1" applyAlignment="1">
      <alignment vertical="center" wrapText="1"/>
    </xf>
    <xf numFmtId="49" fontId="112" fillId="0" borderId="49" xfId="0" applyNumberFormat="1" applyFont="1" applyBorder="1" applyAlignment="1">
      <alignment vertical="center" wrapText="1"/>
    </xf>
    <xf numFmtId="0" fontId="113" fillId="0" borderId="49" xfId="0" applyFont="1" applyBorder="1" applyAlignment="1">
      <alignment vertical="top" wrapText="1"/>
    </xf>
    <xf numFmtId="49" fontId="113" fillId="0" borderId="49" xfId="0" applyNumberFormat="1" applyFont="1" applyBorder="1" applyAlignment="1">
      <alignment vertical="top" wrapText="1"/>
    </xf>
    <xf numFmtId="49" fontId="110" fillId="0" borderId="49" xfId="0" applyNumberFormat="1" applyFont="1" applyBorder="1" applyAlignment="1">
      <alignment horizontal="left" vertical="top" wrapText="1"/>
    </xf>
    <xf numFmtId="0" fontId="113" fillId="4" borderId="12" xfId="0" applyFont="1" applyFill="1" applyBorder="1" applyAlignment="1">
      <alignment horizontal="left" vertical="center" wrapText="1"/>
    </xf>
    <xf numFmtId="3" fontId="113" fillId="4" borderId="12" xfId="0" applyNumberFormat="1" applyFont="1" applyFill="1" applyBorder="1" applyAlignment="1">
      <alignment horizontal="left" vertical="center" wrapText="1"/>
    </xf>
    <xf numFmtId="0" fontId="112" fillId="4" borderId="1" xfId="0" applyFont="1" applyFill="1" applyBorder="1" applyAlignment="1">
      <alignment horizontal="left" vertical="top" wrapText="1"/>
    </xf>
    <xf numFmtId="49" fontId="112" fillId="4" borderId="1" xfId="0" applyNumberFormat="1" applyFont="1" applyFill="1" applyBorder="1" applyAlignment="1">
      <alignment horizontal="left" vertical="top" wrapText="1"/>
    </xf>
    <xf numFmtId="0" fontId="113" fillId="4" borderId="12" xfId="0" applyFont="1" applyFill="1" applyBorder="1" applyAlignment="1">
      <alignment horizontal="left" vertical="top" wrapText="1"/>
    </xf>
    <xf numFmtId="49" fontId="113" fillId="4" borderId="12" xfId="0" applyNumberFormat="1" applyFont="1" applyFill="1" applyBorder="1" applyAlignment="1">
      <alignment horizontal="left" vertical="top" wrapText="1"/>
    </xf>
    <xf numFmtId="0" fontId="114" fillId="4" borderId="1" xfId="0" applyFont="1" applyFill="1" applyBorder="1" applyAlignment="1">
      <alignment horizontal="left" vertical="top" wrapText="1"/>
    </xf>
    <xf numFmtId="49" fontId="114" fillId="4" borderId="1" xfId="0" applyNumberFormat="1" applyFont="1" applyFill="1" applyBorder="1" applyAlignment="1">
      <alignment horizontal="left" vertical="top" wrapText="1"/>
    </xf>
    <xf numFmtId="0" fontId="77" fillId="4" borderId="8" xfId="0" applyFont="1" applyFill="1" applyBorder="1" applyAlignment="1">
      <alignment horizontal="center" vertical="center"/>
    </xf>
    <xf numFmtId="0" fontId="115" fillId="4" borderId="1" xfId="0" applyFont="1" applyFill="1" applyBorder="1" applyAlignment="1">
      <alignment horizontal="left" vertical="top" wrapText="1"/>
    </xf>
    <xf numFmtId="49" fontId="115" fillId="4" borderId="1" xfId="0" applyNumberFormat="1" applyFont="1" applyFill="1" applyBorder="1" applyAlignment="1">
      <alignment horizontal="left" vertical="top" wrapText="1"/>
    </xf>
    <xf numFmtId="0" fontId="69" fillId="0" borderId="1" xfId="0" applyFont="1" applyBorder="1" applyAlignment="1">
      <alignment vertical="center" wrapText="1"/>
    </xf>
    <xf numFmtId="0" fontId="116" fillId="0" borderId="1" xfId="0" applyFont="1" applyBorder="1" applyAlignment="1">
      <alignment vertical="top" wrapText="1"/>
    </xf>
    <xf numFmtId="49" fontId="116" fillId="0" borderId="1" xfId="0" applyNumberFormat="1" applyFont="1" applyBorder="1" applyAlignment="1">
      <alignment vertical="top" wrapText="1"/>
    </xf>
    <xf numFmtId="0" fontId="87" fillId="0" borderId="1" xfId="0" applyFont="1" applyBorder="1" applyAlignment="1">
      <alignment horizontal="left" vertical="top" wrapText="1"/>
    </xf>
    <xf numFmtId="0" fontId="114" fillId="0" borderId="1" xfId="0" applyFont="1" applyBorder="1" applyAlignment="1">
      <alignment horizontal="left" vertical="center" wrapText="1"/>
    </xf>
    <xf numFmtId="49" fontId="114" fillId="0" borderId="1" xfId="0" applyNumberFormat="1" applyFont="1" applyBorder="1" applyAlignment="1">
      <alignment horizontal="left" vertical="center" wrapText="1"/>
    </xf>
    <xf numFmtId="0" fontId="113" fillId="4" borderId="1" xfId="0" applyFont="1" applyFill="1" applyBorder="1" applyAlignment="1">
      <alignment horizontal="left" vertical="top" wrapText="1"/>
    </xf>
    <xf numFmtId="0" fontId="117" fillId="4" borderId="1" xfId="0" applyFont="1" applyFill="1" applyBorder="1" applyAlignment="1">
      <alignment horizontal="center" vertical="center" wrapText="1"/>
    </xf>
    <xf numFmtId="0" fontId="78" fillId="4" borderId="12" xfId="0" applyFont="1" applyFill="1" applyBorder="1" applyAlignment="1">
      <alignment horizontal="center" vertical="center" wrapText="1"/>
    </xf>
    <xf numFmtId="0" fontId="69" fillId="0" borderId="1" xfId="0" applyFont="1" applyBorder="1" applyAlignment="1">
      <alignment vertical="center"/>
    </xf>
    <xf numFmtId="0" fontId="118" fillId="0" borderId="49" xfId="0" applyFont="1" applyBorder="1" applyAlignment="1">
      <alignment vertical="center" wrapText="1"/>
    </xf>
    <xf numFmtId="49" fontId="118" fillId="0" borderId="49" xfId="0" applyNumberFormat="1" applyFont="1" applyBorder="1" applyAlignment="1">
      <alignment vertical="center" wrapText="1"/>
    </xf>
    <xf numFmtId="0" fontId="114" fillId="0" borderId="49" xfId="0" applyFont="1" applyBorder="1" applyAlignment="1">
      <alignment horizontal="left" vertical="center" wrapText="1"/>
    </xf>
    <xf numFmtId="0" fontId="113" fillId="0" borderId="49" xfId="0" applyFont="1" applyBorder="1" applyAlignment="1">
      <alignment horizontal="left" vertical="top" wrapText="1"/>
    </xf>
    <xf numFmtId="49" fontId="113" fillId="0" borderId="49" xfId="0" applyNumberFormat="1" applyFont="1" applyBorder="1" applyAlignment="1">
      <alignment horizontal="left" vertical="top" wrapText="1"/>
    </xf>
    <xf numFmtId="42" fontId="60" fillId="0" borderId="1" xfId="10" applyFont="1" applyFill="1" applyBorder="1" applyAlignment="1">
      <alignment vertical="center"/>
    </xf>
    <xf numFmtId="49" fontId="114" fillId="0" borderId="49" xfId="0" applyNumberFormat="1" applyFont="1" applyBorder="1" applyAlignment="1">
      <alignment vertical="center" wrapText="1"/>
    </xf>
    <xf numFmtId="0" fontId="113" fillId="0" borderId="6" xfId="0" applyFont="1" applyBorder="1" applyAlignment="1">
      <alignment vertical="top" wrapText="1"/>
    </xf>
    <xf numFmtId="49" fontId="113" fillId="0" borderId="6" xfId="0" applyNumberFormat="1" applyFont="1" applyBorder="1" applyAlignment="1">
      <alignment vertical="top" wrapText="1"/>
    </xf>
    <xf numFmtId="0" fontId="113" fillId="0" borderId="49" xfId="0" applyFont="1" applyBorder="1" applyAlignment="1">
      <alignment vertical="center" wrapText="1"/>
    </xf>
    <xf numFmtId="49" fontId="113" fillId="0" borderId="49" xfId="0" applyNumberFormat="1" applyFont="1" applyBorder="1" applyAlignment="1">
      <alignment vertical="center" wrapText="1"/>
    </xf>
    <xf numFmtId="42" fontId="60" fillId="4" borderId="1" xfId="10" applyFont="1" applyFill="1" applyBorder="1" applyAlignment="1">
      <alignment vertical="center"/>
    </xf>
    <xf numFmtId="42" fontId="60" fillId="0" borderId="18" xfId="10" applyFont="1" applyFill="1" applyBorder="1" applyAlignment="1">
      <alignment vertical="center"/>
    </xf>
    <xf numFmtId="0" fontId="78" fillId="6" borderId="32" xfId="0" applyFont="1" applyFill="1" applyBorder="1" applyAlignment="1">
      <alignment horizontal="left" vertical="center"/>
    </xf>
    <xf numFmtId="0" fontId="62" fillId="2" borderId="1" xfId="3" applyAlignment="1" applyProtection="1">
      <alignment vertical="center"/>
    </xf>
    <xf numFmtId="0" fontId="0" fillId="0" borderId="0" xfId="0" applyProtection="1">
      <protection locked="0"/>
    </xf>
    <xf numFmtId="0" fontId="63" fillId="3" borderId="2" xfId="2" applyBorder="1" applyAlignment="1" applyProtection="1">
      <alignment horizontal="left" vertical="center"/>
    </xf>
    <xf numFmtId="0" fontId="63" fillId="3" borderId="0" xfId="2" applyAlignment="1" applyProtection="1">
      <alignment horizontal="left" vertical="center"/>
    </xf>
    <xf numFmtId="0" fontId="0" fillId="0" borderId="0" xfId="0" applyAlignment="1" applyProtection="1">
      <alignment horizontal="left"/>
      <protection locked="0"/>
    </xf>
    <xf numFmtId="0" fontId="0" fillId="0" borderId="0" xfId="0" applyAlignment="1">
      <alignment horizontal="left"/>
    </xf>
    <xf numFmtId="49" fontId="61" fillId="0" borderId="0" xfId="1" applyProtection="1">
      <alignment horizontal="left" vertical="center"/>
      <protection locked="0"/>
    </xf>
    <xf numFmtId="171" fontId="60" fillId="0" borderId="0" xfId="9" applyNumberFormat="1" applyFont="1" applyFill="1" applyProtection="1">
      <protection locked="0"/>
    </xf>
    <xf numFmtId="171" fontId="60" fillId="0" borderId="0" xfId="9" applyNumberFormat="1" applyFont="1" applyProtection="1">
      <protection locked="0"/>
    </xf>
    <xf numFmtId="49" fontId="61" fillId="0" borderId="0" xfId="1" applyFill="1" applyProtection="1">
      <alignment horizontal="left" vertical="center"/>
      <protection locked="0"/>
    </xf>
    <xf numFmtId="173" fontId="0" fillId="0" borderId="0" xfId="0" applyNumberFormat="1" applyProtection="1">
      <protection locked="0"/>
    </xf>
    <xf numFmtId="49" fontId="113" fillId="4" borderId="8" xfId="0" applyNumberFormat="1" applyFont="1" applyFill="1" applyBorder="1" applyAlignment="1">
      <alignment horizontal="left" vertical="top" wrapText="1"/>
    </xf>
    <xf numFmtId="0" fontId="78" fillId="4" borderId="1" xfId="0" applyFont="1" applyFill="1" applyBorder="1" applyAlignment="1">
      <alignment horizontal="center" vertical="center" wrapText="1"/>
    </xf>
    <xf numFmtId="168" fontId="67" fillId="4" borderId="8" xfId="4" applyNumberFormat="1" applyFont="1" applyFill="1" applyBorder="1" applyAlignment="1">
      <alignment horizontal="center" vertical="center" wrapText="1"/>
    </xf>
    <xf numFmtId="0" fontId="67" fillId="0" borderId="51" xfId="0" applyFont="1" applyBorder="1" applyAlignment="1">
      <alignment horizontal="center" vertical="center" wrapText="1"/>
    </xf>
    <xf numFmtId="0" fontId="67" fillId="4" borderId="51" xfId="0" applyFont="1" applyFill="1" applyBorder="1" applyAlignment="1">
      <alignment horizontal="center" vertical="center" wrapText="1"/>
    </xf>
    <xf numFmtId="0" fontId="67" fillId="4" borderId="51" xfId="0" applyFont="1" applyFill="1" applyBorder="1" applyAlignment="1">
      <alignment horizontal="left" vertical="top" wrapText="1"/>
    </xf>
    <xf numFmtId="0" fontId="105" fillId="4" borderId="8" xfId="0" applyFont="1" applyFill="1" applyBorder="1" applyAlignment="1">
      <alignment horizontal="left" vertical="top" wrapText="1"/>
    </xf>
    <xf numFmtId="49" fontId="105" fillId="4" borderId="8" xfId="0" applyNumberFormat="1" applyFont="1" applyFill="1" applyBorder="1" applyAlignment="1">
      <alignment horizontal="left" vertical="top" wrapText="1"/>
    </xf>
    <xf numFmtId="0" fontId="117" fillId="0" borderId="1" xfId="0" applyFont="1" applyBorder="1" applyAlignment="1">
      <alignment horizontal="center" vertical="center" wrapText="1"/>
    </xf>
    <xf numFmtId="0" fontId="80" fillId="0" borderId="16" xfId="0" applyFont="1" applyBorder="1" applyAlignment="1">
      <alignment horizontal="center" vertical="center" wrapText="1"/>
    </xf>
    <xf numFmtId="0" fontId="67" fillId="0" borderId="16" xfId="0" applyFont="1" applyBorder="1" applyAlignment="1">
      <alignment horizontal="center" vertical="center" wrapText="1"/>
    </xf>
    <xf numFmtId="0" fontId="113" fillId="0" borderId="1" xfId="0" applyFont="1" applyBorder="1" applyAlignment="1">
      <alignment horizontal="left" vertical="top" wrapText="1"/>
    </xf>
    <xf numFmtId="49" fontId="113" fillId="0" borderId="1" xfId="0" applyNumberFormat="1" applyFont="1" applyBorder="1" applyAlignment="1">
      <alignment horizontal="left" vertical="top" wrapText="1"/>
    </xf>
    <xf numFmtId="0" fontId="114" fillId="0" borderId="1" xfId="0" applyFont="1" applyBorder="1" applyAlignment="1">
      <alignment horizontal="justify" vertical="top" wrapText="1"/>
    </xf>
    <xf numFmtId="49" fontId="114" fillId="0" borderId="1" xfId="0" applyNumberFormat="1" applyFont="1" applyBorder="1" applyAlignment="1">
      <alignment horizontal="justify" vertical="top" wrapText="1"/>
    </xf>
    <xf numFmtId="0" fontId="114" fillId="0" borderId="22" xfId="0" applyFont="1" applyBorder="1" applyAlignment="1">
      <alignment horizontal="left" vertical="top" wrapText="1"/>
    </xf>
    <xf numFmtId="49" fontId="114" fillId="0" borderId="22" xfId="0" applyNumberFormat="1" applyFont="1" applyBorder="1" applyAlignment="1">
      <alignment horizontal="left" vertical="top" wrapText="1"/>
    </xf>
    <xf numFmtId="0" fontId="115" fillId="0" borderId="1" xfId="0" applyFont="1" applyBorder="1" applyAlignment="1">
      <alignment horizontal="left" vertical="top" wrapText="1"/>
    </xf>
    <xf numFmtId="0" fontId="119" fillId="0" borderId="1" xfId="0" applyFont="1" applyBorder="1" applyAlignment="1">
      <alignment horizontal="left" vertical="center" wrapText="1"/>
    </xf>
    <xf numFmtId="49" fontId="119" fillId="0" borderId="1" xfId="0" applyNumberFormat="1" applyFont="1" applyBorder="1" applyAlignment="1">
      <alignment horizontal="left" vertical="center" wrapText="1"/>
    </xf>
    <xf numFmtId="0" fontId="120" fillId="0" borderId="1" xfId="0" applyFont="1" applyBorder="1" applyAlignment="1">
      <alignment horizontal="left" vertical="center" wrapText="1"/>
    </xf>
    <xf numFmtId="49" fontId="112" fillId="0" borderId="1" xfId="0" applyNumberFormat="1" applyFont="1" applyBorder="1" applyAlignment="1">
      <alignment horizontal="left" vertical="center"/>
    </xf>
    <xf numFmtId="0" fontId="113" fillId="0" borderId="1" xfId="0" applyFont="1" applyBorder="1" applyAlignment="1">
      <alignment horizontal="justify" vertical="top"/>
    </xf>
    <xf numFmtId="49" fontId="113" fillId="0" borderId="1" xfId="0" applyNumberFormat="1" applyFont="1" applyBorder="1" applyAlignment="1">
      <alignment horizontal="justify" vertical="top"/>
    </xf>
    <xf numFmtId="0" fontId="121" fillId="0" borderId="1" xfId="0" applyFont="1" applyBorder="1" applyAlignment="1">
      <alignment horizontal="center" vertical="center"/>
    </xf>
    <xf numFmtId="0" fontId="113" fillId="0" borderId="1" xfId="0" applyFont="1" applyBorder="1" applyAlignment="1">
      <alignment horizontal="left" vertical="center" wrapText="1"/>
    </xf>
    <xf numFmtId="49" fontId="113" fillId="0" borderId="1" xfId="0" applyNumberFormat="1" applyFont="1" applyBorder="1" applyAlignment="1">
      <alignment horizontal="left" vertical="center" wrapText="1"/>
    </xf>
    <xf numFmtId="0" fontId="121" fillId="0" borderId="1" xfId="0" applyFont="1" applyBorder="1" applyAlignment="1">
      <alignment horizontal="justify" vertical="top" wrapText="1"/>
    </xf>
    <xf numFmtId="49" fontId="121" fillId="0" borderId="1" xfId="0" applyNumberFormat="1" applyFont="1" applyBorder="1" applyAlignment="1">
      <alignment horizontal="justify" vertical="top" wrapText="1"/>
    </xf>
    <xf numFmtId="0" fontId="67" fillId="0" borderId="51" xfId="0" applyFont="1" applyBorder="1" applyAlignment="1">
      <alignment horizontal="left" vertical="center" wrapText="1"/>
    </xf>
    <xf numFmtId="1" fontId="67" fillId="0" borderId="1" xfId="0" applyNumberFormat="1" applyFont="1" applyBorder="1" applyAlignment="1">
      <alignment horizontal="center" vertical="center"/>
    </xf>
    <xf numFmtId="0" fontId="71" fillId="0" borderId="1" xfId="0" applyFont="1" applyBorder="1" applyAlignment="1">
      <alignment horizontal="justify" vertical="center"/>
    </xf>
    <xf numFmtId="169" fontId="67" fillId="0" borderId="1" xfId="0" applyNumberFormat="1" applyFont="1" applyBorder="1" applyAlignment="1">
      <alignment horizontal="center" vertical="center" wrapText="1"/>
    </xf>
    <xf numFmtId="0" fontId="75" fillId="0" borderId="10" xfId="0" applyFont="1" applyBorder="1" applyAlignment="1">
      <alignment horizontal="left" vertical="center" wrapText="1"/>
    </xf>
    <xf numFmtId="0" fontId="78" fillId="0" borderId="1" xfId="0" applyFont="1" applyBorder="1" applyAlignment="1">
      <alignment horizontal="left" vertical="top" wrapText="1"/>
    </xf>
    <xf numFmtId="49" fontId="78" fillId="0" borderId="1" xfId="0" applyNumberFormat="1" applyFont="1" applyBorder="1" applyAlignment="1">
      <alignment horizontal="left" vertical="top" wrapText="1"/>
    </xf>
    <xf numFmtId="0" fontId="67" fillId="0" borderId="1" xfId="0" applyFont="1" applyBorder="1" applyAlignment="1">
      <alignment horizontal="left" vertical="top" wrapText="1"/>
    </xf>
    <xf numFmtId="0" fontId="112" fillId="4" borderId="8" xfId="0" applyFont="1" applyFill="1" applyBorder="1" applyAlignment="1">
      <alignment horizontal="left" vertical="top" wrapText="1"/>
    </xf>
    <xf numFmtId="49" fontId="112" fillId="4" borderId="8" xfId="0" applyNumberFormat="1" applyFont="1" applyFill="1" applyBorder="1" applyAlignment="1">
      <alignment horizontal="left" vertical="top" wrapText="1"/>
    </xf>
    <xf numFmtId="0" fontId="0" fillId="4" borderId="0" xfId="0" applyFill="1" applyAlignment="1">
      <alignment vertical="center"/>
    </xf>
    <xf numFmtId="0" fontId="67" fillId="0" borderId="22" xfId="0" applyFont="1" applyBorder="1" applyAlignment="1">
      <alignment horizontal="center" vertical="center" wrapText="1"/>
    </xf>
    <xf numFmtId="0" fontId="67" fillId="0" borderId="22" xfId="0" applyFont="1" applyBorder="1" applyAlignment="1">
      <alignment vertical="center" wrapText="1"/>
    </xf>
    <xf numFmtId="0" fontId="67" fillId="0" borderId="8" xfId="0" applyFont="1" applyBorder="1" applyAlignment="1">
      <alignment horizontal="center" vertical="center" wrapText="1"/>
    </xf>
    <xf numFmtId="42" fontId="69" fillId="0" borderId="1" xfId="10" applyFont="1" applyBorder="1" applyAlignment="1">
      <alignment vertical="center"/>
    </xf>
    <xf numFmtId="42" fontId="69" fillId="0" borderId="1" xfId="10" applyFont="1" applyBorder="1" applyAlignment="1">
      <alignment horizontal="center" vertical="center"/>
    </xf>
    <xf numFmtId="0" fontId="113" fillId="0" borderId="49" xfId="0" applyFont="1" applyBorder="1" applyAlignment="1">
      <alignment horizontal="left" vertical="center"/>
    </xf>
    <xf numFmtId="49" fontId="113" fillId="0" borderId="49" xfId="0" applyNumberFormat="1" applyFont="1" applyBorder="1" applyAlignment="1">
      <alignment horizontal="left" vertical="center"/>
    </xf>
    <xf numFmtId="0" fontId="78" fillId="4" borderId="1" xfId="0" applyFont="1" applyFill="1" applyBorder="1" applyAlignment="1">
      <alignment horizontal="left" vertical="center" wrapText="1"/>
    </xf>
    <xf numFmtId="6" fontId="78" fillId="4" borderId="1" xfId="0" applyNumberFormat="1" applyFont="1" applyFill="1" applyBorder="1" applyAlignment="1">
      <alignment horizontal="left" vertical="center" wrapText="1"/>
    </xf>
    <xf numFmtId="49" fontId="122" fillId="0" borderId="1" xfId="0" applyNumberFormat="1" applyFont="1" applyBorder="1" applyAlignment="1">
      <alignment vertical="top" wrapText="1"/>
    </xf>
    <xf numFmtId="0" fontId="93" fillId="4" borderId="0" xfId="0" applyFont="1" applyFill="1" applyAlignment="1">
      <alignment horizontal="left" vertical="center"/>
    </xf>
    <xf numFmtId="0" fontId="80" fillId="4" borderId="9" xfId="0" applyFont="1" applyFill="1" applyBorder="1" applyAlignment="1">
      <alignment horizontal="center" vertical="center"/>
    </xf>
    <xf numFmtId="0" fontId="87" fillId="17" borderId="32" xfId="0" applyFont="1" applyFill="1" applyBorder="1" applyAlignment="1">
      <alignment horizontal="center" vertical="center" wrapText="1"/>
    </xf>
    <xf numFmtId="0" fontId="80" fillId="0" borderId="12" xfId="0" applyFont="1" applyBorder="1" applyAlignment="1">
      <alignment horizontal="left" vertical="center" wrapText="1"/>
    </xf>
    <xf numFmtId="0" fontId="118" fillId="0" borderId="12" xfId="0" applyFont="1" applyBorder="1" applyAlignment="1">
      <alignment horizontal="left" vertical="top" wrapText="1"/>
    </xf>
    <xf numFmtId="49" fontId="118" fillId="0" borderId="12" xfId="0" applyNumberFormat="1" applyFont="1" applyBorder="1" applyAlignment="1">
      <alignment horizontal="left" vertical="top" wrapText="1"/>
    </xf>
    <xf numFmtId="0" fontId="80" fillId="4" borderId="1" xfId="0" applyFont="1" applyFill="1" applyBorder="1" applyAlignment="1">
      <alignment horizontal="left" vertical="center" wrapText="1"/>
    </xf>
    <xf numFmtId="0" fontId="86" fillId="4" borderId="1" xfId="0" applyFont="1" applyFill="1" applyBorder="1" applyAlignment="1">
      <alignment horizontal="center" vertical="center" wrapText="1"/>
    </xf>
    <xf numFmtId="0" fontId="118" fillId="0" borderId="8" xfId="0" applyFont="1" applyBorder="1" applyAlignment="1">
      <alignment horizontal="left" vertical="top" wrapText="1"/>
    </xf>
    <xf numFmtId="49" fontId="118" fillId="0" borderId="8" xfId="0" applyNumberFormat="1" applyFont="1" applyBorder="1" applyAlignment="1">
      <alignment horizontal="left" vertical="top" wrapText="1"/>
    </xf>
    <xf numFmtId="0" fontId="80" fillId="0" borderId="8" xfId="0" applyFont="1" applyBorder="1" applyAlignment="1">
      <alignment horizontal="left" vertical="center" wrapText="1"/>
    </xf>
    <xf numFmtId="0" fontId="118" fillId="0" borderId="1" xfId="0" applyFont="1" applyBorder="1" applyAlignment="1">
      <alignment horizontal="left" vertical="center" wrapText="1"/>
    </xf>
    <xf numFmtId="49" fontId="118" fillId="0" borderId="1" xfId="0" applyNumberFormat="1" applyFont="1" applyBorder="1" applyAlignment="1">
      <alignment horizontal="left" vertical="center" wrapText="1"/>
    </xf>
    <xf numFmtId="0" fontId="87" fillId="4" borderId="1" xfId="0" applyFont="1" applyFill="1" applyBorder="1" applyAlignment="1">
      <alignment horizontal="left" vertical="top" wrapText="1"/>
    </xf>
    <xf numFmtId="49" fontId="87" fillId="4" borderId="1" xfId="0" applyNumberFormat="1" applyFont="1" applyFill="1" applyBorder="1" applyAlignment="1">
      <alignment horizontal="left" vertical="top" wrapText="1"/>
    </xf>
    <xf numFmtId="0" fontId="118" fillId="4" borderId="12" xfId="0" applyFont="1" applyFill="1" applyBorder="1" applyAlignment="1">
      <alignment horizontal="left" vertical="top" wrapText="1"/>
    </xf>
    <xf numFmtId="49" fontId="118" fillId="4" borderId="12" xfId="0" applyNumberFormat="1" applyFont="1" applyFill="1" applyBorder="1" applyAlignment="1">
      <alignment horizontal="left" vertical="top" wrapText="1"/>
    </xf>
    <xf numFmtId="0" fontId="118" fillId="0" borderId="1" xfId="0" applyFont="1" applyBorder="1" applyAlignment="1">
      <alignment horizontal="left" vertical="top" wrapText="1"/>
    </xf>
    <xf numFmtId="49" fontId="118" fillId="0" borderId="1" xfId="0" applyNumberFormat="1" applyFont="1" applyBorder="1" applyAlignment="1">
      <alignment horizontal="left" vertical="top" wrapText="1"/>
    </xf>
    <xf numFmtId="49" fontId="123" fillId="4" borderId="1" xfId="0" applyNumberFormat="1" applyFont="1" applyFill="1" applyBorder="1" applyAlignment="1">
      <alignment horizontal="left" vertical="top" wrapText="1"/>
    </xf>
    <xf numFmtId="0" fontId="124" fillId="4" borderId="1" xfId="0" applyFont="1" applyFill="1" applyBorder="1" applyAlignment="1">
      <alignment horizontal="left" vertical="top" wrapText="1"/>
    </xf>
    <xf numFmtId="49" fontId="124" fillId="4" borderId="1" xfId="0" applyNumberFormat="1" applyFont="1" applyFill="1" applyBorder="1" applyAlignment="1">
      <alignment horizontal="left" vertical="top" wrapText="1"/>
    </xf>
    <xf numFmtId="0" fontId="80" fillId="0" borderId="0" xfId="0" applyFont="1"/>
    <xf numFmtId="42" fontId="125" fillId="0" borderId="1" xfId="10" applyFont="1" applyFill="1" applyBorder="1" applyAlignment="1">
      <alignment horizontal="center" vertical="center"/>
    </xf>
    <xf numFmtId="0" fontId="86" fillId="4" borderId="8" xfId="0" applyFont="1" applyFill="1" applyBorder="1" applyAlignment="1">
      <alignment horizontal="left" vertical="center" wrapText="1"/>
    </xf>
    <xf numFmtId="49" fontId="86" fillId="4" borderId="8" xfId="0" applyNumberFormat="1" applyFont="1" applyFill="1" applyBorder="1" applyAlignment="1">
      <alignment horizontal="left" vertical="center" wrapText="1"/>
    </xf>
    <xf numFmtId="0" fontId="109" fillId="4" borderId="1" xfId="0" applyFont="1" applyFill="1" applyBorder="1" applyAlignment="1">
      <alignment horizontal="left" vertical="top" wrapText="1"/>
    </xf>
    <xf numFmtId="0" fontId="86" fillId="0" borderId="1" xfId="0" applyFont="1" applyBorder="1" applyAlignment="1">
      <alignment horizontal="left" vertical="center" wrapText="1"/>
    </xf>
    <xf numFmtId="49" fontId="86" fillId="0" borderId="1" xfId="0" applyNumberFormat="1" applyFont="1" applyBorder="1" applyAlignment="1">
      <alignment horizontal="left" vertical="center" wrapText="1"/>
    </xf>
    <xf numFmtId="0" fontId="114" fillId="4" borderId="1" xfId="0" applyFont="1" applyFill="1" applyBorder="1" applyAlignment="1">
      <alignment horizontal="left" vertical="center" wrapText="1"/>
    </xf>
    <xf numFmtId="49" fontId="114" fillId="4" borderId="1" xfId="0" applyNumberFormat="1" applyFont="1" applyFill="1" applyBorder="1" applyAlignment="1">
      <alignment horizontal="left" vertical="center" wrapText="1"/>
    </xf>
    <xf numFmtId="0" fontId="121" fillId="0" borderId="1" xfId="0" applyFont="1" applyBorder="1" applyAlignment="1">
      <alignment horizontal="justify" vertical="center"/>
    </xf>
    <xf numFmtId="3" fontId="121" fillId="0" borderId="1" xfId="0" applyNumberFormat="1" applyFont="1" applyBorder="1" applyAlignment="1">
      <alignment horizontal="justify" vertical="center"/>
    </xf>
    <xf numFmtId="0" fontId="119" fillId="0" borderId="1" xfId="0" applyFont="1" applyBorder="1" applyAlignment="1">
      <alignment horizontal="center" vertical="center" wrapText="1"/>
    </xf>
    <xf numFmtId="0" fontId="120" fillId="0" borderId="1" xfId="0" applyFont="1" applyBorder="1" applyAlignment="1">
      <alignment horizontal="center" vertical="center" wrapText="1"/>
    </xf>
    <xf numFmtId="0" fontId="108" fillId="0" borderId="49" xfId="0" applyFont="1" applyBorder="1" applyAlignment="1">
      <alignment vertical="center" wrapText="1"/>
    </xf>
    <xf numFmtId="0" fontId="80" fillId="0" borderId="1" xfId="0" applyFont="1" applyBorder="1" applyAlignment="1">
      <alignment horizontal="left" vertical="center" wrapText="1"/>
    </xf>
    <xf numFmtId="0" fontId="81" fillId="0" borderId="12" xfId="0" applyFont="1" applyBorder="1" applyAlignment="1">
      <alignment horizontal="left" vertical="center" wrapText="1"/>
    </xf>
    <xf numFmtId="0" fontId="80" fillId="0" borderId="12" xfId="0" applyFont="1" applyBorder="1" applyAlignment="1">
      <alignment horizontal="left" vertical="top" wrapText="1"/>
    </xf>
    <xf numFmtId="0" fontId="78" fillId="0" borderId="12" xfId="0" applyFont="1" applyBorder="1" applyAlignment="1">
      <alignment horizontal="center" vertical="center" wrapText="1"/>
    </xf>
    <xf numFmtId="0" fontId="67" fillId="0" borderId="8" xfId="0" applyFont="1" applyBorder="1" applyAlignment="1">
      <alignment horizontal="left" vertical="top" wrapText="1"/>
    </xf>
    <xf numFmtId="0" fontId="78" fillId="0" borderId="1" xfId="0" applyFont="1" applyBorder="1" applyAlignment="1">
      <alignment horizontal="center" vertical="center" wrapText="1"/>
    </xf>
    <xf numFmtId="0" fontId="89" fillId="0" borderId="0" xfId="0" applyFont="1"/>
    <xf numFmtId="0" fontId="126" fillId="4" borderId="1" xfId="0" applyFont="1" applyFill="1" applyBorder="1" applyAlignment="1">
      <alignment vertical="top" wrapText="1"/>
    </xf>
    <xf numFmtId="0" fontId="89" fillId="0" borderId="0" xfId="0" applyFont="1" applyAlignment="1">
      <alignment horizontal="center" vertical="center"/>
    </xf>
    <xf numFmtId="42" fontId="89" fillId="0" borderId="0" xfId="10" applyFont="1" applyAlignment="1">
      <alignment horizontal="center" vertical="center"/>
    </xf>
    <xf numFmtId="0" fontId="82" fillId="0" borderId="52" xfId="0" applyFont="1" applyBorder="1" applyAlignment="1">
      <alignment horizontal="center" vertical="center" wrapText="1"/>
    </xf>
    <xf numFmtId="0" fontId="82" fillId="0" borderId="44" xfId="0" applyFont="1" applyBorder="1" applyAlignment="1">
      <alignment horizontal="center" vertical="center" wrapText="1"/>
    </xf>
    <xf numFmtId="42" fontId="82" fillId="0" borderId="53" xfId="10" applyFont="1" applyFill="1" applyBorder="1" applyAlignment="1">
      <alignment horizontal="center" vertical="center" wrapText="1"/>
    </xf>
    <xf numFmtId="0" fontId="87" fillId="0" borderId="0" xfId="0" applyFont="1"/>
    <xf numFmtId="0" fontId="80" fillId="0" borderId="0" xfId="0" applyFont="1" applyAlignment="1">
      <alignment horizontal="center" vertical="center"/>
    </xf>
    <xf numFmtId="42" fontId="80" fillId="0" borderId="0" xfId="10" applyFont="1" applyAlignment="1">
      <alignment horizontal="center" vertical="center"/>
    </xf>
    <xf numFmtId="0" fontId="87" fillId="0" borderId="0" xfId="0" applyFont="1" applyAlignment="1">
      <alignment horizontal="left"/>
    </xf>
    <xf numFmtId="0" fontId="126" fillId="0" borderId="54" xfId="0" applyFont="1" applyBorder="1" applyAlignment="1">
      <alignment horizontal="center" vertical="center"/>
    </xf>
    <xf numFmtId="0" fontId="126" fillId="0" borderId="13" xfId="0" applyFont="1" applyBorder="1" applyAlignment="1">
      <alignment horizontal="left" vertical="center" wrapText="1"/>
    </xf>
    <xf numFmtId="42" fontId="126" fillId="0" borderId="36" xfId="10" applyFont="1" applyBorder="1" applyAlignment="1">
      <alignment horizontal="center" vertical="center"/>
    </xf>
    <xf numFmtId="0" fontId="126" fillId="4" borderId="1" xfId="0" applyFont="1" applyFill="1" applyBorder="1" applyAlignment="1">
      <alignment vertical="center" wrapText="1"/>
    </xf>
    <xf numFmtId="42" fontId="127" fillId="4" borderId="1" xfId="10" applyFont="1" applyFill="1" applyBorder="1" applyAlignment="1">
      <alignment horizontal="center" vertical="center"/>
    </xf>
    <xf numFmtId="0" fontId="126" fillId="4" borderId="8" xfId="0" applyFont="1" applyFill="1" applyBorder="1"/>
    <xf numFmtId="0" fontId="126" fillId="0" borderId="16" xfId="0" applyFont="1" applyBorder="1" applyAlignment="1">
      <alignment horizontal="center" vertical="center"/>
    </xf>
    <xf numFmtId="0" fontId="126" fillId="0" borderId="1" xfId="0" applyFont="1" applyBorder="1" applyAlignment="1">
      <alignment horizontal="left" vertical="center" wrapText="1"/>
    </xf>
    <xf numFmtId="42" fontId="126" fillId="0" borderId="14" xfId="10" applyFont="1" applyBorder="1" applyAlignment="1">
      <alignment horizontal="center" vertical="center"/>
    </xf>
    <xf numFmtId="0" fontId="128" fillId="4" borderId="18" xfId="0" applyFont="1" applyFill="1" applyBorder="1" applyAlignment="1">
      <alignment vertical="center" wrapText="1"/>
    </xf>
    <xf numFmtId="42" fontId="129" fillId="4" borderId="18" xfId="10" applyFont="1" applyFill="1" applyBorder="1" applyAlignment="1">
      <alignment horizontal="center" vertical="center"/>
    </xf>
    <xf numFmtId="0" fontId="128" fillId="0" borderId="21" xfId="0" applyFont="1" applyBorder="1" applyAlignment="1">
      <alignment horizontal="center" vertical="center"/>
    </xf>
    <xf numFmtId="0" fontId="128" fillId="0" borderId="18" xfId="0" applyFont="1" applyBorder="1" applyAlignment="1">
      <alignment horizontal="left" vertical="center" wrapText="1"/>
    </xf>
    <xf numFmtId="42" fontId="128" fillId="0" borderId="19" xfId="10" applyFont="1" applyBorder="1" applyAlignment="1">
      <alignment horizontal="center" vertical="center"/>
    </xf>
    <xf numFmtId="0" fontId="82" fillId="0" borderId="31" xfId="0" applyFont="1" applyBorder="1" applyAlignment="1">
      <alignment horizontal="center" vertical="center" wrapText="1"/>
    </xf>
    <xf numFmtId="0" fontId="82" fillId="0" borderId="32" xfId="0" applyFont="1" applyBorder="1" applyAlignment="1">
      <alignment horizontal="center" vertical="center" wrapText="1"/>
    </xf>
    <xf numFmtId="42" fontId="82" fillId="0" borderId="34" xfId="10" applyFont="1" applyFill="1" applyBorder="1" applyAlignment="1">
      <alignment horizontal="center" vertical="center" wrapText="1"/>
    </xf>
    <xf numFmtId="42" fontId="129" fillId="4" borderId="19" xfId="10" applyFont="1" applyFill="1" applyBorder="1" applyAlignment="1">
      <alignment horizontal="center" vertical="center"/>
    </xf>
    <xf numFmtId="42" fontId="126" fillId="0" borderId="54" xfId="10" applyFont="1" applyBorder="1" applyAlignment="1">
      <alignment horizontal="center" vertical="center"/>
    </xf>
    <xf numFmtId="42" fontId="128" fillId="0" borderId="21" xfId="10" applyFont="1" applyBorder="1" applyAlignment="1">
      <alignment horizontal="center" vertical="center"/>
    </xf>
    <xf numFmtId="42" fontId="126" fillId="0" borderId="16" xfId="10" applyFont="1" applyBorder="1" applyAlignment="1">
      <alignment horizontal="center" vertical="center"/>
    </xf>
    <xf numFmtId="0" fontId="103" fillId="0" borderId="0" xfId="0" applyFont="1"/>
    <xf numFmtId="0" fontId="130" fillId="0" borderId="0" xfId="0" applyFont="1"/>
    <xf numFmtId="0" fontId="126" fillId="0" borderId="0" xfId="0" applyFont="1"/>
    <xf numFmtId="0" fontId="128" fillId="0" borderId="0" xfId="0" applyFont="1"/>
    <xf numFmtId="42" fontId="126" fillId="0" borderId="55" xfId="10" applyFont="1" applyBorder="1" applyAlignment="1">
      <alignment horizontal="center" vertical="center"/>
    </xf>
    <xf numFmtId="42" fontId="126" fillId="0" borderId="49" xfId="10" applyFont="1" applyBorder="1" applyAlignment="1">
      <alignment horizontal="center" vertical="center"/>
    </xf>
    <xf numFmtId="42" fontId="128" fillId="0" borderId="56" xfId="10" applyFont="1" applyBorder="1" applyAlignment="1">
      <alignment horizontal="center" vertical="center"/>
    </xf>
    <xf numFmtId="0" fontId="82" fillId="7" borderId="52" xfId="0" applyFont="1" applyFill="1" applyBorder="1" applyAlignment="1">
      <alignment horizontal="center" vertical="center" wrapText="1"/>
    </xf>
    <xf numFmtId="0" fontId="82" fillId="7" borderId="44" xfId="0" applyFont="1" applyFill="1" applyBorder="1" applyAlignment="1">
      <alignment horizontal="center" vertical="center" wrapText="1"/>
    </xf>
    <xf numFmtId="0" fontId="82" fillId="7" borderId="53" xfId="0" applyFont="1" applyFill="1" applyBorder="1" applyAlignment="1">
      <alignment horizontal="center" vertical="center" wrapText="1"/>
    </xf>
    <xf numFmtId="0" fontId="126" fillId="4" borderId="13" xfId="0" applyFont="1" applyFill="1" applyBorder="1" applyAlignment="1">
      <alignment vertical="top" wrapText="1"/>
    </xf>
    <xf numFmtId="0" fontId="126" fillId="4" borderId="13" xfId="0" applyFont="1" applyFill="1" applyBorder="1" applyAlignment="1">
      <alignment vertical="center" wrapText="1"/>
    </xf>
    <xf numFmtId="42" fontId="127" fillId="4" borderId="13" xfId="10" applyFont="1" applyFill="1" applyBorder="1" applyAlignment="1">
      <alignment horizontal="center" vertical="center"/>
    </xf>
    <xf numFmtId="0" fontId="126" fillId="4" borderId="36" xfId="0" applyFont="1" applyFill="1" applyBorder="1"/>
    <xf numFmtId="0" fontId="126" fillId="4" borderId="14" xfId="0" applyFont="1" applyFill="1" applyBorder="1"/>
    <xf numFmtId="0" fontId="128" fillId="4" borderId="18" xfId="0" applyFont="1" applyFill="1" applyBorder="1" applyAlignment="1">
      <alignment vertical="top" wrapText="1"/>
    </xf>
    <xf numFmtId="0" fontId="128" fillId="0" borderId="18" xfId="0" applyFont="1" applyBorder="1"/>
    <xf numFmtId="0" fontId="89" fillId="0" borderId="0" xfId="0" applyFont="1" applyAlignment="1">
      <alignment vertical="top"/>
    </xf>
    <xf numFmtId="0" fontId="87" fillId="0" borderId="0" xfId="0" applyFont="1" applyAlignment="1">
      <alignment vertical="top"/>
    </xf>
    <xf numFmtId="0" fontId="87" fillId="0" borderId="0" xfId="0" applyFont="1" applyAlignment="1">
      <alignment horizontal="left" vertical="top"/>
    </xf>
    <xf numFmtId="0" fontId="82" fillId="7" borderId="57" xfId="0" applyFont="1" applyFill="1" applyBorder="1" applyAlignment="1">
      <alignment horizontal="center" vertical="center" wrapText="1"/>
    </xf>
    <xf numFmtId="0" fontId="82" fillId="7" borderId="52" xfId="0" applyFont="1" applyFill="1" applyBorder="1" applyAlignment="1">
      <alignment horizontal="center" vertical="top" wrapText="1"/>
    </xf>
    <xf numFmtId="42" fontId="126" fillId="4" borderId="13" xfId="10" applyFont="1" applyFill="1" applyBorder="1" applyAlignment="1">
      <alignment horizontal="center" vertical="center"/>
    </xf>
    <xf numFmtId="0" fontId="126" fillId="4" borderId="45" xfId="0" applyFont="1" applyFill="1" applyBorder="1" applyAlignment="1">
      <alignment horizontal="center" vertical="center" wrapText="1"/>
    </xf>
    <xf numFmtId="42" fontId="126" fillId="4" borderId="1" xfId="10" applyFont="1" applyFill="1" applyBorder="1" applyAlignment="1">
      <alignment horizontal="center" vertical="center"/>
    </xf>
    <xf numFmtId="0" fontId="126" fillId="4" borderId="8" xfId="0" applyFont="1" applyFill="1" applyBorder="1" applyAlignment="1">
      <alignment horizontal="center" vertical="center" wrapText="1"/>
    </xf>
    <xf numFmtId="42" fontId="128" fillId="4" borderId="58" xfId="10" applyFont="1" applyFill="1" applyBorder="1" applyAlignment="1">
      <alignment horizontal="center" vertical="center"/>
    </xf>
    <xf numFmtId="42" fontId="126" fillId="0" borderId="45" xfId="10" applyFont="1" applyBorder="1" applyAlignment="1">
      <alignment horizontal="center" vertical="center"/>
    </xf>
    <xf numFmtId="42" fontId="126" fillId="0" borderId="8" xfId="10" applyFont="1" applyBorder="1" applyAlignment="1">
      <alignment horizontal="center" vertical="center"/>
    </xf>
    <xf numFmtId="42" fontId="128" fillId="0" borderId="58" xfId="10" applyFont="1" applyBorder="1" applyAlignment="1">
      <alignment horizontal="center" vertical="center"/>
    </xf>
    <xf numFmtId="0" fontId="126" fillId="0" borderId="0" xfId="0" applyFont="1" applyAlignment="1">
      <alignment horizontal="left" vertical="center" wrapText="1"/>
    </xf>
    <xf numFmtId="42" fontId="126" fillId="0" borderId="0" xfId="10" applyFont="1" applyBorder="1" applyAlignment="1">
      <alignment horizontal="center" vertical="center"/>
    </xf>
    <xf numFmtId="0" fontId="80" fillId="0" borderId="0" xfId="0" applyFont="1" applyAlignment="1">
      <alignment vertical="center"/>
    </xf>
    <xf numFmtId="0" fontId="131" fillId="32" borderId="1" xfId="0" applyFont="1" applyFill="1" applyBorder="1" applyAlignment="1">
      <alignment horizontal="center"/>
    </xf>
    <xf numFmtId="0" fontId="131" fillId="32" borderId="1" xfId="0" applyFont="1" applyFill="1" applyBorder="1" applyAlignment="1">
      <alignment horizontal="center" wrapText="1"/>
    </xf>
    <xf numFmtId="174" fontId="131" fillId="32" borderId="1" xfId="0" applyNumberFormat="1" applyFont="1" applyFill="1" applyBorder="1" applyAlignment="1">
      <alignment horizontal="center"/>
    </xf>
    <xf numFmtId="0" fontId="80" fillId="0" borderId="1" xfId="0" applyFont="1" applyBorder="1" applyAlignment="1">
      <alignment horizontal="center" vertical="center"/>
    </xf>
    <xf numFmtId="0" fontId="80" fillId="0" borderId="1" xfId="0" applyFont="1" applyBorder="1" applyAlignment="1">
      <alignment horizontal="center" vertical="center" wrapText="1"/>
    </xf>
    <xf numFmtId="174" fontId="80" fillId="0" borderId="1" xfId="0" applyNumberFormat="1" applyFont="1" applyBorder="1" applyAlignment="1">
      <alignment horizontal="center" vertical="center"/>
    </xf>
    <xf numFmtId="0" fontId="80" fillId="0" borderId="1" xfId="0" applyFont="1" applyBorder="1" applyAlignment="1">
      <alignment wrapText="1"/>
    </xf>
    <xf numFmtId="0" fontId="132" fillId="31" borderId="1" xfId="0" applyFont="1" applyFill="1" applyBorder="1" applyAlignment="1">
      <alignment horizontal="center" vertical="center"/>
    </xf>
    <xf numFmtId="0" fontId="132" fillId="31" borderId="1" xfId="0" applyFont="1" applyFill="1" applyBorder="1" applyAlignment="1">
      <alignment wrapText="1"/>
    </xf>
    <xf numFmtId="174" fontId="132" fillId="31" borderId="1" xfId="0" applyNumberFormat="1" applyFont="1" applyFill="1" applyBorder="1" applyAlignment="1">
      <alignment horizontal="center" vertical="center"/>
    </xf>
    <xf numFmtId="0" fontId="80" fillId="31" borderId="1" xfId="0" applyFont="1" applyFill="1" applyBorder="1" applyAlignment="1">
      <alignment horizontal="center" vertical="center" wrapText="1"/>
    </xf>
    <xf numFmtId="0" fontId="80" fillId="31" borderId="0" xfId="0" applyFont="1" applyFill="1" applyAlignment="1">
      <alignment vertical="center"/>
    </xf>
    <xf numFmtId="0" fontId="80" fillId="31" borderId="0" xfId="0" applyFont="1" applyFill="1"/>
    <xf numFmtId="0" fontId="132" fillId="0" borderId="1" xfId="0" applyFont="1" applyBorder="1" applyAlignment="1">
      <alignment horizontal="center" vertical="center"/>
    </xf>
    <xf numFmtId="0" fontId="132" fillId="0" borderId="1" xfId="0" applyFont="1" applyBorder="1" applyAlignment="1">
      <alignment wrapText="1"/>
    </xf>
    <xf numFmtId="174" fontId="132" fillId="0" borderId="1" xfId="0" applyNumberFormat="1" applyFont="1" applyBorder="1" applyAlignment="1">
      <alignment horizontal="center" vertical="center"/>
    </xf>
    <xf numFmtId="0" fontId="80" fillId="0" borderId="0" xfId="0" applyFont="1" applyAlignment="1">
      <alignment wrapText="1"/>
    </xf>
    <xf numFmtId="174" fontId="80" fillId="0" borderId="0" xfId="0" applyNumberFormat="1" applyFont="1"/>
    <xf numFmtId="37" fontId="50" fillId="0" borderId="0" xfId="0" applyNumberFormat="1" applyFont="1" applyAlignment="1">
      <alignment horizontal="right" vertical="center" wrapText="1"/>
    </xf>
    <xf numFmtId="37" fontId="50" fillId="0" borderId="0" xfId="0" applyNumberFormat="1" applyFont="1" applyAlignment="1">
      <alignment vertical="center" wrapText="1"/>
    </xf>
    <xf numFmtId="37" fontId="50" fillId="0" borderId="0" xfId="0" applyNumberFormat="1" applyFont="1" applyAlignment="1">
      <alignment horizontal="center" vertical="center" wrapText="1"/>
    </xf>
    <xf numFmtId="0" fontId="50" fillId="0" borderId="0" xfId="0" applyFont="1" applyAlignment="1">
      <alignment horizontal="center" vertical="center" wrapText="1"/>
    </xf>
    <xf numFmtId="0" fontId="50" fillId="0" borderId="0" xfId="0" applyFont="1" applyAlignment="1">
      <alignment vertical="center" wrapText="1"/>
    </xf>
    <xf numFmtId="37" fontId="51" fillId="0" borderId="0" xfId="0" applyNumberFormat="1" applyFont="1" applyAlignment="1">
      <alignment vertical="center"/>
    </xf>
    <xf numFmtId="37" fontId="51" fillId="0" borderId="0" xfId="0" applyNumberFormat="1" applyFont="1" applyAlignment="1">
      <alignment vertical="center" wrapText="1"/>
    </xf>
    <xf numFmtId="15" fontId="50" fillId="0" borderId="0" xfId="0" applyNumberFormat="1" applyFont="1" applyAlignment="1">
      <alignment vertical="center" wrapText="1"/>
    </xf>
    <xf numFmtId="0" fontId="50" fillId="0" borderId="0" xfId="0" applyFont="1" applyAlignment="1">
      <alignment vertical="center"/>
    </xf>
    <xf numFmtId="15" fontId="50" fillId="0" borderId="0" xfId="0" applyNumberFormat="1" applyFont="1" applyAlignment="1">
      <alignment horizontal="center" vertical="center" wrapText="1"/>
    </xf>
    <xf numFmtId="0" fontId="133" fillId="0" borderId="0" xfId="0" applyFont="1" applyAlignment="1">
      <alignment vertical="center" wrapText="1"/>
    </xf>
    <xf numFmtId="0" fontId="133" fillId="0" borderId="0" xfId="0" applyFont="1" applyAlignment="1">
      <alignment horizontal="center" vertical="center" wrapText="1"/>
    </xf>
    <xf numFmtId="0" fontId="50" fillId="0" borderId="0" xfId="0" applyFont="1" applyAlignment="1">
      <alignment horizontal="right" vertical="center" wrapText="1"/>
    </xf>
    <xf numFmtId="176" fontId="50" fillId="0" borderId="0" xfId="4" applyNumberFormat="1" applyFont="1" applyFill="1" applyBorder="1" applyAlignment="1">
      <alignment horizontal="center" vertical="center" wrapText="1"/>
    </xf>
    <xf numFmtId="175" fontId="50" fillId="0" borderId="0" xfId="9" applyNumberFormat="1" applyFont="1" applyFill="1" applyBorder="1" applyAlignment="1">
      <alignment horizontal="center" vertical="center" wrapText="1"/>
    </xf>
    <xf numFmtId="175" fontId="50" fillId="0" borderId="0" xfId="0" applyNumberFormat="1" applyFont="1" applyAlignment="1">
      <alignment vertical="center" wrapText="1"/>
    </xf>
    <xf numFmtId="0" fontId="51" fillId="33" borderId="7" xfId="4" applyNumberFormat="1" applyFont="1" applyFill="1" applyBorder="1" applyAlignment="1">
      <alignment horizontal="center" vertical="center" wrapText="1"/>
    </xf>
    <xf numFmtId="0" fontId="134" fillId="33" borderId="7" xfId="4" applyNumberFormat="1" applyFont="1" applyFill="1" applyBorder="1" applyAlignment="1">
      <alignment horizontal="center" vertical="center"/>
    </xf>
    <xf numFmtId="0" fontId="134" fillId="33" borderId="7" xfId="4" applyNumberFormat="1" applyFont="1" applyFill="1" applyBorder="1" applyAlignment="1">
      <alignment horizontal="center" vertical="center" wrapText="1"/>
    </xf>
    <xf numFmtId="0" fontId="51" fillId="33" borderId="12" xfId="4" applyNumberFormat="1" applyFont="1" applyFill="1" applyBorder="1" applyAlignment="1">
      <alignment horizontal="center" vertical="center" wrapText="1"/>
    </xf>
    <xf numFmtId="0" fontId="51" fillId="34" borderId="70" xfId="0" applyFont="1" applyFill="1" applyBorder="1" applyAlignment="1">
      <alignment vertical="center" wrapText="1"/>
    </xf>
    <xf numFmtId="0" fontId="51" fillId="0" borderId="0" xfId="0" applyFont="1" applyAlignment="1">
      <alignment horizontal="center" vertical="center" wrapText="1"/>
    </xf>
    <xf numFmtId="0" fontId="50" fillId="0" borderId="1" xfId="4" applyNumberFormat="1" applyFont="1" applyFill="1" applyBorder="1" applyAlignment="1">
      <alignment horizontal="center" vertical="center" wrapText="1"/>
    </xf>
    <xf numFmtId="0" fontId="50" fillId="0" borderId="1" xfId="0" applyFont="1" applyBorder="1" applyAlignment="1">
      <alignment vertical="center" wrapText="1"/>
    </xf>
    <xf numFmtId="0" fontId="50" fillId="0" borderId="1" xfId="14" applyFont="1" applyBorder="1" applyAlignment="1">
      <alignment horizontal="center" vertical="center"/>
    </xf>
    <xf numFmtId="0" fontId="50" fillId="0" borderId="1" xfId="0" applyFont="1" applyBorder="1" applyAlignment="1">
      <alignment horizontal="justify" vertical="center"/>
    </xf>
    <xf numFmtId="0" fontId="50" fillId="0" borderId="1" xfId="0" applyFont="1" applyBorder="1" applyAlignment="1">
      <alignment horizontal="center" vertical="center" wrapText="1"/>
    </xf>
    <xf numFmtId="1" fontId="50" fillId="0" borderId="1" xfId="0" applyNumberFormat="1" applyFont="1" applyBorder="1" applyAlignment="1">
      <alignment horizontal="center" vertical="center" wrapText="1"/>
    </xf>
    <xf numFmtId="0" fontId="50" fillId="0" borderId="1" xfId="0" applyFont="1" applyBorder="1" applyAlignment="1">
      <alignment horizontal="left" vertical="center" wrapText="1"/>
    </xf>
    <xf numFmtId="175" fontId="50" fillId="0" borderId="1" xfId="9" applyNumberFormat="1" applyFont="1" applyFill="1" applyBorder="1" applyAlignment="1">
      <alignment horizontal="center" vertical="center" wrapText="1"/>
    </xf>
    <xf numFmtId="0" fontId="50" fillId="0" borderId="1" xfId="14" applyFont="1" applyBorder="1" applyAlignment="1">
      <alignment horizontal="center" vertical="center" wrapText="1"/>
    </xf>
    <xf numFmtId="0" fontId="50" fillId="4" borderId="0" xfId="0" applyFont="1" applyFill="1" applyAlignment="1">
      <alignment vertical="center" wrapText="1"/>
    </xf>
    <xf numFmtId="0" fontId="50" fillId="16" borderId="1" xfId="4" applyNumberFormat="1" applyFont="1" applyFill="1" applyBorder="1" applyAlignment="1">
      <alignment horizontal="center" vertical="center" wrapText="1"/>
    </xf>
    <xf numFmtId="0" fontId="50" fillId="16" borderId="1" xfId="0" applyFont="1" applyFill="1" applyBorder="1" applyAlignment="1">
      <alignment vertical="center" wrapText="1"/>
    </xf>
    <xf numFmtId="0" fontId="50" fillId="16" borderId="1" xfId="14" applyFont="1" applyFill="1" applyBorder="1" applyAlignment="1">
      <alignment horizontal="center" vertical="center"/>
    </xf>
    <xf numFmtId="0" fontId="50" fillId="16" borderId="1" xfId="0" applyFont="1" applyFill="1" applyBorder="1" applyAlignment="1">
      <alignment horizontal="justify" vertical="center"/>
    </xf>
    <xf numFmtId="0" fontId="50" fillId="16" borderId="1" xfId="0" applyFont="1" applyFill="1" applyBorder="1" applyAlignment="1">
      <alignment horizontal="center" vertical="center" wrapText="1"/>
    </xf>
    <xf numFmtId="1" fontId="50" fillId="16" borderId="1" xfId="0" applyNumberFormat="1" applyFont="1" applyFill="1" applyBorder="1" applyAlignment="1">
      <alignment horizontal="center" vertical="center" wrapText="1"/>
    </xf>
    <xf numFmtId="0" fontId="50" fillId="16" borderId="1" xfId="0" applyFont="1" applyFill="1" applyBorder="1" applyAlignment="1">
      <alignment horizontal="left" vertical="center" wrapText="1"/>
    </xf>
    <xf numFmtId="175" fontId="50" fillId="16" borderId="1" xfId="9" applyNumberFormat="1" applyFont="1" applyFill="1" applyBorder="1" applyAlignment="1">
      <alignment horizontal="center" vertical="center" wrapText="1"/>
    </xf>
    <xf numFmtId="0" fontId="50" fillId="16" borderId="1" xfId="14" applyFont="1" applyFill="1" applyBorder="1" applyAlignment="1">
      <alignment horizontal="center" vertical="center" wrapText="1"/>
    </xf>
    <xf numFmtId="0" fontId="50" fillId="0" borderId="1" xfId="0" applyFont="1" applyBorder="1" applyAlignment="1">
      <alignment horizontal="center" vertical="center"/>
    </xf>
    <xf numFmtId="0" fontId="50" fillId="16" borderId="1" xfId="0" applyFont="1" applyFill="1" applyBorder="1" applyAlignment="1">
      <alignment horizontal="center" vertical="center"/>
    </xf>
    <xf numFmtId="0" fontId="50" fillId="7" borderId="0" xfId="0" applyFont="1" applyFill="1" applyAlignment="1">
      <alignment vertical="center" wrapText="1"/>
    </xf>
    <xf numFmtId="0" fontId="50" fillId="0" borderId="1" xfId="0" applyFont="1" applyBorder="1" applyAlignment="1">
      <alignment horizontal="left" vertical="center"/>
    </xf>
    <xf numFmtId="0" fontId="50" fillId="16" borderId="1" xfId="0" applyFont="1" applyFill="1" applyBorder="1" applyAlignment="1">
      <alignment horizontal="left" vertical="center"/>
    </xf>
    <xf numFmtId="0" fontId="50" fillId="0" borderId="1" xfId="0" applyFont="1" applyBorder="1" applyAlignment="1">
      <alignment horizontal="justify" vertical="center" wrapText="1"/>
    </xf>
    <xf numFmtId="0" fontId="50" fillId="0" borderId="1" xfId="14" applyFont="1" applyBorder="1" applyAlignment="1">
      <alignment horizontal="left" vertical="center" wrapText="1"/>
    </xf>
    <xf numFmtId="0" fontId="50" fillId="16" borderId="1" xfId="14" applyFont="1" applyFill="1" applyBorder="1" applyAlignment="1">
      <alignment vertical="center" wrapText="1"/>
    </xf>
    <xf numFmtId="0" fontId="50" fillId="16" borderId="1" xfId="4" applyNumberFormat="1" applyFont="1" applyFill="1" applyBorder="1" applyAlignment="1">
      <alignment horizontal="center" vertical="center"/>
    </xf>
    <xf numFmtId="14" fontId="50" fillId="16" borderId="1" xfId="0" applyNumberFormat="1" applyFont="1" applyFill="1" applyBorder="1" applyAlignment="1">
      <alignment horizontal="center" vertical="center" wrapText="1"/>
    </xf>
    <xf numFmtId="1" fontId="50" fillId="16" borderId="1" xfId="0" applyNumberFormat="1" applyFont="1" applyFill="1" applyBorder="1" applyAlignment="1">
      <alignment horizontal="left" vertical="center" wrapText="1"/>
    </xf>
    <xf numFmtId="0" fontId="50" fillId="16" borderId="1" xfId="7" applyNumberFormat="1" applyFont="1" applyFill="1" applyBorder="1" applyAlignment="1">
      <alignment horizontal="center" vertical="center" wrapText="1"/>
    </xf>
    <xf numFmtId="0" fontId="133" fillId="16" borderId="1" xfId="0" applyFont="1" applyFill="1" applyBorder="1" applyAlignment="1">
      <alignment horizontal="justify" vertical="center" wrapText="1"/>
    </xf>
    <xf numFmtId="0" fontId="50" fillId="0" borderId="1" xfId="14" applyFont="1" applyBorder="1" applyAlignment="1">
      <alignment vertical="center" wrapText="1"/>
    </xf>
    <xf numFmtId="0" fontId="50" fillId="0" borderId="1" xfId="4" applyNumberFormat="1" applyFont="1" applyFill="1" applyBorder="1" applyAlignment="1">
      <alignment horizontal="center" vertical="center"/>
    </xf>
    <xf numFmtId="14" fontId="50" fillId="0" borderId="1" xfId="0" applyNumberFormat="1" applyFont="1" applyBorder="1" applyAlignment="1">
      <alignment horizontal="center" vertical="center" wrapText="1"/>
    </xf>
    <xf numFmtId="1" fontId="50" fillId="0" borderId="1" xfId="0" applyNumberFormat="1" applyFont="1" applyBorder="1" applyAlignment="1">
      <alignment horizontal="left" vertical="center" wrapText="1"/>
    </xf>
    <xf numFmtId="0" fontId="50" fillId="0" borderId="1" xfId="7" applyNumberFormat="1" applyFont="1" applyFill="1" applyBorder="1" applyAlignment="1">
      <alignment horizontal="center" vertical="center" wrapText="1"/>
    </xf>
    <xf numFmtId="0" fontId="133" fillId="0" borderId="1" xfId="0" applyFont="1" applyBorder="1" applyAlignment="1">
      <alignment horizontal="justify" vertical="center" wrapText="1"/>
    </xf>
    <xf numFmtId="0" fontId="50" fillId="0" borderId="1" xfId="4" applyNumberFormat="1" applyFont="1" applyFill="1" applyBorder="1" applyAlignment="1">
      <alignment horizontal="left" vertical="center"/>
    </xf>
    <xf numFmtId="0" fontId="50" fillId="0" borderId="1" xfId="4" applyNumberFormat="1" applyFont="1" applyFill="1" applyBorder="1" applyAlignment="1">
      <alignment horizontal="justify" vertical="center"/>
    </xf>
    <xf numFmtId="0" fontId="133" fillId="16" borderId="1" xfId="0" applyFont="1" applyFill="1" applyBorder="1" applyAlignment="1">
      <alignment horizontal="justify" vertical="top"/>
    </xf>
    <xf numFmtId="1" fontId="133" fillId="16" borderId="1" xfId="0" applyNumberFormat="1" applyFont="1" applyFill="1" applyBorder="1" applyAlignment="1">
      <alignment horizontal="center" vertical="center" wrapText="1"/>
    </xf>
    <xf numFmtId="0" fontId="133" fillId="16" borderId="1" xfId="0" applyFont="1" applyFill="1" applyBorder="1" applyAlignment="1">
      <alignment horizontal="left" vertical="top" wrapText="1"/>
    </xf>
    <xf numFmtId="0" fontId="133" fillId="16" borderId="1" xfId="0" applyFont="1" applyFill="1" applyBorder="1" applyAlignment="1">
      <alignment horizontal="justify" vertical="top" wrapText="1"/>
    </xf>
    <xf numFmtId="0" fontId="50" fillId="0" borderId="0" xfId="0" applyFont="1" applyAlignment="1">
      <alignment horizontal="left" vertical="center" wrapText="1"/>
    </xf>
    <xf numFmtId="0" fontId="133" fillId="0" borderId="1" xfId="0" applyFont="1" applyBorder="1" applyAlignment="1">
      <alignment horizontal="justify" vertical="top"/>
    </xf>
    <xf numFmtId="1" fontId="133" fillId="0" borderId="1" xfId="0" applyNumberFormat="1" applyFont="1" applyBorder="1" applyAlignment="1">
      <alignment horizontal="center" vertical="center" wrapText="1"/>
    </xf>
    <xf numFmtId="0" fontId="133" fillId="0" borderId="1" xfId="0" applyFont="1" applyBorder="1" applyAlignment="1">
      <alignment horizontal="left" vertical="top" wrapText="1"/>
    </xf>
    <xf numFmtId="0" fontId="133" fillId="0" borderId="1" xfId="0" applyFont="1" applyBorder="1" applyAlignment="1">
      <alignment horizontal="justify" vertical="top" wrapText="1"/>
    </xf>
    <xf numFmtId="0" fontId="133" fillId="0" borderId="1" xfId="7" applyNumberFormat="1" applyFont="1" applyFill="1" applyBorder="1" applyAlignment="1">
      <alignment horizontal="center" vertical="center"/>
    </xf>
    <xf numFmtId="1" fontId="133" fillId="0" borderId="1" xfId="0" applyNumberFormat="1" applyFont="1" applyBorder="1" applyAlignment="1">
      <alignment horizontal="justify" vertical="center"/>
    </xf>
    <xf numFmtId="0" fontId="133" fillId="0" borderId="1" xfId="7" applyNumberFormat="1" applyFont="1" applyFill="1" applyBorder="1" applyAlignment="1">
      <alignment horizontal="center" vertical="center" wrapText="1"/>
    </xf>
    <xf numFmtId="0" fontId="133" fillId="0" borderId="1" xfId="0" applyFont="1" applyBorder="1" applyAlignment="1">
      <alignment horizontal="left" vertical="center" wrapText="1"/>
    </xf>
    <xf numFmtId="37" fontId="50" fillId="0" borderId="1" xfId="0" applyNumberFormat="1" applyFont="1" applyBorder="1" applyAlignment="1">
      <alignment vertical="center" wrapText="1"/>
    </xf>
    <xf numFmtId="177" fontId="50" fillId="0" borderId="1" xfId="0" applyNumberFormat="1" applyFont="1" applyBorder="1" applyAlignment="1">
      <alignment horizontal="left" vertical="center" wrapText="1"/>
    </xf>
    <xf numFmtId="0" fontId="133" fillId="16" borderId="1" xfId="0" applyFont="1" applyFill="1" applyBorder="1" applyAlignment="1">
      <alignment horizontal="justify" vertical="center"/>
    </xf>
    <xf numFmtId="178" fontId="133" fillId="16" borderId="1" xfId="0" applyNumberFormat="1" applyFont="1" applyFill="1" applyBorder="1" applyAlignment="1">
      <alignment horizontal="center" vertical="center" wrapText="1"/>
    </xf>
    <xf numFmtId="0" fontId="135" fillId="16" borderId="1" xfId="0" applyFont="1" applyFill="1" applyBorder="1" applyAlignment="1">
      <alignment horizontal="left" vertical="center" wrapText="1"/>
    </xf>
    <xf numFmtId="0" fontId="133" fillId="16" borderId="1" xfId="7" applyNumberFormat="1" applyFont="1" applyFill="1" applyBorder="1" applyAlignment="1">
      <alignment horizontal="center" vertical="center"/>
    </xf>
    <xf numFmtId="177" fontId="50" fillId="16" borderId="1" xfId="0" applyNumberFormat="1" applyFont="1" applyFill="1" applyBorder="1" applyAlignment="1">
      <alignment horizontal="left" vertical="center" wrapText="1"/>
    </xf>
    <xf numFmtId="0" fontId="50" fillId="16" borderId="1" xfId="0" applyFont="1" applyFill="1" applyBorder="1" applyAlignment="1">
      <alignment horizontal="left" vertical="top" wrapText="1"/>
    </xf>
    <xf numFmtId="0" fontId="133" fillId="0" borderId="1" xfId="0" applyFont="1" applyBorder="1" applyAlignment="1">
      <alignment horizontal="justify" vertical="center"/>
    </xf>
    <xf numFmtId="0" fontId="133" fillId="0" borderId="1" xfId="0" applyFont="1" applyBorder="1" applyAlignment="1">
      <alignment vertical="center" wrapText="1"/>
    </xf>
    <xf numFmtId="0" fontId="50" fillId="0" borderId="1" xfId="0" applyFont="1" applyBorder="1" applyAlignment="1">
      <alignment horizontal="left" vertical="top" wrapText="1"/>
    </xf>
    <xf numFmtId="175" fontId="50" fillId="0" borderId="1" xfId="9" applyNumberFormat="1" applyFont="1" applyBorder="1" applyAlignment="1">
      <alignment vertical="center" wrapText="1"/>
    </xf>
    <xf numFmtId="14" fontId="133" fillId="16" borderId="1" xfId="0" applyNumberFormat="1" applyFont="1" applyFill="1" applyBorder="1" applyAlignment="1">
      <alignment horizontal="center" vertical="center" wrapText="1"/>
    </xf>
    <xf numFmtId="177" fontId="133" fillId="16" borderId="1" xfId="0" applyNumberFormat="1" applyFont="1" applyFill="1" applyBorder="1" applyAlignment="1">
      <alignment horizontal="center" vertical="center" wrapText="1"/>
    </xf>
    <xf numFmtId="0" fontId="50" fillId="16" borderId="1" xfId="0" applyFont="1" applyFill="1" applyBorder="1" applyAlignment="1">
      <alignment horizontal="center" vertical="top" wrapText="1"/>
    </xf>
    <xf numFmtId="14" fontId="133" fillId="0" borderId="1" xfId="0" applyNumberFormat="1" applyFont="1" applyBorder="1" applyAlignment="1">
      <alignment horizontal="center" vertical="center" wrapText="1"/>
    </xf>
    <xf numFmtId="177" fontId="133" fillId="0" borderId="1" xfId="0" applyNumberFormat="1" applyFont="1" applyBorder="1" applyAlignment="1">
      <alignment horizontal="center" vertical="center" wrapText="1"/>
    </xf>
    <xf numFmtId="0" fontId="50" fillId="16" borderId="1" xfId="0" applyFont="1" applyFill="1" applyBorder="1" applyAlignment="1">
      <alignment horizontal="justify" vertical="center" wrapText="1"/>
    </xf>
    <xf numFmtId="0" fontId="50" fillId="0" borderId="1" xfId="0" applyFont="1" applyBorder="1" applyAlignment="1">
      <alignment horizontal="justify" vertical="top"/>
    </xf>
    <xf numFmtId="49" fontId="50" fillId="0" borderId="1" xfId="0" applyNumberFormat="1" applyFont="1" applyBorder="1" applyAlignment="1">
      <alignment horizontal="left" vertical="center" wrapText="1"/>
    </xf>
    <xf numFmtId="0" fontId="50" fillId="16" borderId="1" xfId="4" applyNumberFormat="1" applyFont="1" applyFill="1" applyBorder="1" applyAlignment="1">
      <alignment horizontal="left" vertical="center"/>
    </xf>
    <xf numFmtId="0" fontId="50" fillId="16" borderId="1" xfId="0" applyFont="1" applyFill="1" applyBorder="1" applyAlignment="1">
      <alignment horizontal="justify" vertical="top"/>
    </xf>
    <xf numFmtId="49" fontId="50" fillId="16" borderId="1" xfId="0" applyNumberFormat="1" applyFont="1" applyFill="1" applyBorder="1" applyAlignment="1">
      <alignment horizontal="left" vertical="center" wrapText="1"/>
    </xf>
    <xf numFmtId="0" fontId="50" fillId="0" borderId="1" xfId="7" applyNumberFormat="1" applyFont="1" applyFill="1" applyBorder="1" applyAlignment="1">
      <alignment horizontal="left" vertical="center"/>
    </xf>
    <xf numFmtId="37" fontId="50" fillId="0" borderId="1" xfId="0" applyNumberFormat="1" applyFont="1" applyBorder="1" applyAlignment="1">
      <alignment horizontal="left" vertical="center"/>
    </xf>
    <xf numFmtId="0" fontId="50" fillId="0" borderId="1" xfId="14" applyFont="1" applyBorder="1" applyAlignment="1">
      <alignment horizontal="left" vertical="center"/>
    </xf>
    <xf numFmtId="175" fontId="50" fillId="16" borderId="1" xfId="9" applyNumberFormat="1" applyFont="1" applyFill="1" applyBorder="1" applyAlignment="1">
      <alignment horizontal="left" vertical="center" wrapText="1"/>
    </xf>
    <xf numFmtId="175" fontId="50" fillId="0" borderId="1" xfId="9" applyNumberFormat="1" applyFont="1" applyFill="1" applyBorder="1" applyAlignment="1">
      <alignment horizontal="left" vertical="center" wrapText="1"/>
    </xf>
    <xf numFmtId="0" fontId="50" fillId="0" borderId="1" xfId="4" applyNumberFormat="1" applyFont="1" applyFill="1" applyBorder="1" applyAlignment="1">
      <alignment vertical="center"/>
    </xf>
    <xf numFmtId="0" fontId="50" fillId="0" borderId="1" xfId="7" applyNumberFormat="1" applyFont="1" applyFill="1" applyBorder="1" applyAlignment="1">
      <alignment horizontal="center" wrapText="1"/>
    </xf>
    <xf numFmtId="0" fontId="133" fillId="0" borderId="1" xfId="0" applyFont="1" applyBorder="1" applyAlignment="1">
      <alignment horizontal="center" vertical="center" wrapText="1"/>
    </xf>
    <xf numFmtId="49" fontId="50" fillId="0" borderId="1" xfId="0" applyNumberFormat="1" applyFont="1" applyBorder="1" applyAlignment="1">
      <alignment horizontal="center" vertical="center" wrapText="1"/>
    </xf>
    <xf numFmtId="0" fontId="133" fillId="16" borderId="1" xfId="0" applyFont="1" applyFill="1" applyBorder="1" applyAlignment="1">
      <alignment horizontal="center" vertical="center" wrapText="1"/>
    </xf>
    <xf numFmtId="0" fontId="133" fillId="0" borderId="1" xfId="0" applyFont="1" applyBorder="1" applyAlignment="1">
      <alignment horizontal="left" vertical="center"/>
    </xf>
    <xf numFmtId="43" fontId="133" fillId="0" borderId="1" xfId="4" applyFont="1" applyBorder="1" applyAlignment="1">
      <alignment horizontal="left" vertical="center" wrapText="1"/>
    </xf>
    <xf numFmtId="175" fontId="133" fillId="0" borderId="1" xfId="9" applyNumberFormat="1" applyFont="1" applyBorder="1" applyAlignment="1">
      <alignment horizontal="center" vertical="center" wrapText="1"/>
    </xf>
    <xf numFmtId="0" fontId="133" fillId="0" borderId="1" xfId="0" applyFont="1" applyBorder="1" applyAlignment="1">
      <alignment wrapText="1"/>
    </xf>
    <xf numFmtId="0" fontId="133" fillId="0" borderId="0" xfId="0" applyFont="1" applyAlignment="1">
      <alignment wrapText="1"/>
    </xf>
    <xf numFmtId="43" fontId="133" fillId="0" borderId="1" xfId="4" applyFont="1" applyFill="1" applyBorder="1" applyAlignment="1">
      <alignment horizontal="left" vertical="center" wrapText="1"/>
    </xf>
    <xf numFmtId="175" fontId="133" fillId="0" borderId="1" xfId="9" applyNumberFormat="1" applyFont="1" applyFill="1" applyBorder="1" applyAlignment="1">
      <alignment horizontal="center" vertical="center" wrapText="1"/>
    </xf>
    <xf numFmtId="0" fontId="133" fillId="4" borderId="0" xfId="0" applyFont="1" applyFill="1" applyAlignment="1">
      <alignment wrapText="1"/>
    </xf>
    <xf numFmtId="0" fontId="133" fillId="0" borderId="1" xfId="0" applyFont="1" applyBorder="1" applyAlignment="1">
      <alignment horizontal="center" vertical="center"/>
    </xf>
    <xf numFmtId="0" fontId="133" fillId="0" borderId="1" xfId="0" applyFont="1" applyBorder="1" applyAlignment="1">
      <alignment vertical="center"/>
    </xf>
    <xf numFmtId="43" fontId="133" fillId="0" borderId="1" xfId="4" applyFont="1" applyFill="1" applyBorder="1" applyAlignment="1">
      <alignment horizontal="center" vertical="center" wrapText="1"/>
    </xf>
    <xf numFmtId="0" fontId="80" fillId="0" borderId="0" xfId="0" applyFont="1" applyAlignment="1">
      <alignment vertical="center" wrapText="1"/>
    </xf>
    <xf numFmtId="0" fontId="133" fillId="16" borderId="1" xfId="4" applyNumberFormat="1" applyFont="1" applyFill="1" applyBorder="1" applyAlignment="1">
      <alignment horizontal="center" vertical="center" wrapText="1"/>
    </xf>
    <xf numFmtId="0" fontId="133" fillId="16" borderId="1" xfId="14" applyFont="1" applyFill="1" applyBorder="1" applyAlignment="1">
      <alignment vertical="center" wrapText="1"/>
    </xf>
    <xf numFmtId="177" fontId="133" fillId="16" borderId="1" xfId="0" applyNumberFormat="1" applyFont="1" applyFill="1" applyBorder="1" applyAlignment="1">
      <alignment horizontal="left" vertical="center" wrapText="1"/>
    </xf>
    <xf numFmtId="0" fontId="133" fillId="16" borderId="1" xfId="7" applyNumberFormat="1" applyFont="1" applyFill="1" applyBorder="1" applyAlignment="1">
      <alignment horizontal="center" vertical="center" wrapText="1"/>
    </xf>
    <xf numFmtId="175" fontId="133" fillId="16" borderId="1" xfId="9" applyNumberFormat="1" applyFont="1" applyFill="1" applyBorder="1" applyAlignment="1">
      <alignment horizontal="center" vertical="center" wrapText="1"/>
    </xf>
    <xf numFmtId="37" fontId="133" fillId="16" borderId="1" xfId="0" applyNumberFormat="1" applyFont="1" applyFill="1" applyBorder="1" applyAlignment="1">
      <alignment vertical="center" wrapText="1"/>
    </xf>
    <xf numFmtId="0" fontId="133" fillId="16" borderId="1" xfId="0" applyFont="1" applyFill="1" applyBorder="1" applyAlignment="1">
      <alignment horizontal="center" wrapText="1"/>
    </xf>
    <xf numFmtId="1" fontId="133" fillId="16" borderId="1" xfId="0" applyNumberFormat="1" applyFont="1" applyFill="1" applyBorder="1" applyAlignment="1">
      <alignment horizontal="left" vertical="center" wrapText="1"/>
    </xf>
    <xf numFmtId="0" fontId="133" fillId="16" borderId="1" xfId="0" applyFont="1" applyFill="1" applyBorder="1" applyAlignment="1">
      <alignment horizontal="left" vertical="center" wrapText="1"/>
    </xf>
    <xf numFmtId="14" fontId="80" fillId="16" borderId="1" xfId="14" applyNumberFormat="1" applyFont="1" applyFill="1" applyBorder="1" applyAlignment="1">
      <alignment horizontal="center" vertical="center" wrapText="1"/>
    </xf>
    <xf numFmtId="0" fontId="133" fillId="0" borderId="1" xfId="4" applyNumberFormat="1" applyFont="1" applyFill="1" applyBorder="1" applyAlignment="1">
      <alignment horizontal="center" vertical="center" wrapText="1"/>
    </xf>
    <xf numFmtId="0" fontId="133" fillId="0" borderId="1" xfId="4" applyNumberFormat="1" applyFont="1" applyFill="1" applyBorder="1" applyAlignment="1">
      <alignment horizontal="left" vertical="center"/>
    </xf>
    <xf numFmtId="42" fontId="133" fillId="0" borderId="1" xfId="10" applyFont="1" applyFill="1" applyBorder="1" applyAlignment="1">
      <alignment horizontal="center" vertical="center" wrapText="1"/>
    </xf>
    <xf numFmtId="0" fontId="133" fillId="0" borderId="0" xfId="4" applyNumberFormat="1" applyFont="1" applyFill="1" applyBorder="1" applyAlignment="1">
      <alignment horizontal="center" vertical="center" wrapText="1"/>
    </xf>
    <xf numFmtId="0" fontId="136" fillId="0" borderId="1" xfId="0" applyFont="1" applyBorder="1" applyAlignment="1">
      <alignment horizontal="center" vertical="center" wrapText="1"/>
    </xf>
    <xf numFmtId="0" fontId="133" fillId="0" borderId="0" xfId="0" applyFont="1" applyAlignment="1">
      <alignment vertical="center"/>
    </xf>
    <xf numFmtId="0" fontId="133" fillId="0" borderId="0" xfId="0" applyFont="1" applyAlignment="1">
      <alignment horizontal="center" wrapText="1"/>
    </xf>
    <xf numFmtId="175" fontId="133" fillId="0" borderId="0" xfId="9" applyNumberFormat="1" applyFont="1" applyFill="1" applyAlignment="1">
      <alignment wrapText="1"/>
    </xf>
    <xf numFmtId="3" fontId="133" fillId="0" borderId="0" xfId="0" applyNumberFormat="1" applyFont="1" applyAlignment="1">
      <alignment wrapText="1"/>
    </xf>
    <xf numFmtId="0" fontId="50" fillId="4" borderId="0" xfId="0" applyFont="1" applyFill="1" applyAlignment="1">
      <alignment horizontal="center" vertical="center" wrapText="1"/>
    </xf>
    <xf numFmtId="0" fontId="50" fillId="7" borderId="1" xfId="4" applyNumberFormat="1" applyFont="1" applyFill="1" applyBorder="1" applyAlignment="1">
      <alignment horizontal="center" vertical="center" wrapText="1"/>
    </xf>
    <xf numFmtId="0" fontId="50" fillId="7" borderId="1" xfId="0" applyFont="1" applyFill="1" applyBorder="1" applyAlignment="1">
      <alignment horizontal="left" vertical="center" wrapText="1"/>
    </xf>
    <xf numFmtId="0" fontId="50" fillId="7" borderId="1" xfId="0" applyFont="1" applyFill="1" applyBorder="1" applyAlignment="1">
      <alignment horizontal="center" vertical="center"/>
    </xf>
    <xf numFmtId="0" fontId="50" fillId="7" borderId="1" xfId="0" applyFont="1" applyFill="1" applyBorder="1" applyAlignment="1">
      <alignment horizontal="justify" vertical="center"/>
    </xf>
    <xf numFmtId="0" fontId="50" fillId="7" borderId="1" xfId="0" applyFont="1" applyFill="1" applyBorder="1" applyAlignment="1">
      <alignment horizontal="center" vertical="center" wrapText="1"/>
    </xf>
    <xf numFmtId="175" fontId="50" fillId="7" borderId="1" xfId="9" applyNumberFormat="1" applyFont="1" applyFill="1" applyBorder="1" applyAlignment="1">
      <alignment horizontal="center" vertical="center" wrapText="1"/>
    </xf>
    <xf numFmtId="0" fontId="50" fillId="7" borderId="1" xfId="14" applyFont="1" applyFill="1" applyBorder="1" applyAlignment="1">
      <alignment horizontal="center" vertical="center" wrapText="1"/>
    </xf>
    <xf numFmtId="0" fontId="50" fillId="7" borderId="1" xfId="0" applyFont="1" applyFill="1" applyBorder="1" applyAlignment="1">
      <alignment horizontal="left" vertical="center"/>
    </xf>
    <xf numFmtId="0" fontId="50" fillId="7" borderId="1" xfId="14" applyFont="1" applyFill="1" applyBorder="1" applyAlignment="1">
      <alignment vertical="center" wrapText="1"/>
    </xf>
    <xf numFmtId="0" fontId="50" fillId="7" borderId="1" xfId="4" applyNumberFormat="1" applyFont="1" applyFill="1" applyBorder="1" applyAlignment="1">
      <alignment horizontal="left" vertical="center"/>
    </xf>
    <xf numFmtId="14" fontId="50" fillId="7" borderId="1" xfId="0" applyNumberFormat="1" applyFont="1" applyFill="1" applyBorder="1" applyAlignment="1">
      <alignment horizontal="center" vertical="center" wrapText="1"/>
    </xf>
    <xf numFmtId="1" fontId="50" fillId="7" borderId="1" xfId="0" applyNumberFormat="1" applyFont="1" applyFill="1" applyBorder="1" applyAlignment="1">
      <alignment horizontal="left" vertical="center" wrapText="1"/>
    </xf>
    <xf numFmtId="0" fontId="50" fillId="7" borderId="1" xfId="7" applyNumberFormat="1" applyFont="1" applyFill="1" applyBorder="1" applyAlignment="1">
      <alignment horizontal="center" vertical="center" wrapText="1"/>
    </xf>
    <xf numFmtId="0" fontId="133" fillId="7" borderId="1" xfId="0" applyFont="1" applyFill="1" applyBorder="1" applyAlignment="1">
      <alignment horizontal="justify" vertical="center" wrapText="1"/>
    </xf>
    <xf numFmtId="0" fontId="50" fillId="7" borderId="1" xfId="4" applyNumberFormat="1" applyFont="1" applyFill="1" applyBorder="1" applyAlignment="1">
      <alignment horizontal="center" vertical="center"/>
    </xf>
    <xf numFmtId="0" fontId="133" fillId="7" borderId="1" xfId="0" applyFont="1" applyFill="1" applyBorder="1" applyAlignment="1">
      <alignment horizontal="justify" vertical="center"/>
    </xf>
    <xf numFmtId="14" fontId="133" fillId="7" borderId="1" xfId="0" applyNumberFormat="1" applyFont="1" applyFill="1" applyBorder="1" applyAlignment="1">
      <alignment horizontal="center" vertical="center" wrapText="1"/>
    </xf>
    <xf numFmtId="1" fontId="133" fillId="7" borderId="1" xfId="0" applyNumberFormat="1" applyFont="1" applyFill="1" applyBorder="1" applyAlignment="1">
      <alignment horizontal="center" vertical="center" wrapText="1"/>
    </xf>
    <xf numFmtId="0" fontId="50" fillId="7" borderId="1" xfId="0" applyFont="1" applyFill="1" applyBorder="1" applyAlignment="1">
      <alignment horizontal="left" vertical="top" wrapText="1"/>
    </xf>
    <xf numFmtId="0" fontId="133" fillId="7" borderId="1" xfId="0" applyFont="1" applyFill="1" applyBorder="1" applyAlignment="1">
      <alignment horizontal="justify" vertical="top" wrapText="1"/>
    </xf>
    <xf numFmtId="0" fontId="50" fillId="7" borderId="1" xfId="0" applyFont="1" applyFill="1" applyBorder="1" applyAlignment="1">
      <alignment horizontal="justify" vertical="center" wrapText="1"/>
    </xf>
    <xf numFmtId="0" fontId="50" fillId="7" borderId="1" xfId="0" applyFont="1" applyFill="1" applyBorder="1" applyAlignment="1">
      <alignment horizontal="justify" vertical="top"/>
    </xf>
    <xf numFmtId="49" fontId="50" fillId="7" borderId="1" xfId="0" applyNumberFormat="1" applyFont="1" applyFill="1" applyBorder="1" applyAlignment="1">
      <alignment horizontal="left" vertical="center" wrapText="1"/>
    </xf>
    <xf numFmtId="175" fontId="50" fillId="0" borderId="0" xfId="9" applyNumberFormat="1" applyFont="1" applyAlignment="1">
      <alignment horizontal="center" vertical="center" wrapText="1"/>
    </xf>
    <xf numFmtId="175" fontId="51" fillId="0" borderId="0" xfId="9" applyNumberFormat="1" applyFont="1" applyAlignment="1">
      <alignment horizontal="center" vertical="center" wrapText="1"/>
    </xf>
    <xf numFmtId="175" fontId="50" fillId="4" borderId="0" xfId="9" applyNumberFormat="1" applyFont="1" applyFill="1" applyAlignment="1">
      <alignment horizontal="center" vertical="center" wrapText="1"/>
    </xf>
    <xf numFmtId="175" fontId="133" fillId="0" borderId="0" xfId="9" applyNumberFormat="1" applyFont="1" applyAlignment="1">
      <alignment horizontal="center" wrapText="1"/>
    </xf>
    <xf numFmtId="37" fontId="52" fillId="0" borderId="0" xfId="0" applyNumberFormat="1" applyFont="1" applyAlignment="1">
      <alignment vertical="center" wrapText="1"/>
    </xf>
    <xf numFmtId="0" fontId="53" fillId="0" borderId="0" xfId="0" applyFont="1" applyAlignment="1">
      <alignment vertical="center" wrapText="1"/>
    </xf>
    <xf numFmtId="0" fontId="53" fillId="0" borderId="0" xfId="0" applyFont="1" applyAlignment="1">
      <alignment horizontal="center" vertical="center" wrapText="1"/>
    </xf>
    <xf numFmtId="15" fontId="53" fillId="0" borderId="0" xfId="0" applyNumberFormat="1" applyFont="1" applyAlignment="1">
      <alignment vertical="center" wrapText="1"/>
    </xf>
    <xf numFmtId="15" fontId="53" fillId="0" borderId="0" xfId="0" applyNumberFormat="1" applyFont="1" applyAlignment="1">
      <alignment horizontal="center" vertical="center" wrapText="1"/>
    </xf>
    <xf numFmtId="0" fontId="137" fillId="0" borderId="0" xfId="0" applyFont="1" applyAlignment="1">
      <alignment vertical="center" wrapText="1"/>
    </xf>
    <xf numFmtId="0" fontId="137" fillId="0" borderId="0" xfId="0" applyFont="1" applyAlignment="1">
      <alignment horizontal="center" vertical="center" wrapText="1"/>
    </xf>
    <xf numFmtId="0" fontId="53" fillId="0" borderId="0" xfId="0" applyFont="1" applyAlignment="1">
      <alignment horizontal="right" vertical="center" wrapText="1"/>
    </xf>
    <xf numFmtId="176" fontId="52" fillId="0" borderId="0" xfId="4" applyNumberFormat="1" applyFont="1" applyFill="1" applyBorder="1" applyAlignment="1">
      <alignment horizontal="center" vertical="center" wrapText="1"/>
    </xf>
    <xf numFmtId="175" fontId="53" fillId="0" borderId="0" xfId="9" applyNumberFormat="1" applyFont="1" applyFill="1" applyBorder="1" applyAlignment="1">
      <alignment horizontal="center" vertical="center" wrapText="1"/>
    </xf>
    <xf numFmtId="175" fontId="53" fillId="0" borderId="0" xfId="0" applyNumberFormat="1" applyFont="1" applyAlignment="1">
      <alignment vertical="center" wrapText="1"/>
    </xf>
    <xf numFmtId="0" fontId="52" fillId="33" borderId="7" xfId="4" applyNumberFormat="1" applyFont="1" applyFill="1" applyBorder="1" applyAlignment="1">
      <alignment horizontal="center" vertical="center" wrapText="1"/>
    </xf>
    <xf numFmtId="0" fontId="138" fillId="33" borderId="7" xfId="4" applyNumberFormat="1" applyFont="1" applyFill="1" applyBorder="1" applyAlignment="1">
      <alignment horizontal="center" vertical="center" wrapText="1"/>
    </xf>
    <xf numFmtId="0" fontId="52" fillId="33" borderId="12" xfId="4" applyNumberFormat="1" applyFont="1" applyFill="1" applyBorder="1" applyAlignment="1">
      <alignment horizontal="center" vertical="center" wrapText="1"/>
    </xf>
    <xf numFmtId="0" fontId="53" fillId="0" borderId="1" xfId="4" applyNumberFormat="1" applyFont="1" applyFill="1" applyBorder="1" applyAlignment="1">
      <alignment horizontal="center" vertical="center" wrapText="1"/>
    </xf>
    <xf numFmtId="0" fontId="53" fillId="0" borderId="1" xfId="0" applyFont="1" applyBorder="1" applyAlignment="1">
      <alignment vertical="center" wrapText="1"/>
    </xf>
    <xf numFmtId="0" fontId="53" fillId="0" borderId="1" xfId="13" applyFont="1" applyBorder="1" applyAlignment="1">
      <alignment horizontal="center" vertical="center" wrapText="1"/>
    </xf>
    <xf numFmtId="0" fontId="53" fillId="0" borderId="1" xfId="0" applyFont="1" applyBorder="1" applyAlignment="1">
      <alignment horizontal="justify" vertical="center" wrapText="1"/>
    </xf>
    <xf numFmtId="0" fontId="53" fillId="0" borderId="1" xfId="0" applyFont="1" applyBorder="1" applyAlignment="1">
      <alignment horizontal="center" vertical="center" wrapText="1"/>
    </xf>
    <xf numFmtId="1" fontId="53" fillId="0" borderId="1" xfId="0" applyNumberFormat="1" applyFont="1" applyBorder="1" applyAlignment="1">
      <alignment horizontal="center" vertical="center" wrapText="1"/>
    </xf>
    <xf numFmtId="0" fontId="53" fillId="0" borderId="1" xfId="0" applyFont="1" applyBorder="1" applyAlignment="1">
      <alignment horizontal="left" vertical="center" wrapText="1"/>
    </xf>
    <xf numFmtId="175" fontId="53" fillId="0" borderId="1" xfId="9" applyNumberFormat="1" applyFont="1" applyFill="1" applyBorder="1" applyAlignment="1">
      <alignment horizontal="center" vertical="center" wrapText="1"/>
    </xf>
    <xf numFmtId="0" fontId="53" fillId="0" borderId="0" xfId="0" applyFont="1" applyAlignment="1">
      <alignment vertical="center"/>
    </xf>
    <xf numFmtId="0" fontId="53" fillId="0" borderId="1" xfId="0" applyFont="1" applyBorder="1" applyAlignment="1">
      <alignment horizontal="left" vertical="center"/>
    </xf>
    <xf numFmtId="0" fontId="53" fillId="17" borderId="1" xfId="4" applyNumberFormat="1" applyFont="1" applyFill="1" applyBorder="1" applyAlignment="1">
      <alignment horizontal="center" vertical="center" wrapText="1"/>
    </xf>
    <xf numFmtId="0" fontId="53" fillId="17" borderId="1" xfId="0" applyFont="1" applyFill="1" applyBorder="1" applyAlignment="1">
      <alignment horizontal="left" vertical="center" wrapText="1"/>
    </xf>
    <xf numFmtId="0" fontId="53" fillId="17" borderId="1" xfId="0" applyFont="1" applyFill="1" applyBorder="1" applyAlignment="1">
      <alignment horizontal="center" vertical="center" wrapText="1"/>
    </xf>
    <xf numFmtId="0" fontId="53" fillId="17" borderId="1" xfId="0" applyFont="1" applyFill="1" applyBorder="1" applyAlignment="1">
      <alignment horizontal="justify" vertical="center" wrapText="1"/>
    </xf>
    <xf numFmtId="175" fontId="53" fillId="17" borderId="1" xfId="9" applyNumberFormat="1" applyFont="1" applyFill="1" applyBorder="1" applyAlignment="1">
      <alignment horizontal="center" vertical="center" wrapText="1"/>
    </xf>
    <xf numFmtId="0" fontId="53" fillId="17" borderId="1" xfId="13" applyFont="1" applyFill="1" applyBorder="1" applyAlignment="1">
      <alignment horizontal="center" vertical="center" wrapText="1"/>
    </xf>
    <xf numFmtId="175" fontId="137" fillId="17" borderId="1" xfId="9" applyNumberFormat="1" applyFont="1" applyFill="1" applyBorder="1" applyAlignment="1">
      <alignment horizontal="center" vertical="center" wrapText="1"/>
    </xf>
    <xf numFmtId="0" fontId="53" fillId="0" borderId="1" xfId="13" applyFont="1" applyBorder="1" applyAlignment="1">
      <alignment horizontal="left" vertical="center" wrapText="1"/>
    </xf>
    <xf numFmtId="0" fontId="53" fillId="0" borderId="1" xfId="14" applyFont="1" applyBorder="1" applyAlignment="1">
      <alignment vertical="center" wrapText="1"/>
    </xf>
    <xf numFmtId="0" fontId="53" fillId="0" borderId="7" xfId="4" applyNumberFormat="1" applyFont="1" applyFill="1" applyBorder="1" applyAlignment="1">
      <alignment horizontal="center" vertical="center" wrapText="1"/>
    </xf>
    <xf numFmtId="0" fontId="53" fillId="0" borderId="1" xfId="0" applyFont="1" applyBorder="1" applyAlignment="1">
      <alignment horizontal="justify" vertical="center"/>
    </xf>
    <xf numFmtId="14" fontId="53" fillId="0" borderId="1" xfId="0" applyNumberFormat="1" applyFont="1" applyBorder="1" applyAlignment="1">
      <alignment horizontal="center" vertical="center"/>
    </xf>
    <xf numFmtId="1" fontId="53" fillId="0" borderId="1" xfId="0" applyNumberFormat="1" applyFont="1" applyBorder="1" applyAlignment="1">
      <alignment horizontal="left" vertical="center"/>
    </xf>
    <xf numFmtId="0" fontId="53" fillId="0" borderId="1" xfId="7" applyNumberFormat="1" applyFont="1" applyFill="1" applyBorder="1" applyAlignment="1">
      <alignment horizontal="center" vertical="center" wrapText="1"/>
    </xf>
    <xf numFmtId="175" fontId="53" fillId="0" borderId="7" xfId="9" applyNumberFormat="1" applyFont="1" applyFill="1" applyBorder="1" applyAlignment="1">
      <alignment horizontal="center" vertical="center" wrapText="1"/>
    </xf>
    <xf numFmtId="0" fontId="137" fillId="0" borderId="1" xfId="0" applyFont="1" applyBorder="1" applyAlignment="1">
      <alignment horizontal="justify" vertical="center" wrapText="1"/>
    </xf>
    <xf numFmtId="0" fontId="53" fillId="0" borderId="7" xfId="0" applyFont="1" applyBorder="1" applyAlignment="1">
      <alignment horizontal="justify" vertical="center"/>
    </xf>
    <xf numFmtId="0" fontId="53" fillId="0" borderId="7" xfId="0" applyFont="1" applyBorder="1" applyAlignment="1">
      <alignment horizontal="justify" vertical="center" wrapText="1"/>
    </xf>
    <xf numFmtId="0" fontId="53" fillId="0" borderId="0" xfId="0" applyFont="1" applyAlignment="1">
      <alignment horizontal="left" vertical="center" wrapText="1"/>
    </xf>
    <xf numFmtId="0" fontId="53" fillId="0" borderId="7" xfId="4" applyNumberFormat="1" applyFont="1" applyFill="1" applyBorder="1" applyAlignment="1">
      <alignment horizontal="justify" vertical="center" wrapText="1"/>
    </xf>
    <xf numFmtId="0" fontId="53" fillId="0" borderId="1" xfId="14" applyFont="1" applyBorder="1" applyAlignment="1">
      <alignment horizontal="center" vertical="center" wrapText="1"/>
    </xf>
    <xf numFmtId="0" fontId="137" fillId="0" borderId="7" xfId="0" applyFont="1" applyBorder="1" applyAlignment="1">
      <alignment horizontal="justify" vertical="top"/>
    </xf>
    <xf numFmtId="1" fontId="137" fillId="0" borderId="1" xfId="0" applyNumberFormat="1" applyFont="1" applyBorder="1" applyAlignment="1">
      <alignment horizontal="center" vertical="center"/>
    </xf>
    <xf numFmtId="0" fontId="137" fillId="0" borderId="1" xfId="0" applyFont="1" applyBorder="1" applyAlignment="1">
      <alignment horizontal="left" vertical="top" wrapText="1"/>
    </xf>
    <xf numFmtId="0" fontId="137" fillId="0" borderId="1" xfId="0" applyFont="1" applyBorder="1" applyAlignment="1">
      <alignment horizontal="justify" vertical="top" wrapText="1"/>
    </xf>
    <xf numFmtId="0" fontId="137" fillId="0" borderId="0" xfId="0" applyFont="1"/>
    <xf numFmtId="0" fontId="137" fillId="0" borderId="7" xfId="0" applyFont="1" applyBorder="1" applyAlignment="1">
      <alignment horizontal="justify" vertical="top" wrapText="1"/>
    </xf>
    <xf numFmtId="0" fontId="137" fillId="0" borderId="1" xfId="0" applyFont="1" applyBorder="1" applyAlignment="1">
      <alignment horizontal="justify" vertical="top"/>
    </xf>
    <xf numFmtId="0" fontId="137" fillId="0" borderId="1" xfId="7" applyNumberFormat="1" applyFont="1" applyFill="1" applyBorder="1" applyAlignment="1">
      <alignment horizontal="center" vertical="center" wrapText="1"/>
    </xf>
    <xf numFmtId="1" fontId="137" fillId="0" borderId="1" xfId="0" applyNumberFormat="1" applyFont="1" applyBorder="1" applyAlignment="1">
      <alignment horizontal="justify" vertical="center" wrapText="1"/>
    </xf>
    <xf numFmtId="1" fontId="53" fillId="0" borderId="1" xfId="0" applyNumberFormat="1" applyFont="1" applyBorder="1" applyAlignment="1">
      <alignment horizontal="center" vertical="center"/>
    </xf>
    <xf numFmtId="0" fontId="137" fillId="0" borderId="1" xfId="0" applyFont="1" applyBorder="1" applyAlignment="1">
      <alignment horizontal="left" vertical="center" wrapText="1"/>
    </xf>
    <xf numFmtId="37" fontId="53" fillId="0" borderId="1" xfId="0" applyNumberFormat="1" applyFont="1" applyBorder="1" applyAlignment="1">
      <alignment vertical="center" wrapText="1"/>
    </xf>
    <xf numFmtId="177" fontId="53" fillId="0" borderId="1" xfId="0" applyNumberFormat="1" applyFont="1" applyBorder="1" applyAlignment="1">
      <alignment horizontal="left" vertical="center"/>
    </xf>
    <xf numFmtId="0" fontId="137" fillId="0" borderId="1" xfId="0" applyFont="1" applyBorder="1" applyAlignment="1">
      <alignment horizontal="justify" vertical="center"/>
    </xf>
    <xf numFmtId="178" fontId="137" fillId="0" borderId="1" xfId="0" applyNumberFormat="1" applyFont="1" applyBorder="1" applyAlignment="1">
      <alignment horizontal="center" vertical="center"/>
    </xf>
    <xf numFmtId="0" fontId="139" fillId="0" borderId="1" xfId="0" applyFont="1" applyBorder="1" applyAlignment="1">
      <alignment horizontal="left" vertical="center" wrapText="1"/>
    </xf>
    <xf numFmtId="0" fontId="53" fillId="0" borderId="1" xfId="0" applyFont="1" applyBorder="1" applyAlignment="1">
      <alignment horizontal="left" vertical="top" wrapText="1"/>
    </xf>
    <xf numFmtId="176" fontId="53" fillId="0" borderId="0" xfId="4" applyNumberFormat="1" applyFont="1" applyFill="1" applyAlignment="1">
      <alignment vertical="center" wrapText="1"/>
    </xf>
    <xf numFmtId="0" fontId="137" fillId="0" borderId="1" xfId="0" applyFont="1" applyBorder="1" applyAlignment="1">
      <alignment vertical="center" wrapText="1"/>
    </xf>
    <xf numFmtId="175" fontId="53" fillId="0" borderId="1" xfId="9" applyNumberFormat="1" applyFont="1" applyFill="1" applyBorder="1" applyAlignment="1">
      <alignment vertical="center" wrapText="1"/>
    </xf>
    <xf numFmtId="0" fontId="137" fillId="0" borderId="7" xfId="0" applyFont="1" applyBorder="1" applyAlignment="1">
      <alignment horizontal="justify" vertical="center"/>
    </xf>
    <xf numFmtId="14" fontId="137" fillId="0" borderId="1" xfId="0" applyNumberFormat="1" applyFont="1" applyBorder="1" applyAlignment="1">
      <alignment horizontal="center" vertical="center"/>
    </xf>
    <xf numFmtId="177" fontId="137" fillId="0" borderId="1" xfId="0" applyNumberFormat="1" applyFont="1" applyBorder="1" applyAlignment="1">
      <alignment horizontal="center" vertical="center"/>
    </xf>
    <xf numFmtId="0" fontId="53" fillId="0" borderId="1" xfId="0" applyFont="1" applyBorder="1" applyAlignment="1">
      <alignment horizontal="center" vertical="top" wrapText="1"/>
    </xf>
    <xf numFmtId="0" fontId="53" fillId="17" borderId="1" xfId="14" applyFont="1" applyFill="1" applyBorder="1" applyAlignment="1">
      <alignment vertical="center" wrapText="1"/>
    </xf>
    <xf numFmtId="0" fontId="53" fillId="17" borderId="7" xfId="4" applyNumberFormat="1" applyFont="1" applyFill="1" applyBorder="1" applyAlignment="1">
      <alignment horizontal="left" vertical="center"/>
    </xf>
    <xf numFmtId="175" fontId="53" fillId="17" borderId="1" xfId="9" applyNumberFormat="1" applyFont="1" applyFill="1" applyBorder="1" applyAlignment="1">
      <alignment horizontal="left" vertical="center" wrapText="1"/>
    </xf>
    <xf numFmtId="0" fontId="53" fillId="0" borderId="7" xfId="4" applyNumberFormat="1" applyFont="1" applyFill="1" applyBorder="1" applyAlignment="1">
      <alignment horizontal="left" vertical="center"/>
    </xf>
    <xf numFmtId="14" fontId="53" fillId="0" borderId="1" xfId="0" applyNumberFormat="1" applyFont="1" applyBorder="1" applyAlignment="1">
      <alignment horizontal="center" vertical="center" wrapText="1"/>
    </xf>
    <xf numFmtId="0" fontId="53" fillId="0" borderId="7" xfId="0" applyFont="1" applyBorder="1" applyAlignment="1">
      <alignment horizontal="justify" vertical="top" wrapText="1"/>
    </xf>
    <xf numFmtId="49" fontId="53" fillId="0" borderId="1" xfId="0" applyNumberFormat="1" applyFont="1" applyBorder="1" applyAlignment="1">
      <alignment horizontal="left" vertical="center" wrapText="1"/>
    </xf>
    <xf numFmtId="0" fontId="53" fillId="0" borderId="1" xfId="4" applyNumberFormat="1" applyFont="1" applyFill="1" applyBorder="1" applyAlignment="1">
      <alignment horizontal="left" vertical="center"/>
    </xf>
    <xf numFmtId="0" fontId="53" fillId="0" borderId="1" xfId="0" applyFont="1" applyBorder="1" applyAlignment="1">
      <alignment horizontal="justify" vertical="top" wrapText="1"/>
    </xf>
    <xf numFmtId="0" fontId="53" fillId="17" borderId="1" xfId="4" applyNumberFormat="1" applyFont="1" applyFill="1" applyBorder="1" applyAlignment="1">
      <alignment horizontal="left" vertical="center"/>
    </xf>
    <xf numFmtId="0" fontId="53" fillId="17" borderId="1" xfId="0" applyFont="1" applyFill="1" applyBorder="1" applyAlignment="1">
      <alignment horizontal="justify" vertical="top" wrapText="1"/>
    </xf>
    <xf numFmtId="14" fontId="53" fillId="17" borderId="1" xfId="0" applyNumberFormat="1" applyFont="1" applyFill="1" applyBorder="1" applyAlignment="1">
      <alignment horizontal="center" vertical="center" wrapText="1"/>
    </xf>
    <xf numFmtId="1" fontId="53" fillId="17" borderId="1" xfId="0" applyNumberFormat="1" applyFont="1" applyFill="1" applyBorder="1" applyAlignment="1">
      <alignment horizontal="left" vertical="center"/>
    </xf>
    <xf numFmtId="0" fontId="53" fillId="17" borderId="1" xfId="7" applyNumberFormat="1" applyFont="1" applyFill="1" applyBorder="1" applyAlignment="1">
      <alignment horizontal="center" vertical="center" wrapText="1"/>
    </xf>
    <xf numFmtId="49" fontId="53" fillId="0" borderId="1" xfId="0" applyNumberFormat="1" applyFont="1" applyBorder="1" applyAlignment="1">
      <alignment horizontal="left" vertical="center"/>
    </xf>
    <xf numFmtId="0" fontId="53" fillId="0" borderId="7" xfId="4" applyNumberFormat="1" applyFont="1" applyFill="1" applyBorder="1" applyAlignment="1">
      <alignment horizontal="left" vertical="center" wrapText="1"/>
    </xf>
    <xf numFmtId="0" fontId="53" fillId="0" borderId="7" xfId="0" applyFont="1" applyBorder="1" applyAlignment="1">
      <alignment vertical="center" wrapText="1"/>
    </xf>
    <xf numFmtId="0" fontId="53" fillId="17" borderId="7" xfId="0" applyFont="1" applyFill="1" applyBorder="1" applyAlignment="1">
      <alignment horizontal="justify" vertical="center" wrapText="1"/>
    </xf>
    <xf numFmtId="14" fontId="53" fillId="17" borderId="1" xfId="0" applyNumberFormat="1" applyFont="1" applyFill="1" applyBorder="1" applyAlignment="1">
      <alignment horizontal="center" vertical="center"/>
    </xf>
    <xf numFmtId="1" fontId="53" fillId="17" borderId="1" xfId="0" applyNumberFormat="1" applyFont="1" applyFill="1" applyBorder="1" applyAlignment="1">
      <alignment horizontal="center" vertical="center"/>
    </xf>
    <xf numFmtId="49" fontId="53" fillId="17" borderId="1" xfId="0" applyNumberFormat="1" applyFont="1" applyFill="1" applyBorder="1" applyAlignment="1">
      <alignment horizontal="left" vertical="center"/>
    </xf>
    <xf numFmtId="175" fontId="140" fillId="0" borderId="1" xfId="9" applyNumberFormat="1" applyFont="1" applyFill="1" applyBorder="1" applyAlignment="1">
      <alignment horizontal="center" vertical="center" wrapText="1"/>
    </xf>
    <xf numFmtId="175" fontId="137" fillId="0" borderId="1" xfId="9" applyNumberFormat="1" applyFont="1" applyFill="1" applyBorder="1" applyAlignment="1">
      <alignment horizontal="center" vertical="center" wrapText="1"/>
    </xf>
    <xf numFmtId="175" fontId="137" fillId="0" borderId="7" xfId="9" applyNumberFormat="1" applyFont="1" applyFill="1" applyBorder="1" applyAlignment="1">
      <alignment horizontal="center" vertical="center" wrapText="1"/>
    </xf>
    <xf numFmtId="175" fontId="140" fillId="0" borderId="0" xfId="9" applyNumberFormat="1" applyFont="1" applyFill="1" applyBorder="1" applyAlignment="1">
      <alignment horizontal="center" vertical="center" wrapText="1"/>
    </xf>
    <xf numFmtId="49" fontId="53" fillId="0" borderId="22" xfId="0" applyNumberFormat="1" applyFont="1" applyBorder="1" applyAlignment="1">
      <alignment horizontal="left" vertical="center"/>
    </xf>
    <xf numFmtId="175" fontId="53" fillId="0" borderId="22" xfId="9" applyNumberFormat="1" applyFont="1" applyFill="1" applyBorder="1" applyAlignment="1">
      <alignment horizontal="center" vertical="center" wrapText="1"/>
    </xf>
    <xf numFmtId="0" fontId="53" fillId="0" borderId="22" xfId="0" applyFont="1" applyBorder="1" applyAlignment="1">
      <alignment horizontal="left" vertical="center" wrapText="1"/>
    </xf>
    <xf numFmtId="0" fontId="53" fillId="17" borderId="1" xfId="4" applyNumberFormat="1" applyFont="1" applyFill="1" applyBorder="1" applyAlignment="1">
      <alignment horizontal="center" vertical="center"/>
    </xf>
    <xf numFmtId="0" fontId="53" fillId="17" borderId="22" xfId="0" applyFont="1" applyFill="1" applyBorder="1" applyAlignment="1">
      <alignment horizontal="left" vertical="center" wrapText="1"/>
    </xf>
    <xf numFmtId="0" fontId="53" fillId="0" borderId="1" xfId="7" applyNumberFormat="1" applyFont="1" applyFill="1" applyBorder="1" applyAlignment="1">
      <alignment horizontal="left" vertical="center"/>
    </xf>
    <xf numFmtId="37" fontId="53" fillId="0" borderId="1" xfId="0" applyNumberFormat="1" applyFont="1" applyBorder="1" applyAlignment="1">
      <alignment horizontal="left" vertical="center"/>
    </xf>
    <xf numFmtId="37" fontId="53" fillId="0" borderId="8" xfId="0" applyNumberFormat="1" applyFont="1" applyBorder="1" applyAlignment="1">
      <alignment horizontal="left" vertical="center"/>
    </xf>
    <xf numFmtId="0" fontId="53" fillId="0" borderId="49" xfId="0" applyFont="1" applyBorder="1" applyAlignment="1">
      <alignment horizontal="center" vertical="center" wrapText="1"/>
    </xf>
    <xf numFmtId="0" fontId="53" fillId="17" borderId="8" xfId="13" applyFont="1" applyFill="1" applyBorder="1" applyAlignment="1">
      <alignment horizontal="center" vertical="center"/>
    </xf>
    <xf numFmtId="0" fontId="53" fillId="17" borderId="49" xfId="0" applyFont="1" applyFill="1" applyBorder="1" applyAlignment="1">
      <alignment horizontal="center" vertical="center" wrapText="1"/>
    </xf>
    <xf numFmtId="0" fontId="53" fillId="0" borderId="22" xfId="0" applyFont="1" applyBorder="1" applyAlignment="1">
      <alignment horizontal="justify" vertical="center" wrapText="1"/>
    </xf>
    <xf numFmtId="175" fontId="53" fillId="0" borderId="1" xfId="9" applyNumberFormat="1" applyFont="1" applyFill="1" applyBorder="1" applyAlignment="1">
      <alignment horizontal="left" vertical="center" wrapText="1"/>
    </xf>
    <xf numFmtId="0" fontId="137" fillId="17" borderId="1" xfId="0" applyFont="1" applyFill="1" applyBorder="1" applyAlignment="1">
      <alignment horizontal="center" vertical="center" wrapText="1"/>
    </xf>
    <xf numFmtId="0" fontId="53" fillId="17" borderId="1" xfId="7" applyNumberFormat="1" applyFont="1" applyFill="1" applyBorder="1" applyAlignment="1">
      <alignment horizontal="center" wrapText="1"/>
    </xf>
    <xf numFmtId="49" fontId="53" fillId="17" borderId="1" xfId="0" applyNumberFormat="1" applyFont="1" applyFill="1" applyBorder="1" applyAlignment="1">
      <alignment horizontal="center" vertical="center" wrapText="1"/>
    </xf>
    <xf numFmtId="0" fontId="137" fillId="0" borderId="1" xfId="0" applyFont="1" applyBorder="1" applyAlignment="1">
      <alignment horizontal="center" vertical="center" wrapText="1"/>
    </xf>
    <xf numFmtId="175" fontId="53" fillId="0" borderId="0" xfId="9" applyNumberFormat="1" applyFont="1" applyFill="1" applyAlignment="1">
      <alignment vertical="center" wrapText="1"/>
    </xf>
    <xf numFmtId="0" fontId="137" fillId="0" borderId="1" xfId="0" applyFont="1" applyBorder="1" applyAlignment="1">
      <alignment vertical="center"/>
    </xf>
    <xf numFmtId="43" fontId="137" fillId="0" borderId="1" xfId="4" applyFont="1" applyFill="1" applyBorder="1" applyAlignment="1">
      <alignment horizontal="left" vertical="center" wrapText="1"/>
    </xf>
    <xf numFmtId="0" fontId="137" fillId="17" borderId="1" xfId="0" applyFont="1" applyFill="1" applyBorder="1" applyAlignment="1">
      <alignment horizontal="center" vertical="center"/>
    </xf>
    <xf numFmtId="0" fontId="137" fillId="17" borderId="1" xfId="0" applyFont="1" applyFill="1" applyBorder="1" applyAlignment="1">
      <alignment vertical="center"/>
    </xf>
    <xf numFmtId="0" fontId="137" fillId="17" borderId="1" xfId="0" applyFont="1" applyFill="1" applyBorder="1" applyAlignment="1">
      <alignment vertical="center" wrapText="1"/>
    </xf>
    <xf numFmtId="0" fontId="137" fillId="17" borderId="1" xfId="0" applyFont="1" applyFill="1" applyBorder="1" applyAlignment="1">
      <alignment horizontal="justify" vertical="center" wrapText="1"/>
    </xf>
    <xf numFmtId="43" fontId="137" fillId="17" borderId="1" xfId="4" applyFont="1" applyFill="1" applyBorder="1" applyAlignment="1">
      <alignment horizontal="left" vertical="center" wrapText="1"/>
    </xf>
    <xf numFmtId="14" fontId="137" fillId="0" borderId="1" xfId="0" applyNumberFormat="1" applyFont="1" applyBorder="1" applyAlignment="1">
      <alignment horizontal="center" vertical="center" wrapText="1"/>
    </xf>
    <xf numFmtId="0" fontId="53" fillId="0" borderId="0" xfId="4" applyNumberFormat="1" applyFont="1" applyFill="1" applyBorder="1" applyAlignment="1">
      <alignment horizontal="center" vertical="center" wrapText="1"/>
    </xf>
    <xf numFmtId="0" fontId="53" fillId="17" borderId="1" xfId="0" applyFont="1" applyFill="1" applyBorder="1" applyAlignment="1">
      <alignment vertical="center" wrapText="1"/>
    </xf>
    <xf numFmtId="0" fontId="137" fillId="0" borderId="1" xfId="0" applyFont="1" applyBorder="1" applyAlignment="1">
      <alignment horizontal="center" vertical="center"/>
    </xf>
    <xf numFmtId="43" fontId="137" fillId="0" borderId="1" xfId="4" applyFont="1" applyFill="1" applyBorder="1" applyAlignment="1">
      <alignment horizontal="center" vertical="center" wrapText="1"/>
    </xf>
    <xf numFmtId="0" fontId="137" fillId="0" borderId="59" xfId="0" applyFont="1" applyBorder="1" applyAlignment="1">
      <alignment horizontal="left" vertical="center"/>
    </xf>
    <xf numFmtId="14" fontId="66" fillId="0" borderId="71" xfId="13" applyNumberFormat="1" applyFont="1" applyBorder="1" applyAlignment="1">
      <alignment horizontal="center" vertical="center" wrapText="1"/>
    </xf>
    <xf numFmtId="0" fontId="53" fillId="0" borderId="7" xfId="13" applyFont="1" applyBorder="1" applyAlignment="1">
      <alignment horizontal="center" vertical="center" wrapText="1"/>
    </xf>
    <xf numFmtId="0" fontId="53" fillId="0" borderId="7" xfId="0" applyFont="1" applyBorder="1" applyAlignment="1">
      <alignment horizontal="center" vertical="center" wrapText="1"/>
    </xf>
    <xf numFmtId="0" fontId="53" fillId="0" borderId="7" xfId="0" applyFont="1" applyBorder="1" applyAlignment="1">
      <alignment horizontal="left" vertical="center" wrapText="1"/>
    </xf>
    <xf numFmtId="0" fontId="137" fillId="0" borderId="7" xfId="0" applyFont="1" applyBorder="1" applyAlignment="1">
      <alignment horizontal="justify" vertical="center" wrapText="1"/>
    </xf>
    <xf numFmtId="42" fontId="53" fillId="17" borderId="1" xfId="10" applyFont="1" applyFill="1" applyBorder="1" applyAlignment="1">
      <alignment horizontal="center" vertical="center" wrapText="1"/>
    </xf>
    <xf numFmtId="0" fontId="141" fillId="0" borderId="1" xfId="0" applyFont="1" applyBorder="1" applyAlignment="1">
      <alignment horizontal="center" vertical="center"/>
    </xf>
    <xf numFmtId="0" fontId="137" fillId="17" borderId="1" xfId="0" applyFont="1" applyFill="1" applyBorder="1" applyAlignment="1">
      <alignment horizontal="center" wrapText="1"/>
    </xf>
    <xf numFmtId="0" fontId="137" fillId="17" borderId="1" xfId="0" applyFont="1" applyFill="1" applyBorder="1"/>
    <xf numFmtId="0" fontId="0" fillId="17" borderId="1" xfId="0" applyFill="1" applyBorder="1" applyAlignment="1">
      <alignment horizontal="center" vertical="center" wrapText="1"/>
    </xf>
    <xf numFmtId="0" fontId="0" fillId="17" borderId="1" xfId="0" applyFill="1" applyBorder="1"/>
    <xf numFmtId="0" fontId="0" fillId="17" borderId="1" xfId="0" applyFill="1" applyBorder="1" applyAlignment="1">
      <alignment horizontal="center" vertical="center"/>
    </xf>
    <xf numFmtId="0" fontId="0" fillId="17" borderId="1" xfId="0" applyFill="1" applyBorder="1" applyAlignment="1">
      <alignment vertical="center"/>
    </xf>
    <xf numFmtId="175" fontId="137" fillId="0" borderId="0" xfId="9" applyNumberFormat="1" applyFont="1" applyFill="1"/>
    <xf numFmtId="176" fontId="60" fillId="17" borderId="1" xfId="4" applyNumberFormat="1" applyFont="1" applyFill="1" applyBorder="1" applyAlignment="1">
      <alignment horizontal="center" vertical="center" wrapText="1"/>
    </xf>
    <xf numFmtId="0" fontId="137" fillId="0" borderId="0" xfId="0" applyFont="1" applyAlignment="1">
      <alignment vertical="center"/>
    </xf>
    <xf numFmtId="0" fontId="137" fillId="0" borderId="0" xfId="0" applyFont="1" applyAlignment="1">
      <alignment horizontal="center" vertical="center"/>
    </xf>
    <xf numFmtId="0" fontId="137" fillId="0" borderId="0" xfId="0" applyFont="1" applyAlignment="1">
      <alignment horizontal="center" wrapText="1"/>
    </xf>
    <xf numFmtId="0" fontId="53" fillId="35" borderId="1" xfId="4" applyNumberFormat="1" applyFont="1" applyFill="1" applyBorder="1" applyAlignment="1">
      <alignment horizontal="center" vertical="center" wrapText="1"/>
    </xf>
    <xf numFmtId="0" fontId="53" fillId="35" borderId="1" xfId="14" applyFont="1" applyFill="1" applyBorder="1" applyAlignment="1">
      <alignment vertical="center" wrapText="1"/>
    </xf>
    <xf numFmtId="0" fontId="53" fillId="35" borderId="7" xfId="4" applyNumberFormat="1" applyFont="1" applyFill="1" applyBorder="1" applyAlignment="1">
      <alignment horizontal="left" vertical="center"/>
    </xf>
    <xf numFmtId="0" fontId="53" fillId="35" borderId="7" xfId="0" applyFont="1" applyFill="1" applyBorder="1" applyAlignment="1">
      <alignment horizontal="justify" vertical="center" wrapText="1"/>
    </xf>
    <xf numFmtId="14" fontId="53" fillId="35" borderId="1" xfId="0" applyNumberFormat="1" applyFont="1" applyFill="1" applyBorder="1" applyAlignment="1">
      <alignment horizontal="center" vertical="center"/>
    </xf>
    <xf numFmtId="1" fontId="53" fillId="35" borderId="1" xfId="0" applyNumberFormat="1" applyFont="1" applyFill="1" applyBorder="1" applyAlignment="1">
      <alignment horizontal="center" vertical="center"/>
    </xf>
    <xf numFmtId="1" fontId="53" fillId="35" borderId="1" xfId="0" applyNumberFormat="1" applyFont="1" applyFill="1" applyBorder="1" applyAlignment="1">
      <alignment horizontal="left" vertical="center"/>
    </xf>
    <xf numFmtId="0" fontId="53" fillId="35" borderId="1" xfId="7" applyNumberFormat="1" applyFont="1" applyFill="1" applyBorder="1" applyAlignment="1">
      <alignment horizontal="center" vertical="center" wrapText="1"/>
    </xf>
    <xf numFmtId="0" fontId="53" fillId="35" borderId="1" xfId="0" applyFont="1" applyFill="1" applyBorder="1" applyAlignment="1">
      <alignment horizontal="center" vertical="center" wrapText="1"/>
    </xf>
    <xf numFmtId="0" fontId="53" fillId="35" borderId="1" xfId="0" applyFont="1" applyFill="1" applyBorder="1" applyAlignment="1">
      <alignment horizontal="left" vertical="center" wrapText="1"/>
    </xf>
    <xf numFmtId="175" fontId="53" fillId="35" borderId="7" xfId="9" applyNumberFormat="1" applyFont="1" applyFill="1" applyBorder="1" applyAlignment="1">
      <alignment horizontal="center" vertical="center" wrapText="1"/>
    </xf>
    <xf numFmtId="0" fontId="53" fillId="35" borderId="1" xfId="0" applyFont="1" applyFill="1" applyBorder="1" applyAlignment="1">
      <alignment horizontal="justify" vertical="center" wrapText="1"/>
    </xf>
    <xf numFmtId="0" fontId="53" fillId="35" borderId="0" xfId="0" applyFont="1" applyFill="1" applyAlignment="1">
      <alignment vertical="center" wrapText="1"/>
    </xf>
    <xf numFmtId="0" fontId="53" fillId="4" borderId="0" xfId="0" applyFont="1" applyFill="1" applyAlignment="1">
      <alignment vertical="center" wrapText="1"/>
    </xf>
    <xf numFmtId="179" fontId="53" fillId="0" borderId="0" xfId="0" applyNumberFormat="1" applyFont="1" applyAlignment="1">
      <alignment vertical="center" wrapText="1"/>
    </xf>
    <xf numFmtId="0" fontId="137" fillId="4" borderId="0" xfId="0" applyFont="1" applyFill="1" applyAlignment="1">
      <alignment vertical="center" wrapText="1"/>
    </xf>
    <xf numFmtId="0" fontId="137" fillId="4" borderId="0" xfId="0" applyFont="1" applyFill="1"/>
    <xf numFmtId="0" fontId="137" fillId="4" borderId="0" xfId="0" applyFont="1" applyFill="1" applyAlignment="1">
      <alignment vertical="center"/>
    </xf>
    <xf numFmtId="0" fontId="53" fillId="0" borderId="0" xfId="0" applyFont="1" applyAlignment="1">
      <alignment horizontal="left" vertical="center"/>
    </xf>
    <xf numFmtId="179" fontId="137" fillId="0" borderId="0" xfId="0" applyNumberFormat="1" applyFont="1"/>
    <xf numFmtId="0" fontId="137" fillId="0" borderId="0" xfId="0" applyFont="1" applyAlignment="1">
      <alignment horizontal="center"/>
    </xf>
    <xf numFmtId="0" fontId="52" fillId="33" borderId="29" xfId="0" applyFont="1" applyFill="1" applyBorder="1" applyAlignment="1">
      <alignment horizontal="center" vertical="center" wrapText="1"/>
    </xf>
    <xf numFmtId="175" fontId="60" fillId="0" borderId="0" xfId="9" applyNumberFormat="1" applyFont="1" applyFill="1" applyBorder="1" applyAlignment="1">
      <alignment horizontal="center" vertical="center" wrapText="1"/>
    </xf>
    <xf numFmtId="175" fontId="53" fillId="4" borderId="0" xfId="9" applyNumberFormat="1" applyFont="1" applyFill="1" applyAlignment="1">
      <alignment vertical="center" wrapText="1"/>
    </xf>
    <xf numFmtId="175" fontId="137" fillId="4" borderId="0" xfId="9" applyNumberFormat="1" applyFont="1" applyFill="1"/>
    <xf numFmtId="175" fontId="52" fillId="33" borderId="29" xfId="9" applyNumberFormat="1" applyFont="1" applyFill="1" applyBorder="1" applyAlignment="1">
      <alignment horizontal="center" vertical="center" wrapText="1"/>
    </xf>
    <xf numFmtId="41" fontId="53" fillId="0" borderId="0" xfId="5" applyFont="1" applyAlignment="1">
      <alignment horizontal="right" vertical="center" wrapText="1"/>
    </xf>
    <xf numFmtId="175" fontId="53" fillId="4" borderId="0" xfId="0" applyNumberFormat="1" applyFont="1" applyFill="1" applyAlignment="1">
      <alignment vertical="center" wrapText="1"/>
    </xf>
    <xf numFmtId="44" fontId="53" fillId="0" borderId="1" xfId="9" applyFont="1" applyFill="1" applyBorder="1" applyAlignment="1">
      <alignment horizontal="center" vertical="center" wrapText="1"/>
    </xf>
    <xf numFmtId="175" fontId="137" fillId="0" borderId="0" xfId="9" applyNumberFormat="1" applyFont="1" applyFill="1" applyAlignment="1">
      <alignment vertical="center"/>
    </xf>
    <xf numFmtId="0" fontId="137" fillId="0" borderId="1" xfId="4" applyNumberFormat="1" applyFont="1" applyFill="1" applyBorder="1" applyAlignment="1">
      <alignment horizontal="center" vertical="center" wrapText="1"/>
    </xf>
    <xf numFmtId="44" fontId="137" fillId="0" borderId="1" xfId="9" applyFont="1" applyFill="1" applyBorder="1" applyAlignment="1">
      <alignment horizontal="center" vertical="center" wrapText="1"/>
    </xf>
    <xf numFmtId="175" fontId="140" fillId="0" borderId="0" xfId="9" applyNumberFormat="1" applyFont="1" applyFill="1" applyAlignment="1">
      <alignment vertical="center"/>
    </xf>
    <xf numFmtId="175" fontId="137" fillId="0" borderId="0" xfId="9" applyNumberFormat="1" applyFont="1" applyFill="1" applyAlignment="1">
      <alignment vertical="center" wrapText="1"/>
    </xf>
    <xf numFmtId="175" fontId="53" fillId="0" borderId="0" xfId="9" applyNumberFormat="1" applyFont="1" applyFill="1" applyAlignment="1">
      <alignment vertical="center"/>
    </xf>
    <xf numFmtId="37" fontId="52" fillId="0" borderId="0" xfId="0" applyNumberFormat="1" applyFont="1" applyAlignment="1">
      <alignment horizontal="center" vertical="center" wrapText="1"/>
    </xf>
    <xf numFmtId="37" fontId="60" fillId="0" borderId="0" xfId="9" applyNumberFormat="1" applyFont="1" applyFill="1" applyBorder="1" applyAlignment="1">
      <alignment horizontal="center" vertical="center" wrapText="1"/>
    </xf>
    <xf numFmtId="37" fontId="52" fillId="33" borderId="7" xfId="4" applyNumberFormat="1" applyFont="1" applyFill="1" applyBorder="1" applyAlignment="1">
      <alignment horizontal="center" vertical="center" wrapText="1"/>
    </xf>
    <xf numFmtId="37" fontId="137" fillId="0" borderId="0" xfId="0" applyNumberFormat="1" applyFont="1"/>
    <xf numFmtId="43" fontId="53" fillId="0" borderId="0" xfId="4" applyFont="1" applyAlignment="1">
      <alignment horizontal="center" vertical="center" wrapText="1"/>
    </xf>
    <xf numFmtId="41" fontId="137" fillId="0" borderId="1" xfId="5" applyFont="1" applyFill="1" applyBorder="1" applyAlignment="1">
      <alignment horizontal="center" vertical="center" wrapText="1"/>
    </xf>
    <xf numFmtId="176" fontId="53" fillId="0" borderId="1" xfId="4" applyNumberFormat="1" applyFont="1" applyFill="1" applyBorder="1" applyAlignment="1">
      <alignment horizontal="center" vertical="center" wrapText="1"/>
    </xf>
    <xf numFmtId="175" fontId="137" fillId="0" borderId="0" xfId="9" applyNumberFormat="1" applyFont="1" applyFill="1" applyBorder="1" applyAlignment="1">
      <alignment vertical="center"/>
    </xf>
    <xf numFmtId="176" fontId="137" fillId="0" borderId="1" xfId="4" applyNumberFormat="1" applyFont="1" applyFill="1" applyBorder="1" applyAlignment="1">
      <alignment vertical="center" wrapText="1"/>
    </xf>
    <xf numFmtId="176" fontId="137" fillId="0" borderId="1" xfId="4" applyNumberFormat="1" applyFont="1" applyFill="1" applyBorder="1" applyAlignment="1">
      <alignment horizontal="left" vertical="center" wrapText="1"/>
    </xf>
    <xf numFmtId="179" fontId="53" fillId="0" borderId="1" xfId="0" applyNumberFormat="1" applyFont="1" applyBorder="1" applyAlignment="1" applyProtection="1">
      <alignment horizontal="center" vertical="center" wrapText="1"/>
      <protection locked="0"/>
    </xf>
    <xf numFmtId="0" fontId="137" fillId="0" borderId="1" xfId="13" applyFont="1" applyBorder="1" applyAlignment="1">
      <alignment horizontal="justify" vertical="center" wrapText="1"/>
    </xf>
    <xf numFmtId="179" fontId="53" fillId="0" borderId="1" xfId="0" applyNumberFormat="1" applyFont="1" applyBorder="1" applyAlignment="1">
      <alignment horizontal="center" vertical="center" wrapText="1"/>
    </xf>
    <xf numFmtId="179" fontId="137" fillId="0" borderId="1" xfId="0" applyNumberFormat="1" applyFont="1" applyBorder="1" applyAlignment="1">
      <alignment vertical="center"/>
    </xf>
    <xf numFmtId="175" fontId="53" fillId="0" borderId="1" xfId="0" applyNumberFormat="1" applyFont="1" applyBorder="1" applyAlignment="1">
      <alignment horizontal="center" vertical="center" wrapText="1"/>
    </xf>
    <xf numFmtId="0" fontId="137" fillId="0" borderId="1" xfId="0" applyFont="1" applyBorder="1" applyAlignment="1">
      <alignment wrapText="1"/>
    </xf>
    <xf numFmtId="0" fontId="53" fillId="0" borderId="1" xfId="13" applyFont="1" applyBorder="1" applyAlignment="1">
      <alignment vertical="center" wrapText="1"/>
    </xf>
    <xf numFmtId="0" fontId="137" fillId="0" borderId="1" xfId="0" applyFont="1" applyBorder="1"/>
    <xf numFmtId="0" fontId="53" fillId="0" borderId="1" xfId="14" applyFont="1" applyBorder="1" applyAlignment="1">
      <alignment horizontal="left" vertical="center" wrapText="1"/>
    </xf>
    <xf numFmtId="0" fontId="137" fillId="0" borderId="1" xfId="14" applyFont="1" applyBorder="1" applyAlignment="1">
      <alignment vertical="center" wrapText="1"/>
    </xf>
    <xf numFmtId="0" fontId="137" fillId="0" borderId="1" xfId="13" applyFont="1" applyBorder="1" applyAlignment="1">
      <alignment horizontal="center" vertical="center" wrapText="1"/>
    </xf>
    <xf numFmtId="0" fontId="137" fillId="0" borderId="1" xfId="13" applyFont="1" applyBorder="1" applyAlignment="1">
      <alignment vertical="center" wrapText="1"/>
    </xf>
    <xf numFmtId="179" fontId="137" fillId="0" borderId="1" xfId="0" applyNumberFormat="1" applyFont="1" applyBorder="1" applyAlignment="1" applyProtection="1">
      <alignment horizontal="center" vertical="center" wrapText="1"/>
      <protection locked="0"/>
    </xf>
    <xf numFmtId="1" fontId="137" fillId="0" borderId="1" xfId="0" applyNumberFormat="1" applyFont="1" applyBorder="1" applyAlignment="1">
      <alignment horizontal="center" vertical="center" wrapText="1"/>
    </xf>
    <xf numFmtId="0" fontId="140" fillId="0" borderId="0" xfId="0" applyFont="1"/>
    <xf numFmtId="0" fontId="53" fillId="0" borderId="1" xfId="13" applyFont="1" applyBorder="1" applyAlignment="1">
      <alignment horizontal="center" vertical="center"/>
    </xf>
    <xf numFmtId="0" fontId="137" fillId="0" borderId="1" xfId="0" applyFont="1" applyBorder="1" applyAlignment="1">
      <alignment horizontal="left" vertical="center"/>
    </xf>
    <xf numFmtId="14" fontId="139" fillId="0" borderId="1" xfId="0" applyNumberFormat="1" applyFont="1" applyBorder="1" applyAlignment="1">
      <alignment horizontal="center" vertical="center" wrapText="1"/>
    </xf>
    <xf numFmtId="0" fontId="137" fillId="0" borderId="1" xfId="14" applyFont="1" applyBorder="1" applyAlignment="1">
      <alignment horizontal="justify" vertical="center" wrapText="1"/>
    </xf>
    <xf numFmtId="0" fontId="53" fillId="0" borderId="1" xfId="13" applyFont="1" applyBorder="1" applyAlignment="1">
      <alignment horizontal="justify" vertical="center" wrapText="1"/>
    </xf>
    <xf numFmtId="0" fontId="53" fillId="0" borderId="1" xfId="13" applyFont="1" applyBorder="1" applyAlignment="1">
      <alignment horizontal="left" vertical="top" wrapText="1"/>
    </xf>
    <xf numFmtId="0" fontId="137" fillId="0" borderId="7" xfId="0" applyFont="1" applyBorder="1" applyAlignment="1">
      <alignment horizontal="center" vertical="center" wrapText="1"/>
    </xf>
    <xf numFmtId="0" fontId="137" fillId="0" borderId="7" xfId="0" applyFont="1" applyBorder="1" applyAlignment="1">
      <alignment vertical="center"/>
    </xf>
    <xf numFmtId="179" fontId="137" fillId="0" borderId="7" xfId="0" applyNumberFormat="1" applyFont="1" applyBorder="1" applyAlignment="1">
      <alignment vertical="center"/>
    </xf>
    <xf numFmtId="0" fontId="137" fillId="0" borderId="7" xfId="0" applyFont="1" applyBorder="1" applyAlignment="1">
      <alignment horizontal="center" vertical="center"/>
    </xf>
    <xf numFmtId="0" fontId="137" fillId="0" borderId="7" xfId="13" applyFont="1" applyBorder="1" applyAlignment="1">
      <alignment horizontal="justify" vertical="center" wrapText="1"/>
    </xf>
    <xf numFmtId="0" fontId="137" fillId="0" borderId="7" xfId="0" applyFont="1" applyBorder="1" applyAlignment="1">
      <alignment vertical="center" wrapText="1"/>
    </xf>
    <xf numFmtId="0" fontId="142" fillId="0" borderId="7" xfId="0" applyFont="1" applyBorder="1"/>
    <xf numFmtId="0" fontId="142" fillId="0" borderId="0" xfId="0" applyFont="1" applyAlignment="1">
      <alignment vertical="center"/>
    </xf>
    <xf numFmtId="175" fontId="142" fillId="0" borderId="0" xfId="9" applyNumberFormat="1" applyFont="1" applyFill="1" applyBorder="1" applyAlignment="1">
      <alignment vertical="center"/>
    </xf>
    <xf numFmtId="0" fontId="58" fillId="0" borderId="7" xfId="4" applyNumberFormat="1" applyFont="1" applyFill="1" applyBorder="1" applyAlignment="1">
      <alignment horizontal="center" vertical="center" wrapText="1"/>
    </xf>
    <xf numFmtId="0" fontId="59" fillId="0" borderId="7" xfId="0" applyFont="1" applyBorder="1" applyAlignment="1">
      <alignment horizontal="center" vertical="center" wrapText="1"/>
    </xf>
    <xf numFmtId="0" fontId="58" fillId="0" borderId="7" xfId="0" applyFont="1" applyBorder="1" applyAlignment="1">
      <alignment horizontal="center" vertical="center" wrapText="1"/>
    </xf>
    <xf numFmtId="0" fontId="58" fillId="0" borderId="7" xfId="14" applyFont="1" applyBorder="1" applyAlignment="1">
      <alignment vertical="center" wrapText="1"/>
    </xf>
    <xf numFmtId="0" fontId="137" fillId="0" borderId="7" xfId="0" applyFont="1" applyBorder="1" applyAlignment="1">
      <alignment horizontal="center" wrapText="1"/>
    </xf>
    <xf numFmtId="0" fontId="58" fillId="0" borderId="7" xfId="13" applyFont="1" applyBorder="1" applyAlignment="1">
      <alignment horizontal="center" vertical="center" wrapText="1"/>
    </xf>
    <xf numFmtId="179" fontId="137" fillId="0" borderId="7" xfId="0" applyNumberFormat="1" applyFont="1" applyBorder="1"/>
    <xf numFmtId="179" fontId="58" fillId="0" borderId="7" xfId="0" applyNumberFormat="1" applyFont="1" applyBorder="1" applyAlignment="1">
      <alignment horizontal="center" vertical="center" wrapText="1"/>
    </xf>
    <xf numFmtId="0" fontId="137" fillId="0" borderId="7" xfId="0" applyFont="1" applyBorder="1" applyAlignment="1">
      <alignment horizontal="center"/>
    </xf>
    <xf numFmtId="0" fontId="137" fillId="0" borderId="7" xfId="0" applyFont="1" applyBorder="1"/>
    <xf numFmtId="175" fontId="58" fillId="0" borderId="7" xfId="0" applyNumberFormat="1" applyFont="1" applyBorder="1" applyAlignment="1">
      <alignment horizontal="center" vertical="center" wrapText="1"/>
    </xf>
    <xf numFmtId="0" fontId="142" fillId="0" borderId="7" xfId="13" applyFont="1" applyBorder="1" applyAlignment="1">
      <alignment horizontal="justify" vertical="center" wrapText="1"/>
    </xf>
    <xf numFmtId="0" fontId="142" fillId="0" borderId="0" xfId="0" applyFont="1"/>
    <xf numFmtId="0" fontId="142" fillId="0" borderId="7" xfId="0" applyFont="1" applyBorder="1" applyAlignment="1">
      <alignment vertical="center"/>
    </xf>
    <xf numFmtId="175" fontId="53" fillId="0" borderId="1" xfId="4" applyNumberFormat="1" applyFont="1" applyFill="1" applyBorder="1" applyAlignment="1">
      <alignment horizontal="center" vertical="center" wrapText="1"/>
    </xf>
    <xf numFmtId="0" fontId="53" fillId="0" borderId="7" xfId="14" applyFont="1" applyBorder="1" applyAlignment="1">
      <alignment vertical="center" wrapText="1"/>
    </xf>
    <xf numFmtId="179" fontId="53" fillId="0" borderId="7" xfId="0" applyNumberFormat="1" applyFont="1" applyBorder="1" applyAlignment="1">
      <alignment horizontal="center" vertical="center" wrapText="1"/>
    </xf>
    <xf numFmtId="175" fontId="53" fillId="0" borderId="7" xfId="4" applyNumberFormat="1" applyFont="1" applyFill="1" applyBorder="1" applyAlignment="1">
      <alignment horizontal="center" vertical="center" wrapText="1"/>
    </xf>
    <xf numFmtId="175" fontId="53" fillId="0" borderId="7" xfId="0" applyNumberFormat="1" applyFont="1" applyBorder="1" applyAlignment="1">
      <alignment horizontal="center" vertical="center" wrapText="1"/>
    </xf>
    <xf numFmtId="0" fontId="137" fillId="29" borderId="1" xfId="13" applyFont="1" applyFill="1" applyBorder="1" applyAlignment="1">
      <alignment horizontal="justify" vertical="center" wrapText="1"/>
    </xf>
    <xf numFmtId="0" fontId="66" fillId="4" borderId="1" xfId="0" applyFont="1" applyFill="1" applyBorder="1" applyAlignment="1">
      <alignment horizontal="center" vertical="center"/>
    </xf>
    <xf numFmtId="0" fontId="143" fillId="36" borderId="0" xfId="0" applyFont="1" applyFill="1" applyAlignment="1">
      <alignment horizontal="center"/>
    </xf>
    <xf numFmtId="37" fontId="52" fillId="0" borderId="0" xfId="0" applyNumberFormat="1" applyFont="1" applyAlignment="1">
      <alignment horizontal="center" vertical="center" wrapText="1"/>
    </xf>
    <xf numFmtId="15" fontId="52" fillId="0" borderId="0" xfId="0" applyNumberFormat="1" applyFont="1" applyAlignment="1">
      <alignment horizontal="center" vertical="center" wrapText="1"/>
    </xf>
    <xf numFmtId="37" fontId="51" fillId="0" borderId="0" xfId="0" applyNumberFormat="1" applyFont="1" applyAlignment="1">
      <alignment horizontal="left" vertical="center" wrapText="1"/>
    </xf>
    <xf numFmtId="15" fontId="50" fillId="0" borderId="0" xfId="0" applyNumberFormat="1" applyFont="1" applyAlignment="1">
      <alignment horizontal="center" vertical="center" wrapText="1"/>
    </xf>
    <xf numFmtId="37" fontId="144" fillId="0" borderId="0" xfId="0" applyNumberFormat="1" applyFont="1" applyAlignment="1">
      <alignment horizontal="center" vertical="center" wrapText="1"/>
    </xf>
    <xf numFmtId="15" fontId="53" fillId="0" borderId="0" xfId="0" applyNumberFormat="1" applyFont="1" applyAlignment="1">
      <alignment horizontal="center" vertical="center" wrapText="1"/>
    </xf>
    <xf numFmtId="0" fontId="87" fillId="0" borderId="32" xfId="13" applyFont="1" applyBorder="1" applyAlignment="1">
      <alignment horizontal="center" vertical="center" wrapText="1"/>
    </xf>
    <xf numFmtId="0" fontId="80" fillId="0" borderId="25" xfId="13" applyFont="1" applyBorder="1" applyAlignment="1">
      <alignment horizontal="left" vertical="center" wrapText="1"/>
    </xf>
    <xf numFmtId="0" fontId="80" fillId="0" borderId="16" xfId="13" applyFont="1" applyBorder="1" applyAlignment="1">
      <alignment horizontal="left" vertical="center" wrapText="1"/>
    </xf>
    <xf numFmtId="0" fontId="80" fillId="0" borderId="22" xfId="13" applyFont="1" applyBorder="1" applyAlignment="1">
      <alignment horizontal="center"/>
    </xf>
    <xf numFmtId="0" fontId="80" fillId="0" borderId="1" xfId="13" applyFont="1" applyBorder="1" applyAlignment="1">
      <alignment horizontal="center"/>
    </xf>
    <xf numFmtId="0" fontId="80" fillId="0" borderId="22" xfId="13" applyFont="1" applyBorder="1" applyAlignment="1">
      <alignment horizontal="left" vertical="center" wrapText="1"/>
    </xf>
    <xf numFmtId="0" fontId="80" fillId="0" borderId="1" xfId="13" applyFont="1" applyBorder="1" applyAlignment="1">
      <alignment horizontal="left" vertical="center" wrapText="1"/>
    </xf>
    <xf numFmtId="0" fontId="80" fillId="0" borderId="22" xfId="13" applyFont="1" applyBorder="1" applyAlignment="1">
      <alignment horizontal="left" vertical="center"/>
    </xf>
    <xf numFmtId="0" fontId="80" fillId="0" borderId="1" xfId="13" applyFont="1" applyBorder="1" applyAlignment="1">
      <alignment horizontal="left" vertical="center"/>
    </xf>
    <xf numFmtId="0" fontId="80" fillId="0" borderId="54" xfId="13" applyFont="1" applyBorder="1" applyAlignment="1">
      <alignment horizontal="left" vertical="center" wrapText="1"/>
    </xf>
    <xf numFmtId="0" fontId="80" fillId="0" borderId="13" xfId="13" applyFont="1" applyBorder="1" applyAlignment="1">
      <alignment horizontal="center"/>
    </xf>
    <xf numFmtId="0" fontId="80" fillId="0" borderId="13" xfId="13" applyFont="1" applyBorder="1" applyAlignment="1">
      <alignment horizontal="left" vertical="center" wrapText="1"/>
    </xf>
    <xf numFmtId="0" fontId="80" fillId="0" borderId="21" xfId="13" applyFont="1" applyBorder="1" applyAlignment="1">
      <alignment horizontal="left" vertical="center" wrapText="1"/>
    </xf>
    <xf numFmtId="0" fontId="80" fillId="0" borderId="44" xfId="13" applyFont="1" applyBorder="1" applyAlignment="1">
      <alignment horizontal="center"/>
    </xf>
    <xf numFmtId="0" fontId="80" fillId="0" borderId="61" xfId="13" applyFont="1" applyBorder="1" applyAlignment="1">
      <alignment horizontal="center"/>
    </xf>
    <xf numFmtId="0" fontId="80" fillId="0" borderId="18" xfId="13" applyFont="1" applyBorder="1" applyAlignment="1">
      <alignment horizontal="left" vertical="center" wrapText="1"/>
    </xf>
    <xf numFmtId="0" fontId="80" fillId="0" borderId="44" xfId="13" applyFont="1" applyBorder="1" applyAlignment="1">
      <alignment horizontal="left" vertical="center" wrapText="1"/>
    </xf>
    <xf numFmtId="0" fontId="80" fillId="0" borderId="61" xfId="13" applyFont="1" applyBorder="1" applyAlignment="1">
      <alignment horizontal="left" vertical="center" wrapText="1"/>
    </xf>
    <xf numFmtId="0" fontId="80" fillId="0" borderId="52" xfId="13" applyFont="1" applyBorder="1" applyAlignment="1">
      <alignment horizontal="left" vertical="center" wrapText="1"/>
    </xf>
    <xf numFmtId="0" fontId="80" fillId="0" borderId="60" xfId="13" applyFont="1" applyBorder="1" applyAlignment="1">
      <alignment horizontal="left" vertical="center" wrapText="1"/>
    </xf>
    <xf numFmtId="0" fontId="80" fillId="0" borderId="44" xfId="13" applyFont="1" applyBorder="1" applyAlignment="1">
      <alignment horizontal="center" vertical="center" wrapText="1"/>
    </xf>
    <xf numFmtId="0" fontId="80" fillId="0" borderId="29" xfId="13" applyFont="1" applyBorder="1" applyAlignment="1">
      <alignment horizontal="center" vertical="center" wrapText="1"/>
    </xf>
    <xf numFmtId="0" fontId="80" fillId="0" borderId="13" xfId="13" applyFont="1" applyBorder="1" applyAlignment="1">
      <alignment horizontal="left" vertical="center"/>
    </xf>
    <xf numFmtId="0" fontId="81" fillId="0" borderId="7" xfId="13" applyFont="1" applyBorder="1" applyAlignment="1">
      <alignment horizontal="left" vertical="center" wrapText="1"/>
    </xf>
    <xf numFmtId="0" fontId="81" fillId="0" borderId="29" xfId="13" applyFont="1" applyBorder="1" applyAlignment="1">
      <alignment horizontal="left" vertical="center" wrapText="1"/>
    </xf>
    <xf numFmtId="0" fontId="81" fillId="0" borderId="22" xfId="13" applyFont="1" applyBorder="1" applyAlignment="1">
      <alignment horizontal="left" vertical="center" wrapText="1"/>
    </xf>
    <xf numFmtId="0" fontId="81" fillId="0" borderId="44" xfId="13" applyFont="1" applyBorder="1" applyAlignment="1">
      <alignment horizontal="center" vertical="center"/>
    </xf>
    <xf numFmtId="0" fontId="81" fillId="0" borderId="22" xfId="13" applyFont="1" applyBorder="1" applyAlignment="1">
      <alignment horizontal="center" vertical="center"/>
    </xf>
    <xf numFmtId="0" fontId="81" fillId="0" borderId="7" xfId="13" applyFont="1" applyBorder="1" applyAlignment="1">
      <alignment horizontal="center" vertical="center"/>
    </xf>
    <xf numFmtId="0" fontId="81" fillId="0" borderId="29" xfId="13" applyFont="1" applyBorder="1" applyAlignment="1">
      <alignment horizontal="center" vertical="center"/>
    </xf>
    <xf numFmtId="0" fontId="81" fillId="0" borderId="7" xfId="13" applyFont="1" applyBorder="1" applyAlignment="1">
      <alignment horizontal="left" vertical="center"/>
    </xf>
    <xf numFmtId="0" fontId="81" fillId="0" borderId="29" xfId="13" applyFont="1" applyBorder="1" applyAlignment="1">
      <alignment horizontal="left" vertical="center"/>
    </xf>
    <xf numFmtId="0" fontId="81" fillId="0" borderId="22" xfId="13" applyFont="1" applyBorder="1" applyAlignment="1">
      <alignment horizontal="left" vertical="center"/>
    </xf>
    <xf numFmtId="0" fontId="81" fillId="0" borderId="1" xfId="13" applyFont="1" applyBorder="1" applyAlignment="1">
      <alignment horizontal="left" vertical="center"/>
    </xf>
    <xf numFmtId="0" fontId="81" fillId="0" borderId="44" xfId="13" applyFont="1" applyBorder="1" applyAlignment="1">
      <alignment horizontal="left" vertical="center"/>
    </xf>
    <xf numFmtId="0" fontId="80" fillId="0" borderId="44" xfId="13" applyFont="1" applyBorder="1" applyAlignment="1">
      <alignment horizontal="left" vertical="center"/>
    </xf>
    <xf numFmtId="0" fontId="80" fillId="0" borderId="61" xfId="13" applyFont="1" applyBorder="1" applyAlignment="1">
      <alignment horizontal="left" vertical="center"/>
    </xf>
    <xf numFmtId="0" fontId="87" fillId="17" borderId="32" xfId="13" applyFont="1" applyFill="1" applyBorder="1" applyAlignment="1">
      <alignment horizontal="center" vertical="center" wrapText="1"/>
    </xf>
    <xf numFmtId="0" fontId="80" fillId="0" borderId="54" xfId="13" applyFont="1" applyBorder="1" applyAlignment="1">
      <alignment horizontal="left" wrapText="1"/>
    </xf>
    <xf numFmtId="0" fontId="80" fillId="0" borderId="16" xfId="13" applyFont="1" applyBorder="1" applyAlignment="1">
      <alignment horizontal="left" wrapText="1"/>
    </xf>
    <xf numFmtId="0" fontId="80" fillId="0" borderId="13" xfId="13" applyFont="1" applyBorder="1" applyAlignment="1">
      <alignment horizontal="center" vertical="center" wrapText="1"/>
    </xf>
    <xf numFmtId="0" fontId="80" fillId="0" borderId="1" xfId="13" applyFont="1" applyBorder="1" applyAlignment="1">
      <alignment horizontal="center" vertical="center" wrapText="1"/>
    </xf>
    <xf numFmtId="0" fontId="80" fillId="0" borderId="13" xfId="13" applyFont="1" applyBorder="1" applyAlignment="1">
      <alignment horizontal="left" wrapText="1"/>
    </xf>
    <xf numFmtId="0" fontId="80" fillId="0" borderId="1" xfId="13" applyFont="1" applyBorder="1" applyAlignment="1">
      <alignment horizontal="left" wrapText="1"/>
    </xf>
    <xf numFmtId="0" fontId="80" fillId="0" borderId="52" xfId="13" applyFont="1" applyBorder="1" applyAlignment="1">
      <alignment horizontal="left" wrapText="1"/>
    </xf>
    <xf numFmtId="0" fontId="80" fillId="0" borderId="60" xfId="13" applyFont="1" applyBorder="1" applyAlignment="1">
      <alignment horizontal="left" wrapText="1"/>
    </xf>
    <xf numFmtId="0" fontId="83" fillId="4" borderId="30" xfId="0" applyFont="1" applyFill="1" applyBorder="1" applyAlignment="1">
      <alignment horizontal="left"/>
    </xf>
    <xf numFmtId="0" fontId="83" fillId="4" borderId="0" xfId="0" applyFont="1" applyFill="1" applyAlignment="1">
      <alignment horizontal="left"/>
    </xf>
  </cellXfs>
  <cellStyles count="17">
    <cellStyle name="BodyStyle" xfId="1" xr:uid="{00000000-0005-0000-0000-000000000000}"/>
    <cellStyle name="HeaderStyle" xfId="2" xr:uid="{00000000-0005-0000-0000-000005000000}"/>
    <cellStyle name="MainTitle" xfId="3" xr:uid="{00000000-0005-0000-0000-000006000000}"/>
    <cellStyle name="Millares" xfId="4" builtinId="3"/>
    <cellStyle name="Millares [0]" xfId="5" builtinId="6"/>
    <cellStyle name="Millares [0] 2" xfId="6" xr:uid="{00000000-0005-0000-0000-000007000000}"/>
    <cellStyle name="Millares 2" xfId="7" xr:uid="{00000000-0005-0000-0000-000008000000}"/>
    <cellStyle name="Millares 3" xfId="8" xr:uid="{00000000-0005-0000-0000-000009000000}"/>
    <cellStyle name="Moneda" xfId="9" builtinId="4"/>
    <cellStyle name="Moneda [0]" xfId="10" builtinId="7"/>
    <cellStyle name="Moneda [0] 2" xfId="11" xr:uid="{00000000-0005-0000-0000-00000A000000}"/>
    <cellStyle name="Moneda 2" xfId="12" xr:uid="{00000000-0005-0000-0000-00000B000000}"/>
    <cellStyle name="Normal" xfId="0" builtinId="0"/>
    <cellStyle name="Normal 2" xfId="13" xr:uid="{00000000-0005-0000-0000-00000D000000}"/>
    <cellStyle name="Normal 2 10" xfId="14" xr:uid="{00000000-0005-0000-0000-00000E000000}"/>
    <cellStyle name="Normal 4 2" xfId="15" xr:uid="{00000000-0005-0000-0000-00000F000000}"/>
    <cellStyle name="Porcentaje" xfId="16" builtinId="5"/>
  </cellStyles>
  <dxfs count="65">
    <dxf>
      <font>
        <b val="0"/>
        <i val="0"/>
        <strike val="0"/>
        <condense val="0"/>
        <extend val="0"/>
        <outline val="0"/>
        <shadow val="0"/>
        <u val="none"/>
        <vertAlign val="baseline"/>
        <sz val="12"/>
        <color theme="1"/>
        <name val="Tahoma"/>
        <scheme val="none"/>
      </font>
      <numFmt numFmtId="175" formatCode="_-&quot;$&quot;\ * #,##0_-;\-&quot;$&quot;\ * #,##0_-;_-&quot;$&quot;\ * &quot;-&quot;??_-;_-@_-"/>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Tahoma"/>
        <scheme val="none"/>
      </font>
      <numFmt numFmtId="175" formatCode="_-&quot;$&quot;\ * #,##0_-;\-&quot;$&quot;\ * #,##0_-;_-&quot;$&quot;\ * &quot;-&quot;??_-;_-@_-"/>
      <fill>
        <patternFill patternType="none">
          <fgColor indexed="64"/>
          <bgColor indexed="65"/>
        </patternFill>
      </fill>
      <alignment horizontal="general" vertical="center" textRotation="0" indent="0" justifyLastLine="0" shrinkToFit="0" readingOrder="0"/>
    </dxf>
    <dxf>
      <font>
        <b val="0"/>
        <i val="0"/>
        <strike val="0"/>
        <condense val="0"/>
        <extend val="0"/>
        <outline val="0"/>
        <shadow val="0"/>
        <u val="none"/>
        <vertAlign val="baseline"/>
        <sz val="12"/>
        <color theme="1"/>
        <name val="Tahoma"/>
        <scheme val="none"/>
      </font>
      <numFmt numFmtId="175" formatCode="_-&quot;$&quot;\ * #,##0_-;\-&quot;$&quot;\ * #,##0_-;_-&quot;$&quot;\ * &quot;-&quot;??_-;_-@_-"/>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Tahoma"/>
        <scheme val="none"/>
      </font>
      <numFmt numFmtId="175" formatCode="_-&quot;$&quot;\ * #,##0_-;\-&quot;$&quot;\ * #,##0_-;_-&quot;$&quot;\ * &quot;-&quot;??_-;_-@_-"/>
      <fill>
        <patternFill patternType="none">
          <fgColor indexed="64"/>
          <bgColor indexed="65"/>
        </patternFill>
      </fill>
      <alignment horizontal="general" vertical="center" textRotation="0" indent="0" justifyLastLine="0" shrinkToFit="0" readingOrder="0"/>
    </dxf>
    <dxf>
      <font>
        <b val="0"/>
        <i val="0"/>
        <strike val="0"/>
        <condense val="0"/>
        <extend val="0"/>
        <outline val="0"/>
        <shadow val="0"/>
        <u val="none"/>
        <vertAlign val="baseline"/>
        <sz val="12"/>
        <color theme="1"/>
        <name val="Tahoma"/>
        <scheme val="none"/>
      </font>
      <numFmt numFmtId="175" formatCode="_-&quot;$&quot;\ * #,##0_-;\-&quot;$&quot;\ * #,##0_-;_-&quot;$&quot;\ * &quot;-&quot;??_-;_-@_-"/>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Tahoma"/>
        <scheme val="none"/>
      </font>
      <numFmt numFmtId="175" formatCode="_-&quot;$&quot;\ * #,##0_-;\-&quot;$&quot;\ * #,##0_-;_-&quot;$&quot;\ * &quot;-&quot;??_-;_-@_-"/>
      <fill>
        <patternFill patternType="none">
          <fgColor indexed="64"/>
          <bgColor indexed="65"/>
        </patternFill>
      </fill>
      <alignment horizontal="general" vertical="center" textRotation="0" indent="0" justifyLastLine="0" shrinkToFit="0" readingOrder="0"/>
    </dxf>
    <dxf>
      <font>
        <b val="0"/>
        <i val="0"/>
        <strike val="0"/>
        <condense val="0"/>
        <extend val="0"/>
        <outline val="0"/>
        <shadow val="0"/>
        <u val="none"/>
        <vertAlign val="baseline"/>
        <sz val="12"/>
        <color theme="1"/>
        <name val="Tahoma"/>
        <scheme val="none"/>
      </font>
      <numFmt numFmtId="175" formatCode="_-&quot;$&quot;\ * #,##0_-;\-&quot;$&quot;\ * #,##0_-;_-&quot;$&quot;\ * &quot;-&quot;??_-;_-@_-"/>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Tahoma"/>
        <scheme val="none"/>
      </font>
      <numFmt numFmtId="175" formatCode="_-&quot;$&quot;\ * #,##0_-;\-&quot;$&quot;\ * #,##0_-;_-&quot;$&quot;\ * &quot;-&quot;??_-;_-@_-"/>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Tahoma"/>
        <scheme val="none"/>
      </font>
      <numFmt numFmtId="175" formatCode="_-&quot;$&quot;\ * #,##0_-;\-&quot;$&quot;\ * #,##0_-;_-&quot;$&quot;\ * &quot;-&quot;??_-;_-@_-"/>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Tahoma"/>
        <scheme val="none"/>
      </font>
      <numFmt numFmtId="175" formatCode="_-&quot;$&quot;\ * #,##0_-;\-&quot;$&quot;\ * #,##0_-;_-&quot;$&quot;\ * &quot;-&quot;??_-;_-@_-"/>
      <fill>
        <patternFill patternType="none">
          <fgColor indexed="64"/>
          <bgColor indexed="65"/>
        </patternFill>
      </fill>
      <alignment horizontal="general" vertical="center" textRotation="0" indent="0" justifyLastLine="0" shrinkToFit="0" readingOrder="0"/>
    </dxf>
    <dxf>
      <font>
        <b val="0"/>
        <i val="0"/>
        <strike val="0"/>
        <condense val="0"/>
        <extend val="0"/>
        <outline val="0"/>
        <shadow val="0"/>
        <u val="none"/>
        <vertAlign val="baseline"/>
        <sz val="12"/>
        <color theme="1"/>
        <name val="Tahoma"/>
        <scheme val="none"/>
      </font>
      <numFmt numFmtId="175" formatCode="_-&quot;$&quot;\ * #,##0_-;\-&quot;$&quot;\ * #,##0_-;_-&quot;$&quot;\ * &quot;-&quot;??_-;_-@_-"/>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Tahoma"/>
        <scheme val="none"/>
      </font>
      <numFmt numFmtId="175" formatCode="_-&quot;$&quot;\ * #,##0_-;\-&quot;$&quot;\ * #,##0_-;_-&quot;$&quot;\ * &quot;-&quot;??_-;_-@_-"/>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Tahoma"/>
        <scheme val="none"/>
      </font>
    </dxf>
    <dxf>
      <font>
        <b val="0"/>
        <i val="0"/>
        <strike val="0"/>
        <condense val="0"/>
        <extend val="0"/>
        <outline val="0"/>
        <shadow val="0"/>
        <u val="none"/>
        <vertAlign val="baseline"/>
        <sz val="12"/>
        <color theme="1"/>
        <name val="Tahoma"/>
        <scheme val="none"/>
      </font>
      <fill>
        <patternFill patternType="none">
          <fgColor indexed="64"/>
          <bgColor indexed="65"/>
        </patternFill>
      </fill>
    </dxf>
    <dxf>
      <font>
        <b val="0"/>
        <i val="0"/>
        <strike val="0"/>
        <condense val="0"/>
        <extend val="0"/>
        <outline val="0"/>
        <shadow val="0"/>
        <u val="none"/>
        <vertAlign val="baseline"/>
        <sz val="12"/>
        <color theme="1"/>
        <name val="Tahoma"/>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ahoma"/>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ahoma"/>
        <scheme val="none"/>
      </font>
      <numFmt numFmtId="0" formatCode="General"/>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Tahoma"/>
        <scheme val="none"/>
      </font>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175" formatCode="_-&quot;$&quot;\ * #,##0_-;\-&quot;$&quot;\ * #,##0_-;_-&quot;$&quot;\ *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175" formatCode="_-&quot;$&quot;\ * #,##0_-;\-&quot;$&quot;\ * #,##0_-;_-&quot;$&quot;\ *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17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Tahoma"/>
        <scheme val="none"/>
      </font>
      <numFmt numFmtId="179" formatCode="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Tahoma"/>
        <scheme val="none"/>
      </font>
      <numFmt numFmtId="17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79" formatCode="d/mm/yyyy;@"/>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ill>
        <patternFill patternType="none">
          <fgColor indexed="64"/>
          <bgColor indexed="65"/>
        </patternFill>
      </fill>
      <alignment horizont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34" formatCode="_-&quot;$&quot;\ * #,##0.00_-;\-&quot;$&quot;\ * #,##0.00_-;_-&quot;$&quot;\ *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ahoma"/>
        <scheme val="none"/>
      </font>
      <numFmt numFmtId="175" formatCode="_-&quot;$&quot;\ * #,##0_-;\-&quot;$&quot;\ * #,##0_-;_-&quot;$&quot;\ * &quot;-&quot;??_-;_-@_-"/>
      <fill>
        <patternFill patternType="solid">
          <fgColor indexed="64"/>
          <bgColor theme="0"/>
        </patternFill>
      </fill>
      <alignment horizontal="general" vertical="center" textRotation="0" wrapText="0" indent="0" justifyLastLine="0" shrinkToFit="0" readingOrder="0"/>
    </dxf>
    <dxf>
      <border outline="0">
        <left style="thin">
          <color rgb="FF000000"/>
        </left>
      </border>
    </dxf>
    <dxf>
      <fill>
        <patternFill patternType="none">
          <fgColor indexed="64"/>
          <bgColor indexed="65"/>
        </patternFill>
      </fill>
    </dxf>
    <dxf>
      <font>
        <b/>
        <i val="0"/>
        <strike val="0"/>
        <condense val="0"/>
        <extend val="0"/>
        <outline val="0"/>
        <shadow val="0"/>
        <u val="none"/>
        <vertAlign val="baseline"/>
        <sz val="12"/>
        <color auto="1"/>
        <name val="Tahoma"/>
        <scheme val="none"/>
      </font>
      <numFmt numFmtId="0" formatCode="General"/>
      <fill>
        <patternFill patternType="solid">
          <fgColor indexed="64"/>
          <bgColor theme="3"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RESUMEN%20PRESUPUESTAL%20POR%20RUBRO%20(8)1209201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handr/Desktop/UAESP/Seguimiento%20Proyectos/SEGUIMIENTO%20MENSUAL%20RESERVAS%20CONSTITUIDAS%20DICIEMBRE%20DE%202020%2016%20feb.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uaespdc-my.sharepoint.com/Users/jenny.bonilla.UAESP/Desktop/TRABAJO%20CASA%20SEPTIEMBRE/PLANEACION%202021/SEGUIMIENTO%20PPTAL%202021/FEBRERO%202021/CRPS%20A%20FEBRERO%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E X RUBRO (2)"/>
      <sheetName val="INFORME X RUBRO"/>
      <sheetName val="CDPS "/>
      <sheetName val="TD CRPS"/>
      <sheetName val="td compromisos marce"/>
      <sheetName val="CRPS "/>
      <sheetName val="Hoja4"/>
      <sheetName val="EJECUCIÓN"/>
      <sheetName val="T.D. CONC.GASTO"/>
      <sheetName val="CDPS CONC.GASTO"/>
      <sheetName val="Listas"/>
    </sheetNames>
    <sheetDataSet>
      <sheetData sheetId="0" refreshError="1"/>
      <sheetData sheetId="1" refreshError="1"/>
      <sheetData sheetId="2" refreshError="1"/>
      <sheetData sheetId="3">
        <row r="5">
          <cell r="A5" t="str">
            <v>1003-1-1-01-14-00-0000-00</v>
          </cell>
          <cell r="B5" t="str">
            <v>UNIDAD ADMINISTRATIVA ESPECIAL DE SERVICIOS PUBLICOS</v>
          </cell>
          <cell r="C5">
            <v>6548627</v>
          </cell>
        </row>
        <row r="6">
          <cell r="A6" t="str">
            <v>1003-1-1-01-21-00-0000-00</v>
          </cell>
          <cell r="B6" t="str">
            <v>UNIDAD ADMINISTRATIVA ESPECIAL DE SERVICIOS PUBLICOS</v>
          </cell>
          <cell r="C6">
            <v>14015732</v>
          </cell>
        </row>
        <row r="7">
          <cell r="A7" t="str">
            <v>1003-1-1-01-26-00-0000-00</v>
          </cell>
          <cell r="B7" t="str">
            <v>UNIDAD ADMINISTRATIVA ESPECIAL DE SERVICIOS PUBLICOS</v>
          </cell>
          <cell r="C7">
            <v>420956</v>
          </cell>
        </row>
        <row r="8">
          <cell r="A8" t="str">
            <v>1013-3-1-14-02-21-0584-205</v>
          </cell>
          <cell r="B8" t="str">
            <v>METRICA CONSULTORES S A S</v>
          </cell>
          <cell r="C8">
            <v>41083592</v>
          </cell>
        </row>
        <row r="9">
          <cell r="A9" t="str">
            <v>1023-3-1-14-02-21-0584-204</v>
          </cell>
          <cell r="B9" t="str">
            <v>MARIA CAMILA CORAL VILLOTA</v>
          </cell>
          <cell r="C9">
            <v>13410000</v>
          </cell>
        </row>
        <row r="10">
          <cell r="A10" t="str">
            <v>103-1-1-02-03-01-0000-00</v>
          </cell>
          <cell r="B10" t="str">
            <v>MARCELA  GOMEZ CLARK</v>
          </cell>
          <cell r="C10">
            <v>5800000</v>
          </cell>
        </row>
        <row r="11">
          <cell r="A11" t="str">
            <v>1043-3-1-14-02-21-0584-204</v>
          </cell>
          <cell r="B11" t="str">
            <v>EMPRESA DE ACUEDUCTO ALCANTARILLADO Y ASEO DE BOGOTA ESP</v>
          </cell>
          <cell r="C11">
            <v>5000000000</v>
          </cell>
        </row>
        <row r="12">
          <cell r="A12" t="str">
            <v>1073-3-1-14-02-21-0584-205</v>
          </cell>
          <cell r="B12" t="str">
            <v>VIVIANA ISABEL ARENAS VIOLA</v>
          </cell>
          <cell r="C12">
            <v>34883333</v>
          </cell>
        </row>
        <row r="13">
          <cell r="A13" t="str">
            <v>1073-3-1-14-02-21-0584-207</v>
          </cell>
          <cell r="B13" t="str">
            <v>VIVIANA ISABEL ARENAS VIOLA</v>
          </cell>
          <cell r="C13">
            <v>34883333</v>
          </cell>
        </row>
        <row r="14">
          <cell r="A14" t="str">
            <v>1083-1-1-02-03-01-0000-00</v>
          </cell>
          <cell r="B14" t="str">
            <v>HERNANDO DE JESUS HERRERA MERCADO</v>
          </cell>
          <cell r="C14">
            <v>1399591620</v>
          </cell>
        </row>
        <row r="15">
          <cell r="A15" t="str">
            <v>1103-3-1-14-02-21-0584-205</v>
          </cell>
          <cell r="B15" t="str">
            <v>HELI ALFREDO IZACIGA SUAREZ</v>
          </cell>
          <cell r="C15">
            <v>21532362</v>
          </cell>
        </row>
        <row r="16">
          <cell r="A16" t="str">
            <v>1123-1-1-02-03-01-0000-00</v>
          </cell>
          <cell r="B16" t="str">
            <v>ALBERTO  ROA QUINONES</v>
          </cell>
          <cell r="C16">
            <v>76266666</v>
          </cell>
        </row>
        <row r="17">
          <cell r="A17" t="str">
            <v>113-1-1-02-03-01-0000-00</v>
          </cell>
          <cell r="B17" t="str">
            <v>RAUL WEXLER PULIDO TELLEZ</v>
          </cell>
          <cell r="C17">
            <v>5800000</v>
          </cell>
        </row>
        <row r="18">
          <cell r="A18" t="str">
            <v>1133-1-2-02-03-00-0000-00</v>
          </cell>
          <cell r="B18" t="str">
            <v>UNIDAD ADMINISTRATIVA ESPECIAL DE SERVICIOS PUBLICOS</v>
          </cell>
          <cell r="C18">
            <v>805060</v>
          </cell>
        </row>
        <row r="19">
          <cell r="A19" t="str">
            <v>1143-1-1-02-03-01-0000-00</v>
          </cell>
          <cell r="B19" t="str">
            <v>ZAYRA ESTEFANIA USECHE GOMEZ</v>
          </cell>
          <cell r="C19">
            <v>3200000</v>
          </cell>
        </row>
        <row r="20">
          <cell r="A20" t="str">
            <v>1153-3-1-14-03-31-0581-235</v>
          </cell>
          <cell r="B20" t="str">
            <v>LUISA FERNANDA SANTIAGO DELVASTO</v>
          </cell>
          <cell r="C20">
            <v>57000000</v>
          </cell>
        </row>
        <row r="21">
          <cell r="A21" t="str">
            <v>1163-1-1-02-03-01-0000-00</v>
          </cell>
          <cell r="B21" t="str">
            <v>BDO AUDIT S A</v>
          </cell>
          <cell r="C21">
            <v>46400000</v>
          </cell>
        </row>
        <row r="22">
          <cell r="A22" t="str">
            <v>1173-1-1-03-01-02-0000-00</v>
          </cell>
          <cell r="B22" t="str">
            <v>UNIDAD ADMINISTRATIVA ESPECIAL DE SERVICIOS PUBLICOS</v>
          </cell>
          <cell r="C22">
            <v>36802000</v>
          </cell>
        </row>
        <row r="23">
          <cell r="A23" t="str">
            <v>1173-1-1-03-01-03-0000-00</v>
          </cell>
          <cell r="B23" t="str">
            <v>UNIDAD ADMINISTRATIVA ESPECIAL DE SERVICIOS PUBLICOS</v>
          </cell>
          <cell r="C23">
            <v>50861361</v>
          </cell>
        </row>
        <row r="24">
          <cell r="A24" t="str">
            <v>1173-1-1-03-01-05-0000-00</v>
          </cell>
          <cell r="B24" t="str">
            <v>UNIDAD ADMINISTRATIVA ESPECIAL DE SERVICIOS PUBLICOS</v>
          </cell>
          <cell r="C24">
            <v>24596700</v>
          </cell>
        </row>
        <row r="25">
          <cell r="A25" t="str">
            <v>1173-1-1-03-02-01-0000-00</v>
          </cell>
          <cell r="B25" t="str">
            <v>UNIDAD ADMINISTRATIVA ESPECIAL DE SERVICIOS PUBLICOS</v>
          </cell>
          <cell r="C25">
            <v>39529024</v>
          </cell>
        </row>
        <row r="26">
          <cell r="A26" t="str">
            <v>1173-1-1-03-02-02-0000-00</v>
          </cell>
          <cell r="B26" t="str">
            <v>UNIDAD ADMINISTRATIVA ESPECIAL DE SERVICIOS PUBLICOS</v>
          </cell>
          <cell r="C26">
            <v>35004980</v>
          </cell>
        </row>
        <row r="27">
          <cell r="A27" t="str">
            <v>1173-1-1-03-02-04-0000-00</v>
          </cell>
          <cell r="B27" t="str">
            <v>UNIDAD ADMINISTRATIVA ESPECIAL DE SERVICIOS PUBLICOS</v>
          </cell>
          <cell r="C27">
            <v>3610172</v>
          </cell>
        </row>
        <row r="28">
          <cell r="A28" t="str">
            <v>1173-1-1-03-02-06-0000-00</v>
          </cell>
          <cell r="B28" t="str">
            <v>UNIDAD ADMINISTRATIVA ESPECIAL DE SERVICIOS PUBLICOS</v>
          </cell>
          <cell r="C28">
            <v>18447600</v>
          </cell>
        </row>
        <row r="29">
          <cell r="A29" t="str">
            <v>1173-1-1-03-02-07-0000-00</v>
          </cell>
          <cell r="B29" t="str">
            <v>UNIDAD ADMINISTRATIVA ESPECIAL DE SERVICIOS PUBLICOS</v>
          </cell>
          <cell r="C29">
            <v>12299700</v>
          </cell>
        </row>
        <row r="30">
          <cell r="A30" t="str">
            <v>1173-1-1-03-02-09-0000-00</v>
          </cell>
          <cell r="B30" t="str">
            <v>UNIDAD ADMINISTRATIVA ESPECIAL DE SERVICIOS PUBLICOS</v>
          </cell>
          <cell r="C30">
            <v>8892</v>
          </cell>
        </row>
        <row r="31">
          <cell r="A31" t="str">
            <v>1183-3-1-14-03-31-0581-235</v>
          </cell>
          <cell r="B31" t="str">
            <v>EMPRESA DE TELECOMUNICACIONES DE BOGOTA SA ESP</v>
          </cell>
          <cell r="C31">
            <v>159386506</v>
          </cell>
        </row>
        <row r="32">
          <cell r="A32" t="str">
            <v>1193-1-1-02-03-01-0000-00</v>
          </cell>
          <cell r="B32" t="str">
            <v>GERARDO  PINZON</v>
          </cell>
          <cell r="C32">
            <v>52250000</v>
          </cell>
        </row>
        <row r="33">
          <cell r="A33" t="str">
            <v>123-3-1-14-02-21-0584-205</v>
          </cell>
          <cell r="B33" t="str">
            <v>GABRIELA  SANDOVAL MONTOYA</v>
          </cell>
          <cell r="C33">
            <v>83999990</v>
          </cell>
        </row>
        <row r="34">
          <cell r="A34" t="str">
            <v>1263-1-1-02-03-01-0000-00</v>
          </cell>
          <cell r="B34" t="str">
            <v>JEIMY JOHANA PEDRAZA VENEGAS</v>
          </cell>
          <cell r="C34">
            <v>0</v>
          </cell>
        </row>
        <row r="35">
          <cell r="A35" t="str">
            <v>1273-1-1-02-03-01-0000-00</v>
          </cell>
          <cell r="B35" t="str">
            <v>MARIELA  RUIZ JEREZ</v>
          </cell>
          <cell r="C35">
            <v>0</v>
          </cell>
        </row>
        <row r="36">
          <cell r="A36" t="str">
            <v>1303-1-1-02-03-01-0000-00</v>
          </cell>
          <cell r="B36" t="str">
            <v>KELLY MARCELA TORRES RISCANEVO</v>
          </cell>
          <cell r="C36">
            <v>42750000</v>
          </cell>
        </row>
        <row r="37">
          <cell r="A37" t="str">
            <v>1323-1-1-02-03-01-0000-00</v>
          </cell>
          <cell r="B37" t="str">
            <v>MONICA  CASTRO MARTINEZ</v>
          </cell>
          <cell r="C37">
            <v>66500000</v>
          </cell>
        </row>
        <row r="38">
          <cell r="A38" t="str">
            <v>133-3-1-14-03-31-0581-235</v>
          </cell>
          <cell r="B38" t="str">
            <v>RUBEN ESTEBAN BUITRAGO DAZA</v>
          </cell>
          <cell r="C38">
            <v>21597000</v>
          </cell>
        </row>
        <row r="39">
          <cell r="A39" t="str">
            <v>1373-3-1-14-03-31-0581-235</v>
          </cell>
          <cell r="B39" t="str">
            <v>JOSE LEONARDO ALVAREZ ORTIZ</v>
          </cell>
          <cell r="C39">
            <v>15620000</v>
          </cell>
        </row>
        <row r="40">
          <cell r="A40" t="str">
            <v>1403-1-1-01-01-00-0000-00</v>
          </cell>
          <cell r="B40" t="str">
            <v>UNIDAD ADMINISTRATIVA ESPECIAL DE SERVICIOS PUBLICOS</v>
          </cell>
          <cell r="C40">
            <v>499100201</v>
          </cell>
        </row>
        <row r="41">
          <cell r="A41" t="str">
            <v>1403-1-1-01-04-00-0000-00</v>
          </cell>
          <cell r="B41" t="str">
            <v>UNIDAD ADMINISTRATIVA ESPECIAL DE SERVICIOS PUBLICOS</v>
          </cell>
          <cell r="C41">
            <v>39478773</v>
          </cell>
        </row>
        <row r="42">
          <cell r="A42" t="str">
            <v>1403-1-1-01-05-00-0000-00</v>
          </cell>
          <cell r="B42" t="str">
            <v>UNIDAD ADMINISTRATIVA ESPECIAL DE SERVICIOS PUBLICOS</v>
          </cell>
          <cell r="C42">
            <v>8209167</v>
          </cell>
        </row>
        <row r="43">
          <cell r="A43" t="str">
            <v>1403-1-1-01-06-00-0000-00</v>
          </cell>
          <cell r="B43" t="str">
            <v>UNIDAD ADMINISTRATIVA ESPECIAL DE SERVICIOS PUBLICOS</v>
          </cell>
          <cell r="C43">
            <v>830033</v>
          </cell>
        </row>
        <row r="44">
          <cell r="A44" t="str">
            <v>1403-1-1-01-07-00-0000-00</v>
          </cell>
          <cell r="B44" t="str">
            <v>UNIDAD ADMINISTRATIVA ESPECIAL DE SERVICIOS PUBLICOS</v>
          </cell>
          <cell r="C44">
            <v>62825</v>
          </cell>
        </row>
        <row r="45">
          <cell r="A45" t="str">
            <v>1403-1-1-01-08-00-0000-00</v>
          </cell>
          <cell r="B45" t="str">
            <v>UNIDAD ADMINISTRATIVA ESPECIAL DE SERVICIOS PUBLICOS</v>
          </cell>
          <cell r="C45">
            <v>32095179</v>
          </cell>
        </row>
        <row r="46">
          <cell r="A46" t="str">
            <v>1403-1-1-01-13-00-0000-00</v>
          </cell>
          <cell r="B46" t="str">
            <v>UNIDAD ADMINISTRATIVA ESPECIAL DE SERVICIOS PUBLICOS</v>
          </cell>
          <cell r="C46">
            <v>1017274</v>
          </cell>
        </row>
        <row r="47">
          <cell r="A47" t="str">
            <v>1403-1-1-01-14-00-0000-00</v>
          </cell>
          <cell r="B47" t="str">
            <v>UNIDAD ADMINISTRATIVA ESPECIAL DE SERVICIOS PUBLICOS</v>
          </cell>
          <cell r="C47">
            <v>37561099</v>
          </cell>
        </row>
        <row r="48">
          <cell r="A48" t="str">
            <v>1403-1-1-01-15-00-0000-00</v>
          </cell>
          <cell r="B48" t="str">
            <v>UNIDAD ADMINISTRATIVA ESPECIAL DE SERVICIOS PUBLICOS</v>
          </cell>
          <cell r="C48">
            <v>153647778</v>
          </cell>
        </row>
        <row r="49">
          <cell r="A49" t="str">
            <v>1403-1-1-01-16-00-0000-00</v>
          </cell>
          <cell r="B49" t="str">
            <v>UNIDAD ADMINISTRATIVA ESPECIAL DE SERVICIOS PUBLICOS</v>
          </cell>
          <cell r="C49">
            <v>7680299</v>
          </cell>
        </row>
        <row r="50">
          <cell r="A50" t="str">
            <v>1403-1-1-01-17-00-0000-00</v>
          </cell>
          <cell r="B50" t="str">
            <v>UNIDAD ADMINISTRATIVA ESPECIAL DE SERVICIOS PUBLICOS</v>
          </cell>
          <cell r="C50">
            <v>486061</v>
          </cell>
        </row>
        <row r="51">
          <cell r="A51" t="str">
            <v>1403-1-1-01-21-00-0000-00</v>
          </cell>
          <cell r="B51" t="str">
            <v>UNIDAD ADMINISTRATIVA ESPECIAL DE SERVICIOS PUBLICOS</v>
          </cell>
          <cell r="C51">
            <v>51397416</v>
          </cell>
        </row>
        <row r="52">
          <cell r="A52" t="str">
            <v>1403-1-1-01-26-00-0000-00</v>
          </cell>
          <cell r="B52" t="str">
            <v>UNIDAD ADMINISTRATIVA ESPECIAL DE SERVICIOS PUBLICOS</v>
          </cell>
          <cell r="C52">
            <v>2704881</v>
          </cell>
        </row>
        <row r="53">
          <cell r="A53" t="str">
            <v>1413-3-1-14-02-21-0584-206</v>
          </cell>
          <cell r="B53" t="str">
            <v>OTONIEL  DIAZ MUÑOZ</v>
          </cell>
          <cell r="C53">
            <v>185934</v>
          </cell>
        </row>
        <row r="54">
          <cell r="A54" t="str">
            <v>143-3-1-14-03-31-0581-235</v>
          </cell>
          <cell r="B54" t="str">
            <v>YULLIE EUGENIA QUICANO RAMIREZ</v>
          </cell>
          <cell r="C54">
            <v>96000000</v>
          </cell>
        </row>
        <row r="55">
          <cell r="A55" t="str">
            <v>1443-3-1-14-02-21-0584-206</v>
          </cell>
          <cell r="B55" t="str">
            <v>OTONIEL  DIAZ MUÑOZ</v>
          </cell>
          <cell r="C55">
            <v>2390640</v>
          </cell>
        </row>
        <row r="56">
          <cell r="A56" t="str">
            <v>153-3-1-14-03-31-0581-235</v>
          </cell>
          <cell r="B56" t="str">
            <v>PATRICIA ELIZABETH MURCIA PAEZ</v>
          </cell>
          <cell r="C56">
            <v>180959998</v>
          </cell>
        </row>
        <row r="57">
          <cell r="A57" t="str">
            <v>163-3-1-14-03-31-0581-235</v>
          </cell>
          <cell r="B57" t="str">
            <v>WILSON ARTURO BORDA MORA</v>
          </cell>
          <cell r="C57">
            <v>35999991</v>
          </cell>
        </row>
        <row r="58">
          <cell r="A58" t="str">
            <v>173-3-1-14-03-31-0581-235</v>
          </cell>
          <cell r="B58" t="str">
            <v>SEBASTIAN  MORALES GALVIS</v>
          </cell>
          <cell r="C58">
            <v>35900666</v>
          </cell>
        </row>
        <row r="59">
          <cell r="A59" t="str">
            <v>183-3-1-14-03-31-0581-235</v>
          </cell>
          <cell r="B59" t="str">
            <v>MONICA SOLEDAD MURCIA PAEZ</v>
          </cell>
          <cell r="C59">
            <v>208799992</v>
          </cell>
        </row>
        <row r="60">
          <cell r="A60" t="str">
            <v>193-3-1-14-02-21-0584-205</v>
          </cell>
          <cell r="B60" t="str">
            <v>DORA SOFIA ROBAYO BARBOSA</v>
          </cell>
          <cell r="C60">
            <v>95999869</v>
          </cell>
        </row>
        <row r="61">
          <cell r="A61" t="str">
            <v>203-1-1-02-03-01-0000-00</v>
          </cell>
          <cell r="B61" t="str">
            <v>KAREN ISABEL MURCIA MATALLANA</v>
          </cell>
          <cell r="C61">
            <v>65998500</v>
          </cell>
        </row>
        <row r="62">
          <cell r="A62" t="str">
            <v>223-1-2-02-03-00-0000-00</v>
          </cell>
          <cell r="B62" t="str">
            <v>UNIDAD ADMINISTRATIVA ESPECIAL DE SERVICIOS PUBLICOS</v>
          </cell>
          <cell r="C62">
            <v>16825792</v>
          </cell>
        </row>
        <row r="63">
          <cell r="A63" t="str">
            <v>23-3-1-14-02-21-0584-205</v>
          </cell>
          <cell r="B63" t="str">
            <v>DIAZ UMAÑA &amp; ASOCIADOS SAS</v>
          </cell>
          <cell r="C63">
            <v>208568000</v>
          </cell>
        </row>
        <row r="64">
          <cell r="A64" t="str">
            <v>233-1-2-02-08-01-0000-00</v>
          </cell>
          <cell r="B64" t="str">
            <v>UNIDAD ADMINISTRATIVA ESPECIAL DE SERVICIOS PUBLICOS</v>
          </cell>
          <cell r="C64">
            <v>63742060</v>
          </cell>
        </row>
        <row r="65">
          <cell r="B65" t="str">
            <v>TEBOCOL SAS</v>
          </cell>
          <cell r="C65">
            <v>1189845</v>
          </cell>
        </row>
        <row r="66">
          <cell r="A66" t="str">
            <v>233-1-2-02-08-02-0000-00</v>
          </cell>
          <cell r="B66" t="str">
            <v>UNIDAD ADMINISTRATIVA ESPECIAL DE SERVICIOS PUBLICOS</v>
          </cell>
          <cell r="C66">
            <v>3262220</v>
          </cell>
        </row>
        <row r="67">
          <cell r="A67" t="str">
            <v>233-1-2-02-08-03-0000-00</v>
          </cell>
          <cell r="B67" t="str">
            <v>UNIDAD ADMINISTRATIVA ESPECIAL DE SERVICIOS PUBLICOS</v>
          </cell>
          <cell r="C67">
            <v>139150</v>
          </cell>
        </row>
        <row r="68">
          <cell r="A68" t="str">
            <v>233-1-2-02-08-04-0000-00</v>
          </cell>
          <cell r="B68" t="str">
            <v>UNIDAD ADMINISTRATIVA ESPECIAL DE SERVICIOS PUBLICOS</v>
          </cell>
          <cell r="C68">
            <v>51043640</v>
          </cell>
        </row>
        <row r="69">
          <cell r="A69" t="str">
            <v>243-3-1-14-02-21-0584-205</v>
          </cell>
          <cell r="B69" t="str">
            <v>UNIDAD ADMINISTRATIVA ESPECIAL DE SERVICIOS PUBLICOS</v>
          </cell>
          <cell r="C69">
            <v>31839955</v>
          </cell>
        </row>
        <row r="70">
          <cell r="A70" t="str">
            <v>253-1-2-01-02-00-0000-00</v>
          </cell>
          <cell r="B70" t="str">
            <v>UNIDAD ADMINISTRATIVA ESPECIAL DE SERVICIOS PUBLICOS</v>
          </cell>
          <cell r="C70">
            <v>1754800</v>
          </cell>
        </row>
        <row r="71">
          <cell r="A71" t="str">
            <v>253-1-2-01-04-00-0000-00</v>
          </cell>
          <cell r="B71" t="str">
            <v>UNIDAD ADMINISTRATIVA ESPECIAL DE SERVICIOS PUBLICOS</v>
          </cell>
          <cell r="C71">
            <v>9108372</v>
          </cell>
        </row>
        <row r="72">
          <cell r="A72" t="str">
            <v>253-1-2-02-03-00-0000-00</v>
          </cell>
          <cell r="B72" t="str">
            <v>UNIDAD ADMINISTRATIVA ESPECIAL DE SERVICIOS PUBLICOS</v>
          </cell>
          <cell r="C72">
            <v>3848900</v>
          </cell>
        </row>
        <row r="73">
          <cell r="A73" t="str">
            <v>253-1-2-02-04-00-0000-00</v>
          </cell>
          <cell r="B73" t="str">
            <v>UNIDAD ADMINISTRATIVA ESPECIAL DE SERVICIOS PUBLICOS</v>
          </cell>
          <cell r="C73">
            <v>1742250</v>
          </cell>
        </row>
        <row r="74">
          <cell r="A74" t="str">
            <v>253-1-2-02-05-01-0000-00</v>
          </cell>
          <cell r="B74" t="str">
            <v>UNIDAD ADMINISTRATIVA ESPECIAL DE SERVICIOS PUBLICOS</v>
          </cell>
          <cell r="C74">
            <v>2528786</v>
          </cell>
        </row>
        <row r="75">
          <cell r="A75" t="str">
            <v>253-1-2-03-02-00-0000-00</v>
          </cell>
          <cell r="B75" t="str">
            <v>UNIDAD ADMINISTRATIVA ESPECIAL DE SERVICIOS PUBLICOS</v>
          </cell>
          <cell r="C75">
            <v>972556</v>
          </cell>
        </row>
        <row r="76">
          <cell r="A76" t="str">
            <v>273-3-1-14-03-31-0581-235</v>
          </cell>
          <cell r="B76" t="str">
            <v>SIRLEY LORENA QUINTERO GOMEZ</v>
          </cell>
          <cell r="C76">
            <v>32199996</v>
          </cell>
        </row>
        <row r="77">
          <cell r="A77" t="str">
            <v>283-3-1-14-03-31-0581-235</v>
          </cell>
          <cell r="B77" t="str">
            <v>JOHANA  PATIÑO VELILLA</v>
          </cell>
          <cell r="C77">
            <v>80499996</v>
          </cell>
        </row>
        <row r="78">
          <cell r="A78" t="str">
            <v>293-3-1-14-02-21-0584-204</v>
          </cell>
          <cell r="B78" t="str">
            <v>TANIA MARINELA GARCIA MENDEZ</v>
          </cell>
          <cell r="C78">
            <v>66000000</v>
          </cell>
        </row>
        <row r="79">
          <cell r="A79" t="str">
            <v>303-3-1-14-02-21-0584-206</v>
          </cell>
          <cell r="B79" t="str">
            <v>FRANCISCO JAVIER ACOSTA SUAREZ</v>
          </cell>
          <cell r="C79">
            <v>144928000</v>
          </cell>
        </row>
        <row r="80">
          <cell r="A80" t="str">
            <v>313-3-1-14-03-31-0581-235</v>
          </cell>
          <cell r="B80" t="str">
            <v>GUILLERMO ALFONSO AGUANCHA BAUTE</v>
          </cell>
          <cell r="C80">
            <v>85249999</v>
          </cell>
        </row>
        <row r="81">
          <cell r="A81" t="str">
            <v>323-3-1-14-03-31-0581-235</v>
          </cell>
          <cell r="B81" t="str">
            <v>LUZ DARY CUEVAS MUÑOZ</v>
          </cell>
          <cell r="C81">
            <v>90933326</v>
          </cell>
        </row>
        <row r="82">
          <cell r="A82" t="str">
            <v>33-3-1-14-02-21-0584-206</v>
          </cell>
          <cell r="B82" t="str">
            <v>DENNY VANNESSA SOTELO BUSTOS</v>
          </cell>
          <cell r="C82">
            <v>95990500</v>
          </cell>
        </row>
        <row r="83">
          <cell r="A83" t="str">
            <v>333-3-1-14-02-21-0584-205</v>
          </cell>
          <cell r="B83" t="str">
            <v>SAADA SOLIMA MAHMUD SANCHEZ</v>
          </cell>
          <cell r="C83">
            <v>85704667</v>
          </cell>
        </row>
        <row r="84">
          <cell r="A84" t="str">
            <v>333-3-1-14-02-21-0584-206</v>
          </cell>
          <cell r="B84" t="str">
            <v>SAADA SOLIMA MAHMUD SANCHEZ</v>
          </cell>
          <cell r="C84">
            <v>85704448</v>
          </cell>
        </row>
        <row r="85">
          <cell r="A85" t="str">
            <v>343-3-1-14-01-14-0582-171</v>
          </cell>
          <cell r="B85" t="str">
            <v>MILTON FERNANDO MONTOYA PARDO</v>
          </cell>
          <cell r="C85">
            <v>170906659</v>
          </cell>
        </row>
        <row r="86">
          <cell r="A86" t="str">
            <v>353-3-1-14-01-14-0582-171</v>
          </cell>
          <cell r="B86" t="str">
            <v>MARIA CAMILA ANA FERNANDA LOZANO MARTINEZ</v>
          </cell>
          <cell r="C86">
            <v>73666659</v>
          </cell>
        </row>
        <row r="87">
          <cell r="A87" t="str">
            <v>363-3-1-14-01-14-0582-171</v>
          </cell>
          <cell r="B87" t="str">
            <v>ANGIE ALEXANDRA HERNANDEZ CASTAÑO</v>
          </cell>
          <cell r="C87">
            <v>40181814</v>
          </cell>
        </row>
        <row r="88">
          <cell r="A88" t="str">
            <v>373-3-1-14-03-31-0581-235</v>
          </cell>
          <cell r="B88" t="str">
            <v>DANIEL ARTURO JAIME VELANDIA</v>
          </cell>
          <cell r="C88">
            <v>77000000</v>
          </cell>
        </row>
        <row r="89">
          <cell r="A89" t="str">
            <v>403-1-1-01-01-00-0000-00</v>
          </cell>
          <cell r="B89" t="str">
            <v>UNIDAD ADMINISTRATIVA ESPECIAL DE SERVICIOS PUBLICOS</v>
          </cell>
          <cell r="C89">
            <v>347329304</v>
          </cell>
        </row>
        <row r="90">
          <cell r="A90" t="str">
            <v>403-1-1-01-04-00-0000-00</v>
          </cell>
          <cell r="B90" t="str">
            <v>UNIDAD ADMINISTRATIVA ESPECIAL DE SERVICIOS PUBLICOS</v>
          </cell>
          <cell r="C90">
            <v>25294882</v>
          </cell>
        </row>
        <row r="91">
          <cell r="A91" t="str">
            <v>403-1-1-01-05-00-0000-00</v>
          </cell>
          <cell r="B91" t="str">
            <v>UNIDAD ADMINISTRATIVA ESPECIAL DE SERVICIOS PUBLICOS</v>
          </cell>
          <cell r="C91">
            <v>4019060</v>
          </cell>
        </row>
        <row r="92">
          <cell r="A92" t="str">
            <v>403-1-1-01-06-00-0000-00</v>
          </cell>
          <cell r="B92" t="str">
            <v>UNIDAD ADMINISTRATIVA ESPECIAL DE SERVICIOS PUBLICOS</v>
          </cell>
          <cell r="C92">
            <v>705714</v>
          </cell>
        </row>
        <row r="93">
          <cell r="A93" t="str">
            <v>403-1-1-01-07-00-0000-00</v>
          </cell>
          <cell r="B93" t="str">
            <v>UNIDAD ADMINISTRATIVA ESPECIAL DE SERVICIOS PUBLICOS</v>
          </cell>
          <cell r="C93">
            <v>751483</v>
          </cell>
        </row>
        <row r="94">
          <cell r="A94" t="str">
            <v>403-1-1-01-08-00-0000-00</v>
          </cell>
          <cell r="B94" t="str">
            <v>UNIDAD ADMINISTRATIVA ESPECIAL DE SERVICIOS PUBLICOS</v>
          </cell>
          <cell r="C94">
            <v>14564598</v>
          </cell>
        </row>
        <row r="95">
          <cell r="A95" t="str">
            <v>403-1-1-01-13-00-0000-00</v>
          </cell>
          <cell r="B95" t="str">
            <v>UNIDAD ADMINISTRATIVA ESPECIAL DE SERVICIOS PUBLICOS</v>
          </cell>
          <cell r="C95">
            <v>192116</v>
          </cell>
        </row>
        <row r="96">
          <cell r="A96" t="str">
            <v>403-1-1-01-15-00-0000-00</v>
          </cell>
          <cell r="B96" t="str">
            <v>UNIDAD ADMINISTRATIVA ESPECIAL DE SERVICIOS PUBLICOS</v>
          </cell>
          <cell r="C96">
            <v>101763812</v>
          </cell>
        </row>
        <row r="97">
          <cell r="A97" t="str">
            <v>403-1-1-01-16-00-0000-00</v>
          </cell>
          <cell r="B97" t="str">
            <v>UNIDAD ADMINISTRATIVA ESPECIAL DE SERVICIOS PUBLICOS</v>
          </cell>
          <cell r="C97">
            <v>3456508</v>
          </cell>
        </row>
        <row r="98">
          <cell r="A98" t="str">
            <v>403-1-1-01-17-00-0000-00</v>
          </cell>
          <cell r="B98" t="str">
            <v>UNIDAD ADMINISTRATIVA ESPECIAL DE SERVICIOS PUBLICOS</v>
          </cell>
          <cell r="C98">
            <v>315811</v>
          </cell>
        </row>
        <row r="99">
          <cell r="A99" t="str">
            <v>403-1-1-01-21-00-0000-00</v>
          </cell>
          <cell r="B99" t="str">
            <v>UNIDAD ADMINISTRATIVA ESPECIAL DE SERVICIOS PUBLICOS</v>
          </cell>
          <cell r="C99">
            <v>1808917</v>
          </cell>
        </row>
        <row r="100">
          <cell r="A100" t="str">
            <v>403-1-1-01-28-00-0000-00</v>
          </cell>
          <cell r="B100" t="str">
            <v>UNIDAD ADMINISTRATIVA ESPECIAL DE SERVICIOS PUBLICOS</v>
          </cell>
          <cell r="C100">
            <v>19941623</v>
          </cell>
        </row>
        <row r="101">
          <cell r="A101" t="str">
            <v>413-1-2-01-03-00-0000-00</v>
          </cell>
          <cell r="B101" t="str">
            <v>ORGANIZACION TERPEL S A</v>
          </cell>
          <cell r="C101">
            <v>50000000</v>
          </cell>
        </row>
        <row r="102">
          <cell r="A102" t="str">
            <v>423-3-1-14-02-21-0584-205</v>
          </cell>
          <cell r="B102" t="str">
            <v>CRISTHIAN OMAR LIZCANO ORTIZ</v>
          </cell>
          <cell r="C102">
            <v>178640000</v>
          </cell>
        </row>
        <row r="103">
          <cell r="A103" t="str">
            <v>43-3-1-14-02-21-0584-205</v>
          </cell>
          <cell r="B103" t="str">
            <v>CAROLINA  GONZALEZ BARRETO</v>
          </cell>
          <cell r="C103">
            <v>97850000</v>
          </cell>
        </row>
        <row r="104">
          <cell r="A104" t="str">
            <v>433-3-1-14-02-21-0584-205</v>
          </cell>
          <cell r="B104" t="str">
            <v>NATHALY LUCIA SEPULVEDA RAMOS</v>
          </cell>
          <cell r="C104">
            <v>49500000</v>
          </cell>
        </row>
        <row r="105">
          <cell r="A105" t="str">
            <v>443-3-1-14-02-21-0584-205</v>
          </cell>
          <cell r="B105" t="str">
            <v>JUAN CARLOS SANDOVAL KLEVENS</v>
          </cell>
          <cell r="C105">
            <v>33000000</v>
          </cell>
        </row>
        <row r="106">
          <cell r="A106" t="str">
            <v>453-3-1-14-02-21-0584-205</v>
          </cell>
          <cell r="B106" t="str">
            <v>KELLY JOHANNA BASABE ALVARADO</v>
          </cell>
          <cell r="C106">
            <v>44000000</v>
          </cell>
        </row>
        <row r="107">
          <cell r="A107" t="str">
            <v>463-1-1-02-03-01-0000-00</v>
          </cell>
          <cell r="B107" t="str">
            <v>SUAREZ BELTRAN SAS</v>
          </cell>
          <cell r="C107">
            <v>244199999</v>
          </cell>
        </row>
        <row r="108">
          <cell r="A108" t="str">
            <v>473-1-1-02-03-01-0000-00</v>
          </cell>
          <cell r="B108" t="str">
            <v>CLARA IVY GONZALEZ MARROQUIN</v>
          </cell>
          <cell r="C108">
            <v>258293333</v>
          </cell>
        </row>
        <row r="109">
          <cell r="A109" t="str">
            <v>483-3-1-14-02-21-0584-206</v>
          </cell>
          <cell r="B109" t="str">
            <v>CARLOS ALBERTO RAMIREZ ASTUDILLO</v>
          </cell>
          <cell r="C109">
            <v>76999860</v>
          </cell>
        </row>
        <row r="110">
          <cell r="A110" t="str">
            <v>503-3-1-14-02-21-0584-204</v>
          </cell>
          <cell r="B110" t="str">
            <v>CORAL DELGADO &amp; ASOCIADOS SAS</v>
          </cell>
          <cell r="C110">
            <v>99999865</v>
          </cell>
        </row>
        <row r="111">
          <cell r="A111" t="str">
            <v>503-3-1-14-02-21-0584-205</v>
          </cell>
          <cell r="B111" t="str">
            <v>CORAL DELGADO &amp; ASOCIADOS SAS</v>
          </cell>
          <cell r="C111">
            <v>99999865</v>
          </cell>
        </row>
        <row r="112">
          <cell r="A112" t="str">
            <v>503-3-1-14-03-31-0581-235</v>
          </cell>
          <cell r="B112" t="str">
            <v>CORAL DELGADO &amp; ASOCIADOS SAS</v>
          </cell>
          <cell r="C112">
            <v>41644594</v>
          </cell>
        </row>
        <row r="113">
          <cell r="A113" t="str">
            <v>53-3-1-14-03-31-0581-235</v>
          </cell>
          <cell r="B113" t="str">
            <v>MARTA CECILIA MURCIA CHAVARRO</v>
          </cell>
          <cell r="C113">
            <v>95999999</v>
          </cell>
        </row>
        <row r="114">
          <cell r="A114" t="str">
            <v>533-3-1-14-02-21-0584-204</v>
          </cell>
          <cell r="B114" t="str">
            <v>E CON S.A.S.</v>
          </cell>
          <cell r="C114">
            <v>347999998</v>
          </cell>
        </row>
        <row r="115">
          <cell r="A115" t="str">
            <v>533-3-1-14-02-21-0584-205</v>
          </cell>
          <cell r="B115" t="str">
            <v>E CON S.A.S.</v>
          </cell>
          <cell r="C115">
            <v>231999998</v>
          </cell>
        </row>
        <row r="116">
          <cell r="A116" t="str">
            <v>563-1-2-03-01-02-0000-00</v>
          </cell>
          <cell r="B116" t="str">
            <v>SUPERINTENDENCIA DE INDUSTRIA Y COMERCIO</v>
          </cell>
          <cell r="C116">
            <v>20520786723</v>
          </cell>
        </row>
        <row r="117">
          <cell r="A117" t="str">
            <v>573-3-1-14-02-21-0584-205</v>
          </cell>
          <cell r="B117" t="str">
            <v>SOTO SINISTERRA SAS</v>
          </cell>
          <cell r="C117">
            <v>32300060</v>
          </cell>
        </row>
        <row r="118">
          <cell r="A118" t="str">
            <v>583-3-1-14-02-21-0584-204</v>
          </cell>
          <cell r="B118" t="str">
            <v>HENRY ANDRES GUALDRON VELASCO</v>
          </cell>
          <cell r="C118">
            <v>48900000</v>
          </cell>
        </row>
        <row r="119">
          <cell r="A119" t="str">
            <v>593-3-1-14-03-31-0581-235</v>
          </cell>
          <cell r="B119" t="str">
            <v>JOSE ANTONIO RONDON RODRIGUEZ</v>
          </cell>
          <cell r="C119">
            <v>125666666</v>
          </cell>
        </row>
        <row r="120">
          <cell r="A120" t="str">
            <v>603-1-2-02-03-00-0000-00</v>
          </cell>
          <cell r="B120" t="str">
            <v>REDEX S A S</v>
          </cell>
          <cell r="C120">
            <v>12537827</v>
          </cell>
        </row>
        <row r="121">
          <cell r="A121" t="str">
            <v>623-3-1-14-03-31-0581-235</v>
          </cell>
          <cell r="B121" t="str">
            <v>JOSE DAVID SERNA JARAMILLO</v>
          </cell>
          <cell r="C121">
            <v>81200000</v>
          </cell>
        </row>
        <row r="122">
          <cell r="A122" t="str">
            <v>63-3-1-14-02-21-0584-206</v>
          </cell>
          <cell r="B122" t="str">
            <v>LAURA INES TELLO CLAVIJO</v>
          </cell>
          <cell r="C122">
            <v>23989000</v>
          </cell>
        </row>
        <row r="123">
          <cell r="A123" t="str">
            <v>633-3-1-14-03-31-0581-235</v>
          </cell>
          <cell r="B123" t="str">
            <v>JUAN SEBASTIAN CALLEJAS PARADA</v>
          </cell>
          <cell r="C123">
            <v>48750000</v>
          </cell>
        </row>
        <row r="124">
          <cell r="A124" t="str">
            <v>643-3-1-14-01-14-0583-172</v>
          </cell>
          <cell r="B124" t="str">
            <v>LION PRODUCCIONES S A</v>
          </cell>
          <cell r="C124">
            <v>50000000</v>
          </cell>
        </row>
        <row r="125">
          <cell r="A125" t="str">
            <v>643-3-1-14-02-21-0584-205</v>
          </cell>
          <cell r="B125" t="str">
            <v>LION PRODUCCIONES S A</v>
          </cell>
          <cell r="C125">
            <v>51712000</v>
          </cell>
        </row>
        <row r="126">
          <cell r="A126" t="str">
            <v>643-3-1-14-03-31-0581-235</v>
          </cell>
          <cell r="B126" t="str">
            <v>LION PRODUCCIONES S A</v>
          </cell>
          <cell r="C126">
            <v>122400000</v>
          </cell>
        </row>
        <row r="127">
          <cell r="A127" t="str">
            <v>653-3-1-14-03-31-0581-235</v>
          </cell>
          <cell r="B127" t="str">
            <v>FABIAN ANDRES LOZANO AGUILAR</v>
          </cell>
          <cell r="C127">
            <v>26107200</v>
          </cell>
        </row>
        <row r="128">
          <cell r="A128" t="str">
            <v>663-3-1-14-03-31-0581-235</v>
          </cell>
          <cell r="B128" t="str">
            <v>RUBEN DARIO JIMENEZ GIRALDO</v>
          </cell>
          <cell r="C128">
            <v>53493333</v>
          </cell>
        </row>
        <row r="129">
          <cell r="A129" t="str">
            <v>673-1-1-03-01-02-0000-00</v>
          </cell>
          <cell r="B129" t="str">
            <v>UNIDAD ADMINISTRATIVA ESPECIAL DE SERVICIOS PUBLICOS</v>
          </cell>
          <cell r="C129">
            <v>34215460</v>
          </cell>
        </row>
        <row r="130">
          <cell r="A130" t="str">
            <v>673-1-1-03-01-03-0000-00</v>
          </cell>
          <cell r="B130" t="str">
            <v>UNIDAD ADMINISTRATIVA ESPECIAL DE SERVICIOS PUBLICOS</v>
          </cell>
          <cell r="C130">
            <v>47124440</v>
          </cell>
        </row>
        <row r="131">
          <cell r="A131" t="str">
            <v>673-1-1-03-01-05-0000-00</v>
          </cell>
          <cell r="B131" t="str">
            <v>UNIDAD ADMINISTRATIVA ESPECIAL DE SERVICIOS PUBLICOS</v>
          </cell>
          <cell r="C131">
            <v>19986000</v>
          </cell>
        </row>
        <row r="132">
          <cell r="A132" t="str">
            <v>673-1-1-03-02-01-0000-00</v>
          </cell>
          <cell r="B132" t="str">
            <v>UNIDAD ADMINISTRATIVA ESPECIAL DE SERVICIOS PUBLICOS</v>
          </cell>
          <cell r="C132">
            <v>35234928</v>
          </cell>
        </row>
        <row r="133">
          <cell r="A133" t="str">
            <v>673-1-1-03-02-02-0000-00</v>
          </cell>
          <cell r="B133" t="str">
            <v>UNIDAD ADMINISTRATIVA ESPECIAL DE SERVICIOS PUBLICOS</v>
          </cell>
          <cell r="C133">
            <v>32315540</v>
          </cell>
        </row>
        <row r="134">
          <cell r="A134" t="str">
            <v>673-1-1-03-02-04-0000-00</v>
          </cell>
          <cell r="B134" t="str">
            <v>UNIDAD ADMINISTRATIVA ESPECIAL DE SERVICIOS PUBLICOS</v>
          </cell>
          <cell r="C134">
            <v>3117800</v>
          </cell>
        </row>
        <row r="135">
          <cell r="A135" t="str">
            <v>673-1-1-03-02-06-0000-00</v>
          </cell>
          <cell r="B135" t="str">
            <v>UNIDAD ADMINISTRATIVA ESPECIAL DE SERVICIOS PUBLICOS</v>
          </cell>
          <cell r="C135">
            <v>14989850</v>
          </cell>
        </row>
        <row r="136">
          <cell r="A136" t="str">
            <v>673-1-1-03-02-07-0000-00</v>
          </cell>
          <cell r="B136" t="str">
            <v>UNIDAD ADMINISTRATIVA ESPECIAL DE SERVICIOS PUBLICOS</v>
          </cell>
          <cell r="C136">
            <v>9994200</v>
          </cell>
        </row>
        <row r="137">
          <cell r="A137" t="str">
            <v>673-1-1-03-02-09-0000-00</v>
          </cell>
          <cell r="B137" t="str">
            <v>UNIDAD ADMINISTRATIVA ESPECIAL DE SERVICIOS PUBLICOS</v>
          </cell>
          <cell r="C137">
            <v>8892</v>
          </cell>
        </row>
        <row r="138">
          <cell r="A138" t="str">
            <v>693-3-1-14-02-21-0584-204</v>
          </cell>
          <cell r="B138" t="str">
            <v>ALVARO IVAN RODRIGUEZ PINZON</v>
          </cell>
          <cell r="C138">
            <v>69600000</v>
          </cell>
        </row>
        <row r="139">
          <cell r="A139" t="str">
            <v>703-1-2-01-01-00-0000-00</v>
          </cell>
          <cell r="C139">
            <v>7744399</v>
          </cell>
        </row>
        <row r="140">
          <cell r="A140" t="str">
            <v>713-3-1-14-03-31-0581-235</v>
          </cell>
          <cell r="B140" t="str">
            <v>JOHN KENNEDY LEON CASTIBLANCO</v>
          </cell>
          <cell r="C140">
            <v>32323200</v>
          </cell>
        </row>
        <row r="141">
          <cell r="A141" t="str">
            <v>723-3-1-14-03-31-0581-235</v>
          </cell>
          <cell r="B141" t="str">
            <v>EMPRESA DE TELECOMUNICACIONES DE BOGOTA SA ESP</v>
          </cell>
          <cell r="C141">
            <v>13000000</v>
          </cell>
        </row>
        <row r="142">
          <cell r="A142" t="str">
            <v>73-3-1-14-02-21-0584-205</v>
          </cell>
          <cell r="B142" t="str">
            <v>JORGE  MADERO GIRALDO</v>
          </cell>
          <cell r="C142">
            <v>180959998</v>
          </cell>
        </row>
        <row r="143">
          <cell r="A143" t="str">
            <v>733-3-1-14-03-26-0226-222</v>
          </cell>
          <cell r="B143" t="str">
            <v>JESUS ANTONIO MUÑOZ CIFUENTES</v>
          </cell>
          <cell r="C143">
            <v>10000000</v>
          </cell>
        </row>
        <row r="144">
          <cell r="A144" t="str">
            <v>733-3-1-14-03-26-0226-223</v>
          </cell>
          <cell r="B144" t="str">
            <v>JESUS ANTONIO MUÑOZ CIFUENTES</v>
          </cell>
          <cell r="C144">
            <v>180000000</v>
          </cell>
        </row>
        <row r="145">
          <cell r="A145" t="str">
            <v>743-3-1-14-03-31-0581-235</v>
          </cell>
          <cell r="B145" t="str">
            <v>ANDRES FERNANDO MATEUS DIAZ</v>
          </cell>
          <cell r="C145">
            <v>123000000</v>
          </cell>
        </row>
        <row r="146">
          <cell r="A146" t="str">
            <v>753-3-1-14-03-31-0581-235</v>
          </cell>
          <cell r="B146" t="str">
            <v>LUIS JAVIER RODRIGUEZ LUQUE</v>
          </cell>
          <cell r="C146">
            <v>61400000</v>
          </cell>
        </row>
        <row r="147">
          <cell r="A147" t="str">
            <v>763-3-1-14-03-31-0581-235</v>
          </cell>
          <cell r="B147" t="str">
            <v>ANGIE TATIANA QUINTERO VEGA</v>
          </cell>
          <cell r="C147">
            <v>500000</v>
          </cell>
        </row>
        <row r="148">
          <cell r="A148" t="str">
            <v>773-3-1-14-02-21-0584-204</v>
          </cell>
          <cell r="B148" t="str">
            <v>JASBLEIDY  ORJUELA ESCOBAR</v>
          </cell>
          <cell r="C148">
            <v>143733333</v>
          </cell>
        </row>
        <row r="149">
          <cell r="A149" t="str">
            <v>783-3-1-14-02-21-0584-204</v>
          </cell>
          <cell r="B149" t="str">
            <v>EFRAIM ALBERTO MONTANA PLATA</v>
          </cell>
          <cell r="C149">
            <v>178060000</v>
          </cell>
        </row>
        <row r="150">
          <cell r="A150" t="str">
            <v>793-3-1-14-02-21-0584-204</v>
          </cell>
          <cell r="B150" t="str">
            <v>YULY ANDREA GALINDO CASTRO</v>
          </cell>
          <cell r="C150">
            <v>67166388</v>
          </cell>
        </row>
        <row r="151">
          <cell r="A151" t="str">
            <v>803-3-1-14-02-21-0584-204</v>
          </cell>
          <cell r="B151" t="str">
            <v>MARQUEZ Y ASOCIADOS CONSULTORES S A S</v>
          </cell>
          <cell r="C151">
            <v>146500000</v>
          </cell>
        </row>
        <row r="152">
          <cell r="A152" t="str">
            <v>813-3-1-14-02-21-0584-204</v>
          </cell>
          <cell r="B152" t="str">
            <v>JANETH SOFIA TORRES SANCHEZ</v>
          </cell>
          <cell r="C152">
            <v>94346666</v>
          </cell>
        </row>
        <row r="153">
          <cell r="A153" t="str">
            <v>83-3-1-14-02-21-0584-205</v>
          </cell>
          <cell r="B153" t="str">
            <v>ELIANA ALEJANDRA CAMARGO NIÑO</v>
          </cell>
          <cell r="C153">
            <v>53999998</v>
          </cell>
        </row>
        <row r="154">
          <cell r="A154" t="str">
            <v>833-1-2-02-06-01-0000-00</v>
          </cell>
          <cell r="B154" t="str">
            <v>QBE SEGUROS S A Y PODRA USAR LAS</v>
          </cell>
          <cell r="C154">
            <v>148769622</v>
          </cell>
        </row>
        <row r="155">
          <cell r="A155" t="str">
            <v>843-1-1-01-01-00-0000-00</v>
          </cell>
          <cell r="B155" t="str">
            <v>UNIDAD ADMINISTRATIVA ESPECIAL DE SERVICIOS PUBLICOS</v>
          </cell>
          <cell r="C155">
            <v>415032199</v>
          </cell>
        </row>
        <row r="156">
          <cell r="A156" t="str">
            <v>843-1-1-01-04-00-0000-00</v>
          </cell>
          <cell r="B156" t="str">
            <v>UNIDAD ADMINISTRATIVA ESPECIAL DE SERVICIOS PUBLICOS</v>
          </cell>
          <cell r="C156">
            <v>32861436</v>
          </cell>
        </row>
        <row r="157">
          <cell r="A157" t="str">
            <v>843-1-1-01-05-00-0000-00</v>
          </cell>
          <cell r="B157" t="str">
            <v>UNIDAD ADMINISTRATIVA ESPECIAL DE SERVICIOS PUBLICOS</v>
          </cell>
          <cell r="C157">
            <v>3817227</v>
          </cell>
        </row>
        <row r="158">
          <cell r="A158" t="str">
            <v>843-1-1-01-06-00-0000-00</v>
          </cell>
          <cell r="B158" t="str">
            <v>UNIDAD ADMINISTRATIVA ESPECIAL DE SERVICIOS PUBLICOS</v>
          </cell>
          <cell r="C158">
            <v>854700</v>
          </cell>
        </row>
        <row r="159">
          <cell r="A159" t="str">
            <v>843-1-1-01-07-00-0000-00</v>
          </cell>
          <cell r="B159" t="str">
            <v>UNIDAD ADMINISTRATIVA ESPECIAL DE SERVICIOS PUBLICOS</v>
          </cell>
          <cell r="C159">
            <v>995316</v>
          </cell>
        </row>
        <row r="160">
          <cell r="A160" t="str">
            <v>843-1-1-01-08-00-0000-00</v>
          </cell>
          <cell r="B160" t="str">
            <v>UNIDAD ADMINISTRATIVA ESPECIAL DE SERVICIOS PUBLICOS</v>
          </cell>
          <cell r="C160">
            <v>20823461</v>
          </cell>
        </row>
        <row r="161">
          <cell r="A161" t="str">
            <v>843-1-1-01-13-00-0000-00</v>
          </cell>
          <cell r="B161" t="str">
            <v>UNIDAD ADMINISTRATIVA ESPECIAL DE SERVICIOS PUBLICOS</v>
          </cell>
          <cell r="C161">
            <v>52751</v>
          </cell>
        </row>
        <row r="162">
          <cell r="A162" t="str">
            <v>843-1-1-01-14-00-0000-00</v>
          </cell>
          <cell r="B162" t="str">
            <v>UNIDAD ADMINISTRATIVA ESPECIAL DE SERVICIOS PUBLICOS</v>
          </cell>
          <cell r="C162">
            <v>3905243</v>
          </cell>
        </row>
        <row r="163">
          <cell r="A163" t="str">
            <v>843-1-1-01-15-00-0000-00</v>
          </cell>
          <cell r="B163" t="str">
            <v>UNIDAD ADMINISTRATIVA ESPECIAL DE SERVICIOS PUBLICOS</v>
          </cell>
          <cell r="C163">
            <v>131944217</v>
          </cell>
        </row>
        <row r="164">
          <cell r="A164" t="str">
            <v>843-1-1-01-16-00-0000-00</v>
          </cell>
          <cell r="B164" t="str">
            <v>UNIDAD ADMINISTRATIVA ESPECIAL DE SERVICIOS PUBLICOS</v>
          </cell>
          <cell r="C164">
            <v>5433139</v>
          </cell>
        </row>
        <row r="165">
          <cell r="A165" t="str">
            <v>843-1-1-01-17-00-0000-00</v>
          </cell>
          <cell r="B165" t="str">
            <v>UNIDAD ADMINISTRATIVA ESPECIAL DE SERVICIOS PUBLICOS</v>
          </cell>
          <cell r="C165">
            <v>394495</v>
          </cell>
        </row>
        <row r="166">
          <cell r="A166" t="str">
            <v>843-1-1-01-26-00-0000-00</v>
          </cell>
          <cell r="B166" t="str">
            <v>UNIDAD ADMINISTRATIVA ESPECIAL DE SERVICIOS PUBLICOS</v>
          </cell>
          <cell r="C166">
            <v>359453</v>
          </cell>
        </row>
        <row r="167">
          <cell r="A167" t="str">
            <v>853-1-2-02-05-01-0000-00</v>
          </cell>
          <cell r="B167" t="str">
            <v>UNIÓN TEMPORAL EMINSER-SOLOASEO</v>
          </cell>
          <cell r="C167">
            <v>140939480</v>
          </cell>
        </row>
        <row r="168">
          <cell r="A168" t="str">
            <v>853-3-1-14-02-21-0584-204</v>
          </cell>
          <cell r="B168" t="str">
            <v>UNIÓN TEMPORAL EMINSER-SOLOASEO</v>
          </cell>
          <cell r="C168">
            <v>59093900</v>
          </cell>
        </row>
        <row r="169">
          <cell r="A169" t="str">
            <v>853-3-1-14-02-21-0584-205</v>
          </cell>
          <cell r="B169" t="str">
            <v>UNIÓN TEMPORAL EMINSER-SOLOASEO</v>
          </cell>
          <cell r="C169">
            <v>59093900</v>
          </cell>
        </row>
        <row r="170">
          <cell r="A170" t="str">
            <v>863-3-1-14-03-31-0581-235</v>
          </cell>
          <cell r="B170" t="str">
            <v>HAROLD ARTURO CAMPOS GARCIA</v>
          </cell>
          <cell r="C170">
            <v>50000000</v>
          </cell>
        </row>
        <row r="171">
          <cell r="A171" t="str">
            <v>893-1-1-02-03-01-0000-00</v>
          </cell>
          <cell r="B171" t="str">
            <v>EDMUNDO MERCED TONCEL ROSADO</v>
          </cell>
          <cell r="C171">
            <v>135024000</v>
          </cell>
        </row>
        <row r="172">
          <cell r="A172" t="str">
            <v>903-1-1-02-03-01-0000-00</v>
          </cell>
          <cell r="B172" t="str">
            <v>JUAN CARLOS JIMENEZ TRIANA</v>
          </cell>
          <cell r="C172">
            <v>119093330</v>
          </cell>
        </row>
        <row r="173">
          <cell r="A173" t="str">
            <v>923-1-1-02-03-01-0000-00</v>
          </cell>
          <cell r="B173" t="str">
            <v>ANDREA PATRICIA RAMIREZ RUBIO</v>
          </cell>
          <cell r="C173">
            <v>80000000</v>
          </cell>
        </row>
        <row r="174">
          <cell r="A174" t="str">
            <v>93-3-1-14-03-31-0581-235</v>
          </cell>
          <cell r="B174" t="str">
            <v>DIEGO IVAN PALACIOS DONCEL</v>
          </cell>
          <cell r="C174">
            <v>180095991</v>
          </cell>
        </row>
        <row r="175">
          <cell r="A175" t="str">
            <v>973-3-1-14-02-21-0584-205</v>
          </cell>
          <cell r="B175" t="str">
            <v>ERIKA  NIEVES DIAZ</v>
          </cell>
          <cell r="C175">
            <v>94683333</v>
          </cell>
        </row>
        <row r="176">
          <cell r="A176" t="str">
            <v>993-3-1-14-03-31-0581-235</v>
          </cell>
          <cell r="B176" t="str">
            <v>MARIA ALEJANDRA OLIVARES HERNADEZ</v>
          </cell>
          <cell r="C176">
            <v>64000000</v>
          </cell>
        </row>
        <row r="177">
          <cell r="A177" t="str">
            <v>1493-3-1-14-02-21-0584-204</v>
          </cell>
          <cell r="B177" t="str">
            <v>CONSORCIO INTERCAPITAL</v>
          </cell>
          <cell r="C177">
            <v>1696251669</v>
          </cell>
        </row>
        <row r="178">
          <cell r="A178" t="str">
            <v>1453-3-1-14-03-31-0581-235</v>
          </cell>
          <cell r="B178" t="str">
            <v>JOSE  MARQUEZ ARBOLEDA</v>
          </cell>
          <cell r="C178">
            <v>14960000</v>
          </cell>
        </row>
        <row r="179">
          <cell r="A179" t="str">
            <v>1343-1-2-02-02-00-0000-00</v>
          </cell>
          <cell r="B179" t="str">
            <v>BEATRIZ ELENA CARDENAS CASAS</v>
          </cell>
          <cell r="C179">
            <v>10035000</v>
          </cell>
        </row>
        <row r="180">
          <cell r="A180" t="str">
            <v>1083-1-2-03-01-02-0000-00</v>
          </cell>
          <cell r="B180" t="str">
            <v>HERNANDO DE JESUS HERRERA MERCADO</v>
          </cell>
          <cell r="C180">
            <v>207441660</v>
          </cell>
        </row>
        <row r="181">
          <cell r="A181" t="str">
            <v>1363-3-1-14-03-31-0581-235</v>
          </cell>
          <cell r="B181" t="str">
            <v>SUBATOURS SAS</v>
          </cell>
          <cell r="C181">
            <v>4269790</v>
          </cell>
        </row>
        <row r="182">
          <cell r="A182" t="str">
            <v>933-1-1-02-03-01-0000-00</v>
          </cell>
          <cell r="B182" t="str">
            <v>DENIYER ALECSA SANCHEZ HERRADA</v>
          </cell>
          <cell r="C182">
            <v>11466667</v>
          </cell>
        </row>
        <row r="183">
          <cell r="A183" t="str">
            <v>1433-3-1-14-02-21-0584-205</v>
          </cell>
          <cell r="B183" t="str">
            <v>MIGUEL ANGEL QUINTERO LIZARAZO</v>
          </cell>
          <cell r="C183">
            <v>73800000</v>
          </cell>
        </row>
        <row r="184">
          <cell r="A184" t="str">
            <v>1463-3-1-14-03-31-0581-235</v>
          </cell>
          <cell r="B184" t="str">
            <v>JEIMY JOHANA PEDRAZA VENEGAS</v>
          </cell>
          <cell r="C184">
            <v>10720000</v>
          </cell>
        </row>
        <row r="185">
          <cell r="A185" t="str">
            <v>1473-3-1-14-03-31-0581-235</v>
          </cell>
          <cell r="B185" t="str">
            <v>MARIELA  RUIZ JEREZ</v>
          </cell>
          <cell r="C185">
            <v>10720000</v>
          </cell>
        </row>
        <row r="186">
          <cell r="A186" t="str">
            <v>1553-1-1-03-01-01-0000-00</v>
          </cell>
          <cell r="B186" t="str">
            <v>UNIDAD ADMINISTRATIVA ESPECIAL DE SERVICIOS PUBLICOS</v>
          </cell>
          <cell r="C186">
            <v>509958</v>
          </cell>
        </row>
        <row r="187">
          <cell r="A187" t="str">
            <v>1513-1-1-02-03-01-0000-00</v>
          </cell>
          <cell r="B187" t="str">
            <v>DIEGO ANDRES JIMENEZ ALFONSO</v>
          </cell>
          <cell r="C187">
            <v>26999841</v>
          </cell>
        </row>
        <row r="188">
          <cell r="A188" t="str">
            <v>1623-1-1-02-03-01-0000-00</v>
          </cell>
          <cell r="B188" t="str">
            <v>CARLOS ALBERTO RODRIGUEZ GUZMAN</v>
          </cell>
          <cell r="C188">
            <v>66115000</v>
          </cell>
        </row>
        <row r="189">
          <cell r="A189" t="str">
            <v>1483-3-1-14-01-14-0582-171</v>
          </cell>
          <cell r="B189" t="str">
            <v>CRISTIAN  RENDON GOMEZ</v>
          </cell>
          <cell r="C189">
            <v>2666666</v>
          </cell>
        </row>
        <row r="190">
          <cell r="A190" t="str">
            <v>1483-3-1-14-01-14-0583-172</v>
          </cell>
          <cell r="B190" t="str">
            <v>CRISTIAN  RENDON GOMEZ</v>
          </cell>
          <cell r="C190">
            <v>3333334</v>
          </cell>
        </row>
        <row r="191">
          <cell r="A191" t="str">
            <v>1603-3-1-14-02-21-0584-205</v>
          </cell>
          <cell r="B191" t="str">
            <v>ANDRES  HERRERA AGUILAR</v>
          </cell>
          <cell r="C191">
            <v>58404042</v>
          </cell>
        </row>
        <row r="192">
          <cell r="A192" t="str">
            <v>1593-3-1-14-02-21-0584-207</v>
          </cell>
          <cell r="B192" t="str">
            <v>GABRIEL FELIPE SABOGAL ROJAS</v>
          </cell>
          <cell r="C192">
            <v>40880954</v>
          </cell>
        </row>
        <row r="193">
          <cell r="A193" t="str">
            <v>1653-1-1-03-01-02-0000-00</v>
          </cell>
          <cell r="B193" t="str">
            <v>UNIDAD ADMINISTRATIVA ESPECIAL DE SERVICIOS PUBLICOS</v>
          </cell>
          <cell r="C193">
            <v>39199240</v>
          </cell>
        </row>
        <row r="194">
          <cell r="A194" t="str">
            <v>1653-1-1-03-01-03-0000-00</v>
          </cell>
          <cell r="B194" t="str">
            <v>UNIDAD ADMINISTRATIVA ESPECIAL DE SERVICIOS PUBLICOS</v>
          </cell>
          <cell r="C194">
            <v>55036645</v>
          </cell>
        </row>
        <row r="195">
          <cell r="A195" t="str">
            <v>1653-1-1-03-01-05-0000-00</v>
          </cell>
          <cell r="B195" t="str">
            <v>UNIDAD ADMINISTRATIVA ESPECIAL DE SERVICIOS PUBLICOS</v>
          </cell>
          <cell r="C195">
            <v>26239300</v>
          </cell>
        </row>
        <row r="196">
          <cell r="A196" t="str">
            <v>1653-1-1-03-02-01-0000-00</v>
          </cell>
          <cell r="B196" t="str">
            <v>UNIDAD ADMINISTRATIVA ESPECIAL DE SERVICIOS PUBLICOS</v>
          </cell>
          <cell r="C196">
            <v>47787640</v>
          </cell>
        </row>
        <row r="197">
          <cell r="A197" t="str">
            <v>1653-1-1-03-02-02-0000-00</v>
          </cell>
          <cell r="B197" t="str">
            <v>UNIDAD ADMINISTRATIVA ESPECIAL DE SERVICIOS PUBLICOS</v>
          </cell>
          <cell r="C197">
            <v>38500840</v>
          </cell>
        </row>
        <row r="198">
          <cell r="A198" t="str">
            <v>1653-1-1-03-02-04-0000-00</v>
          </cell>
          <cell r="B198" t="str">
            <v>UNIDAD ADMINISTRATIVA ESPECIAL DE SERVICIOS PUBLICOS</v>
          </cell>
          <cell r="C198">
            <v>3952872</v>
          </cell>
        </row>
        <row r="199">
          <cell r="A199" t="str">
            <v>1653-1-1-03-02-06-0000-00</v>
          </cell>
          <cell r="B199" t="str">
            <v>UNIDAD ADMINISTRATIVA ESPECIAL DE SERVICIOS PUBLICOS</v>
          </cell>
          <cell r="C199">
            <v>19679800</v>
          </cell>
        </row>
        <row r="200">
          <cell r="A200" t="str">
            <v>1653-1-1-03-02-07-0000-00</v>
          </cell>
          <cell r="B200" t="str">
            <v>UNIDAD ADMINISTRATIVA ESPECIAL DE SERVICIOS PUBLICOS</v>
          </cell>
          <cell r="C200">
            <v>13119400</v>
          </cell>
        </row>
        <row r="201">
          <cell r="A201" t="str">
            <v>1653-1-1-03-02-09-0000-00</v>
          </cell>
          <cell r="B201" t="str">
            <v>UNIDAD ADMINISTRATIVA ESPECIAL DE SERVICIOS PUBLICOS</v>
          </cell>
          <cell r="C201">
            <v>11098</v>
          </cell>
        </row>
        <row r="202">
          <cell r="A202" t="str">
            <v>253-1-2-01-03-00-0000-00</v>
          </cell>
          <cell r="B202" t="str">
            <v>UNIDAD ADMINISTRATIVA ESPECIAL DE SERVICIOS PUBLICOS</v>
          </cell>
          <cell r="C202">
            <v>365214</v>
          </cell>
        </row>
        <row r="203">
          <cell r="A203" t="str">
            <v>253-1-2-02-10-00-0000-00</v>
          </cell>
          <cell r="B203" t="str">
            <v>UNIDAD ADMINISTRATIVA ESPECIAL DE SERVICIOS PUBLICOS</v>
          </cell>
          <cell r="C203">
            <v>1078000</v>
          </cell>
        </row>
        <row r="204">
          <cell r="A204" t="str">
            <v>1743-1-1-02-03-01-0000-00</v>
          </cell>
          <cell r="B204" t="str">
            <v>JENNIFER LINEY GARCIA ROJAS</v>
          </cell>
          <cell r="C204">
            <v>9866660</v>
          </cell>
        </row>
        <row r="205">
          <cell r="A205" t="str">
            <v>1503-1-2-02-03-00-0000-00</v>
          </cell>
          <cell r="B205" t="str">
            <v>SERVICIOS POSTALES NACIONALES S A</v>
          </cell>
          <cell r="C205">
            <v>54000000</v>
          </cell>
        </row>
        <row r="206">
          <cell r="A206" t="str">
            <v>1613-3-1-14-02-21-0584-205</v>
          </cell>
          <cell r="B206" t="str">
            <v>SOLEDAD  TAMAYO TAMAYO</v>
          </cell>
          <cell r="C206">
            <v>120176000</v>
          </cell>
        </row>
        <row r="207">
          <cell r="A207" t="str">
            <v>1683-3-1-14-02-21-0584-206</v>
          </cell>
          <cell r="B207" t="str">
            <v>HIDROSUELOS SAS</v>
          </cell>
          <cell r="C207">
            <v>166256666</v>
          </cell>
        </row>
        <row r="208">
          <cell r="A208" t="str">
            <v>1683-3-1-14-02-21-0584-207</v>
          </cell>
          <cell r="B208" t="str">
            <v>HIDROSUELOS SAS</v>
          </cell>
          <cell r="C208">
            <v>90567334</v>
          </cell>
        </row>
        <row r="209">
          <cell r="A209" t="str">
            <v>1643-3-1-14-03-31-0581-235</v>
          </cell>
          <cell r="B209" t="str">
            <v>PILAR  MURILLO GARCIA</v>
          </cell>
          <cell r="C209">
            <v>40000000</v>
          </cell>
        </row>
        <row r="210">
          <cell r="A210" t="str">
            <v>1763-3-1-14-03-31-0581-235</v>
          </cell>
          <cell r="B210" t="str">
            <v>YOBIPLEX CORPORATION S A S</v>
          </cell>
          <cell r="C210">
            <v>144999999</v>
          </cell>
        </row>
        <row r="211">
          <cell r="A211" t="str">
            <v>1523-1-2-02-05-01-0000-00</v>
          </cell>
          <cell r="B211" t="str">
            <v>AGROBOLSA S A COMISIONISTA DE BOLSA</v>
          </cell>
          <cell r="C211">
            <v>12798023</v>
          </cell>
        </row>
        <row r="212">
          <cell r="A212" t="str">
            <v>1523-3-1-14-01-14-0583-172</v>
          </cell>
          <cell r="B212" t="str">
            <v>AGROBOLSA S A COMISIONISTA DE BOLSA</v>
          </cell>
          <cell r="C212">
            <v>12798025</v>
          </cell>
        </row>
        <row r="213">
          <cell r="A213" t="str">
            <v>1713-3-1-14-02-21-0584-204</v>
          </cell>
          <cell r="B213" t="str">
            <v>TRANSPORTES ESPECIALES F.S.G S.A.S</v>
          </cell>
          <cell r="C213">
            <v>11180000</v>
          </cell>
        </row>
        <row r="214">
          <cell r="A214" t="str">
            <v>1523-3-1-14-02-21-0584-205</v>
          </cell>
          <cell r="B214" t="str">
            <v>AGROBOLSA S A COMISIONISTA DE BOLSA</v>
          </cell>
          <cell r="C214">
            <v>12798023</v>
          </cell>
        </row>
        <row r="215">
          <cell r="A215" t="str">
            <v>1723-3-1-14-02-21-0584-205</v>
          </cell>
          <cell r="B215" t="str">
            <v>UNIDAD ADMINISTRATIVA ESPECIAL DE SERVICIOS PUBLICOS</v>
          </cell>
          <cell r="C215">
            <v>19866820</v>
          </cell>
        </row>
        <row r="216">
          <cell r="A216" t="str">
            <v>1693-3-1-14-03-31-0581-235</v>
          </cell>
          <cell r="B216" t="str">
            <v>DISTRIBUCIONES EYG S.A.S</v>
          </cell>
          <cell r="C216">
            <v>744000</v>
          </cell>
        </row>
        <row r="217">
          <cell r="A217" t="str">
            <v>1913-3-1-14-01-14-0582-171</v>
          </cell>
          <cell r="B217" t="str">
            <v>CONSORCIO INTERALUMBRADO</v>
          </cell>
          <cell r="C217">
            <v>1172431554</v>
          </cell>
        </row>
        <row r="218">
          <cell r="A218" t="str">
            <v>1843-1-1-02-03-01-0000-00</v>
          </cell>
          <cell r="B218" t="str">
            <v>MARIA DEL PILAR CASTILLO MONCALEANO</v>
          </cell>
          <cell r="C218">
            <v>33600000</v>
          </cell>
        </row>
        <row r="219">
          <cell r="A219" t="str">
            <v>1863-1-1-02-03-01-0000-00</v>
          </cell>
          <cell r="B219" t="str">
            <v>JUAN CARLOS FERNANDEZ ANDRADE</v>
          </cell>
          <cell r="C219">
            <v>24990000</v>
          </cell>
        </row>
        <row r="220">
          <cell r="A220" t="str">
            <v>1673-3-1-14-02-21-0584-205</v>
          </cell>
          <cell r="B220" t="str">
            <v>CARLOS ANIBAL LOZANO LOZANO</v>
          </cell>
          <cell r="C220">
            <v>34133333</v>
          </cell>
        </row>
        <row r="221">
          <cell r="A221" t="str">
            <v>1663-3-1-14-02-21-0584-205</v>
          </cell>
          <cell r="B221" t="str">
            <v>JHON LENON MAYO PARRA</v>
          </cell>
          <cell r="C221">
            <v>34133333</v>
          </cell>
        </row>
        <row r="222">
          <cell r="A222" t="str">
            <v>1923-1-1-01-01-00-0000-00</v>
          </cell>
          <cell r="B222" t="str">
            <v>UNIDAD ADMINISTRATIVA ESPECIAL DE SERVICIOS PUBLICOS</v>
          </cell>
          <cell r="C222">
            <v>448955287</v>
          </cell>
        </row>
        <row r="223">
          <cell r="A223" t="str">
            <v>1973-1-1-01-01-00-0000-00</v>
          </cell>
          <cell r="B223" t="str">
            <v>UNIDAD ADMINISTRATIVA ESPECIAL DE SERVICIOS PUBLICOS</v>
          </cell>
          <cell r="C223">
            <v>2886067</v>
          </cell>
        </row>
        <row r="224">
          <cell r="A224" t="str">
            <v>1923-1-1-01-04-00-0000-00</v>
          </cell>
          <cell r="B224" t="str">
            <v>UNIDAD ADMINISTRATIVA ESPECIAL DE SERVICIOS PUBLICOS</v>
          </cell>
          <cell r="C224">
            <v>34111737</v>
          </cell>
        </row>
        <row r="225">
          <cell r="A225" t="str">
            <v>1923-1-1-01-05-00-0000-00</v>
          </cell>
          <cell r="B225" t="str">
            <v>UNIDAD ADMINISTRATIVA ESPECIAL DE SERVICIOS PUBLICOS</v>
          </cell>
          <cell r="C225">
            <v>5273157</v>
          </cell>
        </row>
        <row r="226">
          <cell r="A226" t="str">
            <v>1923-1-1-01-06-00-0000-00</v>
          </cell>
          <cell r="B226" t="str">
            <v>UNIDAD ADMINISTRATIVA ESPECIAL DE SERVICIOS PUBLICOS</v>
          </cell>
          <cell r="C226">
            <v>852110</v>
          </cell>
        </row>
        <row r="227">
          <cell r="A227" t="str">
            <v>1923-1-1-01-07-00-0000-00</v>
          </cell>
          <cell r="B227" t="str">
            <v>UNIDAD ADMINISTRATIVA ESPECIAL DE SERVICIOS PUBLICOS</v>
          </cell>
          <cell r="C227">
            <v>416350</v>
          </cell>
        </row>
        <row r="228">
          <cell r="A228" t="str">
            <v>1923-1-1-01-08-00-0000-00</v>
          </cell>
          <cell r="B228" t="str">
            <v>UNIDAD ADMINISTRATIVA ESPECIAL DE SERVICIOS PUBLICOS</v>
          </cell>
          <cell r="C228">
            <v>28497729</v>
          </cell>
        </row>
        <row r="229">
          <cell r="A229" t="str">
            <v>1923-1-1-01-13-00-0000-00</v>
          </cell>
          <cell r="B229" t="str">
            <v>UNIDAD ADMINISTRATIVA ESPECIAL DE SERVICIOS PUBLICOS</v>
          </cell>
          <cell r="C229">
            <v>2462713</v>
          </cell>
        </row>
        <row r="230">
          <cell r="A230" t="str">
            <v>1923-1-1-01-14-00-0000-00</v>
          </cell>
          <cell r="B230" t="str">
            <v>UNIDAD ADMINISTRATIVA ESPECIAL DE SERVICIOS PUBLICOS</v>
          </cell>
          <cell r="C230">
            <v>34544680</v>
          </cell>
        </row>
        <row r="231">
          <cell r="A231" t="str">
            <v>1973-1-1-01-14-00-0000-00</v>
          </cell>
          <cell r="B231" t="str">
            <v>UNIDAD ADMINISTRATIVA ESPECIAL DE SERVICIOS PUBLICOS</v>
          </cell>
          <cell r="C231">
            <v>2061476</v>
          </cell>
        </row>
        <row r="232">
          <cell r="A232" t="str">
            <v>1923-1-1-01-15-00-0000-00</v>
          </cell>
          <cell r="B232" t="str">
            <v>UNIDAD ADMINISTRATIVA ESPECIAL DE SERVICIOS PUBLICOS</v>
          </cell>
          <cell r="C232">
            <v>133863682</v>
          </cell>
        </row>
        <row r="233">
          <cell r="A233" t="str">
            <v>1923-1-1-01-16-00-0000-00</v>
          </cell>
          <cell r="B233" t="str">
            <v>UNIDAD ADMINISTRATIVA ESPECIAL DE SERVICIOS PUBLICOS</v>
          </cell>
          <cell r="C233">
            <v>8999928</v>
          </cell>
        </row>
        <row r="234">
          <cell r="A234" t="str">
            <v>1923-1-1-01-17-00-0000-00</v>
          </cell>
          <cell r="B234" t="str">
            <v>UNIDAD ADMINISTRATIVA ESPECIAL DE SERVICIOS PUBLICOS</v>
          </cell>
          <cell r="C234">
            <v>424256</v>
          </cell>
        </row>
        <row r="235">
          <cell r="A235" t="str">
            <v>1923-1-1-01-21-00-0000-00</v>
          </cell>
          <cell r="B235" t="str">
            <v>UNIDAD ADMINISTRATIVA ESPECIAL DE SERVICIOS PUBLICOS</v>
          </cell>
          <cell r="C235">
            <v>37076186</v>
          </cell>
        </row>
        <row r="236">
          <cell r="A236" t="str">
            <v>1923-1-1-01-26-00-0000-00</v>
          </cell>
          <cell r="B236" t="str">
            <v>UNIDAD ADMINISTRATIVA ESPECIAL DE SERVICIOS PUBLICOS</v>
          </cell>
          <cell r="C236">
            <v>2659284</v>
          </cell>
        </row>
        <row r="237">
          <cell r="A237" t="str">
            <v>1973-1-1-01-26-00-0000-00</v>
          </cell>
          <cell r="B237" t="str">
            <v>UNIDAD ADMINISTRATIVA ESPECIAL DE SERVICIOS PUBLICOS</v>
          </cell>
          <cell r="C237">
            <v>172346</v>
          </cell>
        </row>
        <row r="238">
          <cell r="A238" t="str">
            <v>1933-1-1-03-01-01-0000-00</v>
          </cell>
          <cell r="B238" t="str">
            <v>UNIDAD ADMINISTRATIVA ESPECIAL DE SERVICIOS PUBLICOS</v>
          </cell>
          <cell r="C238">
            <v>1707963</v>
          </cell>
        </row>
        <row r="239">
          <cell r="A239" t="str">
            <v>1883-1-3-02-12-00-0000-00</v>
          </cell>
          <cell r="B239" t="str">
            <v>CODENSA S. A. ESP</v>
          </cell>
          <cell r="C239">
            <v>84251074790</v>
          </cell>
        </row>
        <row r="240">
          <cell r="A240" t="str">
            <v>1903-3-1-14-01-14-0582-171</v>
          </cell>
          <cell r="B240" t="str">
            <v>INGENIERIA Y SOLUCIONES ESPECIALIZADAS  S.A.S.</v>
          </cell>
          <cell r="C240">
            <v>939800290</v>
          </cell>
        </row>
        <row r="241">
          <cell r="A241" t="str">
            <v>1563-1-1-02-03-01-0000-00</v>
          </cell>
          <cell r="B241" t="str">
            <v>SANDRA LUCIA ALBA DIAZ</v>
          </cell>
          <cell r="C241">
            <v>36000000</v>
          </cell>
        </row>
        <row r="242">
          <cell r="A242" t="str">
            <v>2163-1-1-02-03-01-0000-00</v>
          </cell>
          <cell r="B242" t="str">
            <v>LUZ DARI MONTAÑEZ MONTAÑEZ</v>
          </cell>
          <cell r="C242">
            <v>27650000</v>
          </cell>
        </row>
        <row r="243">
          <cell r="A243" t="str">
            <v>1853-1-2-02-04-00-0000-00</v>
          </cell>
          <cell r="B243" t="str">
            <v>D P C LTDA PUBLICACIONES DESPACHOS PUBLICOS DE COLOMBIA LTDA</v>
          </cell>
          <cell r="C243">
            <v>800000</v>
          </cell>
        </row>
        <row r="244">
          <cell r="A244" t="str">
            <v>2043-3-1-14-02-21-0584-205</v>
          </cell>
          <cell r="B244" t="str">
            <v>SERGIO REINEL DIAZ</v>
          </cell>
          <cell r="C244">
            <v>23800000</v>
          </cell>
        </row>
        <row r="245">
          <cell r="A245" t="str">
            <v>2023-3-1-14-02-21-0584-205</v>
          </cell>
          <cell r="B245" t="str">
            <v>JOSUE ALEXANDRO BARON DUARTE</v>
          </cell>
          <cell r="C245">
            <v>31733333</v>
          </cell>
        </row>
        <row r="246">
          <cell r="A246" t="str">
            <v>2063-3-1-14-02-21-0584-205</v>
          </cell>
          <cell r="B246" t="str">
            <v>WILLIAM EDUARDO CALDERÓN CASTILLO</v>
          </cell>
          <cell r="C246">
            <v>28500000</v>
          </cell>
        </row>
        <row r="247">
          <cell r="A247" t="str">
            <v>2083-3-1-14-02-21-0584-205</v>
          </cell>
          <cell r="B247" t="str">
            <v>ANA MARIA ROMERO JIMENEZ</v>
          </cell>
          <cell r="C247">
            <v>23800000</v>
          </cell>
        </row>
        <row r="248">
          <cell r="A248" t="str">
            <v>2013-3-1-14-02-21-0584-205</v>
          </cell>
          <cell r="B248" t="str">
            <v>HELBER HUGO MORALES RINCON</v>
          </cell>
          <cell r="C248">
            <v>31733333</v>
          </cell>
        </row>
        <row r="249">
          <cell r="A249" t="str">
            <v>2053-3-1-14-02-21-0584-205</v>
          </cell>
          <cell r="B249" t="str">
            <v>MAYERLI CATHERIN CORONEL RODRIGUEZ</v>
          </cell>
          <cell r="C249">
            <v>23700000</v>
          </cell>
        </row>
        <row r="250">
          <cell r="A250" t="str">
            <v>2073-3-1-14-02-21-0584-205</v>
          </cell>
          <cell r="B250" t="str">
            <v>yisell zarith tellez garzon</v>
          </cell>
          <cell r="C250">
            <v>23700000</v>
          </cell>
        </row>
        <row r="251">
          <cell r="A251" t="str">
            <v>1773-3-1-14-02-21-0584-205</v>
          </cell>
          <cell r="B251" t="str">
            <v>FABIAN LEONARDO BOCANEGRA LINARES</v>
          </cell>
          <cell r="C251">
            <v>31600000</v>
          </cell>
        </row>
        <row r="252">
          <cell r="A252" t="str">
            <v>2033-3-1-14-02-21-0584-205</v>
          </cell>
          <cell r="B252" t="str">
            <v>AIDA LILIA HIPUS DE TACHIRA</v>
          </cell>
          <cell r="C252">
            <v>31600000</v>
          </cell>
        </row>
        <row r="253">
          <cell r="A253" t="str">
            <v>2093-3-1-14-02-21-0584-206</v>
          </cell>
          <cell r="B253" t="str">
            <v>DANIEL  GAMARRA POLO</v>
          </cell>
          <cell r="C253">
            <v>40000000</v>
          </cell>
        </row>
        <row r="254">
          <cell r="A254" t="str">
            <v>2103-3-1-14-02-21-0584-206</v>
          </cell>
          <cell r="B254" t="str">
            <v>JUAN MANUEL ESTEBAN MENA</v>
          </cell>
          <cell r="C254">
            <v>23700000</v>
          </cell>
        </row>
        <row r="255">
          <cell r="A255" t="str">
            <v>1943-3-1-14-02-21-0584-207</v>
          </cell>
          <cell r="B255" t="str">
            <v>NELSON LIBARDO LOZANO BARRERA</v>
          </cell>
          <cell r="C255">
            <v>32000000</v>
          </cell>
        </row>
        <row r="256">
          <cell r="A256" t="str">
            <v>2153-3-1-14-03-26-0226-222</v>
          </cell>
          <cell r="B256" t="str">
            <v>CARMEN LUZ ROJAS GONZALEZ</v>
          </cell>
          <cell r="C256">
            <v>24864000</v>
          </cell>
        </row>
        <row r="257">
          <cell r="A257" t="str">
            <v>2123-3-1-14-03-26-0226-222</v>
          </cell>
          <cell r="B257" t="str">
            <v>DIEGO ALEJANDRO JAIMES RAMIREZ</v>
          </cell>
          <cell r="C257">
            <v>24864000</v>
          </cell>
        </row>
        <row r="258">
          <cell r="A258" t="str">
            <v>2113-3-1-14-03-26-0226-222</v>
          </cell>
          <cell r="B258" t="str">
            <v>JUAN CARLOS DIAZ GOMEZ</v>
          </cell>
          <cell r="C258">
            <v>24864000</v>
          </cell>
        </row>
        <row r="259">
          <cell r="A259" t="str">
            <v>1533-1-2-02-05-01-0000-00</v>
          </cell>
          <cell r="B259" t="str">
            <v>CORREAGRO S.A</v>
          </cell>
          <cell r="C259">
            <v>327748573</v>
          </cell>
        </row>
        <row r="260">
          <cell r="A260" t="str">
            <v>1533-3-1-14-01-14-0583-172</v>
          </cell>
          <cell r="B260" t="str">
            <v>CORREAGRO S.A</v>
          </cell>
          <cell r="C260">
            <v>153387951</v>
          </cell>
        </row>
        <row r="261">
          <cell r="A261" t="str">
            <v>1533-3-1-14-02-21-0584-205</v>
          </cell>
          <cell r="B261" t="str">
            <v>CORREAGRO S.A</v>
          </cell>
          <cell r="C261">
            <v>338234910</v>
          </cell>
        </row>
        <row r="262">
          <cell r="A262" t="str">
            <v>2273-1-2-02-02-00-0000-00</v>
          </cell>
          <cell r="C262">
            <v>761128</v>
          </cell>
        </row>
        <row r="263">
          <cell r="A263" t="str">
            <v>2143-3-1-14-03-26-0226-222</v>
          </cell>
          <cell r="B263" t="str">
            <v>JOSE DARIO GONZALEZ CASTRO</v>
          </cell>
          <cell r="C263">
            <v>24864000</v>
          </cell>
        </row>
        <row r="264">
          <cell r="A264" t="str">
            <v>2133-3-1-14-03-26-0226-222</v>
          </cell>
          <cell r="B264" t="str">
            <v>ANDREA DEL PILAR GUERRERO RODRIGUEZ</v>
          </cell>
          <cell r="C264">
            <v>17404000</v>
          </cell>
        </row>
        <row r="265">
          <cell r="A265" t="str">
            <v>2303-1-1-03-01-02-0000-00</v>
          </cell>
          <cell r="B265" t="str">
            <v>UNIDAD ADMINISTRATIVA ESPECIAL DE SERVICIOS PUBLICOS</v>
          </cell>
          <cell r="C265">
            <v>39252380</v>
          </cell>
        </row>
        <row r="266">
          <cell r="A266" t="str">
            <v>2303-1-1-03-01-03-0000-00</v>
          </cell>
          <cell r="B266" t="str">
            <v>UNIDAD ADMINISTRATIVA ESPECIAL DE SERVICIOS PUBLICOS</v>
          </cell>
          <cell r="C266">
            <v>55209462</v>
          </cell>
        </row>
        <row r="267">
          <cell r="A267" t="str">
            <v>2303-1-1-03-01-05-0000-00</v>
          </cell>
          <cell r="B267" t="str">
            <v>UNIDAD ADMINISTRATIVA ESPECIAL DE SERVICIOS PUBLICOS</v>
          </cell>
          <cell r="C267">
            <v>27251600</v>
          </cell>
        </row>
        <row r="268">
          <cell r="A268" t="str">
            <v>2303-1-1-03-02-01-0000-00</v>
          </cell>
          <cell r="B268" t="str">
            <v>UNIDAD ADMINISTRATIVA ESPECIAL DE SERVICIOS PUBLICOS</v>
          </cell>
          <cell r="C268">
            <v>42619491</v>
          </cell>
        </row>
        <row r="269">
          <cell r="A269" t="str">
            <v>2303-1-1-03-02-02-0000-00</v>
          </cell>
          <cell r="B269" t="str">
            <v>UNIDAD ADMINISTRATIVA ESPECIAL DE SERVICIOS PUBLICOS</v>
          </cell>
          <cell r="C269">
            <v>38831880</v>
          </cell>
        </row>
        <row r="270">
          <cell r="A270" t="str">
            <v>2303-1-1-03-02-04-0000-00</v>
          </cell>
          <cell r="B270" t="str">
            <v>UNIDAD ADMINISTRATIVA ESPECIAL DE SERVICIOS PUBLICOS</v>
          </cell>
          <cell r="C270">
            <v>3982672</v>
          </cell>
        </row>
        <row r="271">
          <cell r="A271" t="str">
            <v>2303-1-1-03-02-06-0000-00</v>
          </cell>
          <cell r="B271" t="str">
            <v>UNIDAD ADMINISTRATIVA ESPECIAL DE SERVICIOS PUBLICOS</v>
          </cell>
          <cell r="C271">
            <v>20439300</v>
          </cell>
        </row>
        <row r="272">
          <cell r="A272" t="str">
            <v>2303-1-1-03-02-07-0000-00</v>
          </cell>
          <cell r="B272" t="str">
            <v>UNIDAD ADMINISTRATIVA ESPECIAL DE SERVICIOS PUBLICOS</v>
          </cell>
          <cell r="C272">
            <v>13625800</v>
          </cell>
        </row>
        <row r="273">
          <cell r="A273" t="str">
            <v>2303-1-1-03-02-09-0000-00</v>
          </cell>
          <cell r="B273" t="str">
            <v>UNIDAD ADMINISTRATIVA ESPECIAL DE SERVICIOS PUBLICOS</v>
          </cell>
          <cell r="C273">
            <v>9627</v>
          </cell>
        </row>
        <row r="274">
          <cell r="A274" t="str">
            <v>2383-1-1-02-03-01-0000-00</v>
          </cell>
          <cell r="B274" t="str">
            <v>ANA MARIA RODRIGUEZ ALFONSO</v>
          </cell>
          <cell r="C274">
            <v>41250000</v>
          </cell>
        </row>
        <row r="275">
          <cell r="A275" t="str">
            <v>2253-3-1-14-02-21-0584-205</v>
          </cell>
          <cell r="B275" t="str">
            <v>DIANA FABIOLA ONOFRE JARA</v>
          </cell>
          <cell r="C275">
            <v>30666666</v>
          </cell>
        </row>
        <row r="276">
          <cell r="A276" t="str">
            <v>2263-3-1-14-02-21-0584-206</v>
          </cell>
          <cell r="B276" t="str">
            <v>JUAN DIEGO GUERRON CARCAMO</v>
          </cell>
          <cell r="C276">
            <v>30800000</v>
          </cell>
        </row>
        <row r="277">
          <cell r="A277" t="str">
            <v>2373-3-1-14-02-21-0584-205</v>
          </cell>
          <cell r="B277" t="str">
            <v>INGESTRUT SAS</v>
          </cell>
          <cell r="C277">
            <v>147202041</v>
          </cell>
        </row>
        <row r="278">
          <cell r="A278" t="str">
            <v>2373-3-1-14-03-31-0581-235</v>
          </cell>
          <cell r="B278" t="str">
            <v>INGESTRUT SAS</v>
          </cell>
          <cell r="C278">
            <v>23742000</v>
          </cell>
        </row>
        <row r="279">
          <cell r="A279" t="str">
            <v>2403-3-1-14-03-31-0581-235</v>
          </cell>
          <cell r="B279" t="str">
            <v>RAMIREZ TORRES CONSULTORES INMOBILIARIOS SAS</v>
          </cell>
          <cell r="C279">
            <v>5029644</v>
          </cell>
        </row>
        <row r="280">
          <cell r="A280" t="str">
            <v>2423-3-1-14-02-21-0584-204</v>
          </cell>
          <cell r="B280" t="str">
            <v>DIEGO ALEXANDER OSPINA ZARATE</v>
          </cell>
          <cell r="C280">
            <v>22300000</v>
          </cell>
        </row>
        <row r="281">
          <cell r="A281" t="str">
            <v>2413-3-1-14-02-21-0584-204</v>
          </cell>
          <cell r="B281" t="str">
            <v>SANDRA KATERINE DELGADO CARVAJAL</v>
          </cell>
          <cell r="C281">
            <v>18583333</v>
          </cell>
        </row>
        <row r="282">
          <cell r="A282" t="str">
            <v>2433-3-1-14-02-21-0584-204</v>
          </cell>
          <cell r="B282" t="str">
            <v>ANDRES EDUARDO MANJARRES SALAS</v>
          </cell>
          <cell r="C282">
            <v>31220000</v>
          </cell>
        </row>
        <row r="283">
          <cell r="A283" t="str">
            <v>2453-3-1-14-02-21-0584-204</v>
          </cell>
          <cell r="B283" t="str">
            <v>DANIEL ARMANDO ORJUELA DELGADO</v>
          </cell>
          <cell r="C283">
            <v>37000000</v>
          </cell>
        </row>
        <row r="284">
          <cell r="A284" t="str">
            <v>2463-3-1-14-02-21-0584-204</v>
          </cell>
          <cell r="B284" t="str">
            <v>JORGE LUIS VASQUEZ RODRIGUEZ</v>
          </cell>
          <cell r="C284">
            <v>22200000</v>
          </cell>
        </row>
        <row r="285">
          <cell r="A285" t="str">
            <v>2323-3-1-14-02-21-0584-205</v>
          </cell>
          <cell r="B285" t="str">
            <v>MILTON SEBASTIAN APONTE MONROY</v>
          </cell>
          <cell r="C285">
            <v>22200000</v>
          </cell>
        </row>
        <row r="286">
          <cell r="A286" t="str">
            <v>2333-3-1-14-02-21-0584-205</v>
          </cell>
          <cell r="B286" t="str">
            <v>ALBA YANETH CAMELO VELOZA</v>
          </cell>
          <cell r="C286">
            <v>29200000</v>
          </cell>
        </row>
        <row r="287">
          <cell r="A287" t="str">
            <v>2193-3-1-14-02-21-0584-205</v>
          </cell>
          <cell r="B287" t="str">
            <v>CARLOS EDUARDO LLANOS GIL</v>
          </cell>
          <cell r="C287">
            <v>29200000</v>
          </cell>
        </row>
        <row r="288">
          <cell r="A288" t="str">
            <v>2283-3-1-14-02-21-0584-205</v>
          </cell>
          <cell r="B288" t="str">
            <v>PAULA ANDREA QUINTERO RAMIREZ</v>
          </cell>
          <cell r="C288">
            <v>21900000</v>
          </cell>
        </row>
        <row r="289">
          <cell r="A289" t="str">
            <v>1633-3-4-00-00-00-0000-00</v>
          </cell>
          <cell r="B289" t="str">
            <v>KALED ROLANDO ROJAS SANTANA</v>
          </cell>
          <cell r="C289">
            <v>2566667</v>
          </cell>
        </row>
        <row r="290">
          <cell r="A290" t="str">
            <v>2173-3-1-14-02-21-0584-204</v>
          </cell>
          <cell r="B290" t="str">
            <v>MARIA FERNANDA RAMIREZ GARCIA</v>
          </cell>
          <cell r="C290">
            <v>94266665</v>
          </cell>
        </row>
        <row r="291">
          <cell r="A291" t="str">
            <v>1353-3-1-14-03-31-0581-235</v>
          </cell>
          <cell r="B291" t="str">
            <v>CONTROLES EMPRESARIALES LTDA</v>
          </cell>
          <cell r="C291">
            <v>110668841</v>
          </cell>
        </row>
        <row r="292">
          <cell r="A292" t="str">
            <v>613-3-1-14-03-31-0581-235</v>
          </cell>
          <cell r="B292" t="str">
            <v>COLOMBIANA DE COMERCIO SA</v>
          </cell>
          <cell r="C292">
            <v>11754900</v>
          </cell>
        </row>
        <row r="293">
          <cell r="A293" t="str">
            <v>1703-3-1-14-03-31-0581-235</v>
          </cell>
          <cell r="B293" t="str">
            <v>MAKRO SUPERMAYORISTA S.A.S</v>
          </cell>
          <cell r="C293">
            <v>6151470</v>
          </cell>
        </row>
        <row r="294">
          <cell r="A294" t="str">
            <v>2593-3-1-14-03-31-0581-235</v>
          </cell>
          <cell r="B294" t="str">
            <v>MAKRO SUPERMAYORISTA S.A.S</v>
          </cell>
          <cell r="C294">
            <v>53030</v>
          </cell>
        </row>
        <row r="295">
          <cell r="A295" t="str">
            <v>2493-1-1-01-01-00-0000-00</v>
          </cell>
          <cell r="B295" t="str">
            <v>UNIDAD ADMINISTRATIVA ESPECIAL DE SERVICIOS PUBLICOS</v>
          </cell>
          <cell r="C295">
            <v>460416819</v>
          </cell>
        </row>
        <row r="296">
          <cell r="A296" t="str">
            <v>2493-1-1-01-04-00-0000-00</v>
          </cell>
          <cell r="B296" t="str">
            <v>UNIDAD ADMINISTRATIVA ESPECIAL DE SERVICIOS PUBLICOS</v>
          </cell>
          <cell r="C296">
            <v>34669239</v>
          </cell>
        </row>
        <row r="297">
          <cell r="A297" t="str">
            <v>2493-1-1-01-05-00-0000-00</v>
          </cell>
          <cell r="B297" t="str">
            <v>UNIDAD ADMINISTRATIVA ESPECIAL DE SERVICIOS PUBLICOS</v>
          </cell>
          <cell r="C297">
            <v>5360342</v>
          </cell>
        </row>
        <row r="298">
          <cell r="A298" t="str">
            <v>2493-1-1-01-06-00-0000-00</v>
          </cell>
          <cell r="B298" t="str">
            <v>UNIDAD ADMINISTRATIVA ESPECIAL DE SERVICIOS PUBLICOS</v>
          </cell>
          <cell r="C298">
            <v>854700</v>
          </cell>
        </row>
        <row r="299">
          <cell r="A299" t="str">
            <v>2493-1-1-01-07-00-0000-00</v>
          </cell>
          <cell r="B299" t="str">
            <v>UNIDAD ADMINISTRATIVA ESPECIAL DE SERVICIOS PUBLICOS</v>
          </cell>
          <cell r="C299">
            <v>589974</v>
          </cell>
        </row>
        <row r="300">
          <cell r="A300" t="str">
            <v>2493-1-1-01-08-00-0000-00</v>
          </cell>
          <cell r="B300" t="str">
            <v>UNIDAD ADMINISTRATIVA ESPECIAL DE SERVICIOS PUBLICOS</v>
          </cell>
          <cell r="C300">
            <v>5668582</v>
          </cell>
        </row>
        <row r="301">
          <cell r="A301" t="str">
            <v>2493-1-1-01-13-00-0000-00</v>
          </cell>
          <cell r="B301" t="str">
            <v>UNIDAD ADMINISTRATIVA ESPECIAL DE SERVICIOS PUBLICOS</v>
          </cell>
          <cell r="C301">
            <v>111786</v>
          </cell>
        </row>
        <row r="302">
          <cell r="A302" t="str">
            <v>2493-1-1-01-14-00-0000-00</v>
          </cell>
          <cell r="B302" t="str">
            <v>UNIDAD ADMINISTRATIVA ESPECIAL DE SERVICIOS PUBLICOS</v>
          </cell>
          <cell r="C302">
            <v>31693364</v>
          </cell>
        </row>
        <row r="303">
          <cell r="A303" t="str">
            <v>2493-1-1-01-15-00-0000-00</v>
          </cell>
          <cell r="B303" t="str">
            <v>UNIDAD ADMINISTRATIVA ESPECIAL DE SERVICIOS PUBLICOS</v>
          </cell>
          <cell r="C303">
            <v>133759285</v>
          </cell>
        </row>
        <row r="304">
          <cell r="A304" t="str">
            <v>2493-1-1-01-16-00-0000-00</v>
          </cell>
          <cell r="B304" t="str">
            <v>UNIDAD ADMINISTRATIVA ESPECIAL DE SERVICIOS PUBLICOS</v>
          </cell>
          <cell r="C304">
            <v>9548420</v>
          </cell>
        </row>
        <row r="305">
          <cell r="A305" t="str">
            <v>2493-1-1-01-17-00-0000-00</v>
          </cell>
          <cell r="B305" t="str">
            <v>UNIDAD ADMINISTRATIVA ESPECIAL DE SERVICIOS PUBLICOS</v>
          </cell>
          <cell r="C305">
            <v>398427</v>
          </cell>
        </row>
        <row r="306">
          <cell r="A306" t="str">
            <v>2493-1-1-01-21-00-0000-00</v>
          </cell>
          <cell r="B306" t="str">
            <v>UNIDAD ADMINISTRATIVA ESPECIAL DE SERVICIOS PUBLICOS</v>
          </cell>
          <cell r="C306">
            <v>2502753</v>
          </cell>
        </row>
        <row r="307">
          <cell r="A307" t="str">
            <v>2493-1-1-01-26-00-0000-00</v>
          </cell>
          <cell r="B307" t="str">
            <v>UNIDAD ADMINISTRATIVA ESPECIAL DE SERVICIOS PUBLICOS</v>
          </cell>
          <cell r="C307">
            <v>2788546</v>
          </cell>
        </row>
        <row r="308">
          <cell r="A308" t="str">
            <v>2393-1-1-02-03-01-0000-00</v>
          </cell>
          <cell r="C308">
            <v>2740000</v>
          </cell>
        </row>
        <row r="309">
          <cell r="A309" t="str">
            <v>2443-1-1-02-03-01-0000-00</v>
          </cell>
          <cell r="B309" t="str">
            <v>DIEGO ARMANDO GUTIERREZ DIMATE</v>
          </cell>
          <cell r="C309">
            <v>50866666</v>
          </cell>
        </row>
        <row r="310">
          <cell r="A310" t="str">
            <v>2723-3-1-14-01-14-0582-171</v>
          </cell>
          <cell r="B310" t="str">
            <v>ANGELICA  VARGAS CHAVARRO</v>
          </cell>
          <cell r="C310">
            <v>38500000</v>
          </cell>
        </row>
        <row r="311">
          <cell r="A311" t="str">
            <v>2713-3-1-14-01-14-0582-171</v>
          </cell>
          <cell r="B311" t="str">
            <v>TIRSA PATRICIA UPARELA OLIVERA</v>
          </cell>
          <cell r="C311">
            <v>19600000</v>
          </cell>
        </row>
        <row r="312">
          <cell r="A312" t="str">
            <v>2663-3-1-14-01-14-0582-171</v>
          </cell>
          <cell r="B312" t="str">
            <v>FERNANDO ANDRÉS CARVAJAL MOLINA</v>
          </cell>
          <cell r="C312">
            <v>26600000</v>
          </cell>
        </row>
        <row r="313">
          <cell r="A313" t="str">
            <v>2813-3-1-14-01-14-0582-171</v>
          </cell>
          <cell r="B313" t="str">
            <v>SANDRA PATRICIA BENAVIDES BUITRAGO</v>
          </cell>
          <cell r="C313">
            <v>28000000</v>
          </cell>
        </row>
        <row r="314">
          <cell r="A314" t="str">
            <v>2513-3-1-14-02-21-0584-204</v>
          </cell>
          <cell r="B314" t="str">
            <v>GLORIA ROCIO JIMENEZ RIOS</v>
          </cell>
          <cell r="C314">
            <v>27613333</v>
          </cell>
        </row>
        <row r="315">
          <cell r="A315" t="str">
            <v>2543-3-1-14-02-21-0584-204</v>
          </cell>
          <cell r="B315" t="str">
            <v>LUZ HELENA GOMEZ LEYVA</v>
          </cell>
          <cell r="C315">
            <v>67125333</v>
          </cell>
        </row>
        <row r="316">
          <cell r="A316" t="str">
            <v>2843-3-1-14-02-21-0584-204</v>
          </cell>
          <cell r="B316" t="str">
            <v>OSCAR JAVIER FONSECA GOMEZ</v>
          </cell>
          <cell r="C316">
            <v>56000000</v>
          </cell>
        </row>
        <row r="317">
          <cell r="A317" t="str">
            <v>2343-3-1-14-02-21-0584-205</v>
          </cell>
          <cell r="B317" t="str">
            <v>JAVIER ALBEIRO HERNANDEZ JARAMILLO</v>
          </cell>
          <cell r="C317">
            <v>29066666</v>
          </cell>
        </row>
        <row r="318">
          <cell r="A318" t="str">
            <v>2213-3-1-14-02-21-0584-205</v>
          </cell>
          <cell r="B318" t="str">
            <v>CESAR AUGUSTO AVILA VALENZUELA</v>
          </cell>
          <cell r="C318">
            <v>28933333</v>
          </cell>
        </row>
        <row r="319">
          <cell r="A319" t="str">
            <v>2203-3-1-14-02-21-0584-205</v>
          </cell>
          <cell r="B319" t="str">
            <v>MONICA VIVIANA PORRAS BEDOYA</v>
          </cell>
          <cell r="C319">
            <v>28933333</v>
          </cell>
        </row>
        <row r="320">
          <cell r="A320" t="str">
            <v>2473-3-1-14-02-21-0584-205</v>
          </cell>
          <cell r="B320" t="str">
            <v>LUISA FERNANDA INSIGNARES GOMEZ</v>
          </cell>
          <cell r="C320">
            <v>25199999</v>
          </cell>
        </row>
        <row r="321">
          <cell r="A321" t="str">
            <v>2903-3-1-14-02-21-0584-205</v>
          </cell>
          <cell r="B321" t="str">
            <v>ROSARIO ELEVYN RAMIREZ ROMERO</v>
          </cell>
          <cell r="C321">
            <v>25083333</v>
          </cell>
        </row>
        <row r="322">
          <cell r="A322" t="str">
            <v>2313-3-1-14-03-31-0581-235</v>
          </cell>
          <cell r="B322" t="str">
            <v>COMPUTEL SYSTEM SAS</v>
          </cell>
          <cell r="C322">
            <v>129754556</v>
          </cell>
        </row>
        <row r="323">
          <cell r="A323" t="str">
            <v>1873-3-1-14-02-21-0584-204</v>
          </cell>
          <cell r="B323" t="str">
            <v>GEOCAPITAL S.A.</v>
          </cell>
          <cell r="C323">
            <v>152502366</v>
          </cell>
        </row>
        <row r="324">
          <cell r="A324" t="str">
            <v>1873-3-1-14-02-21-0584-205</v>
          </cell>
          <cell r="B324" t="str">
            <v>GEOCAPITAL S.A.</v>
          </cell>
          <cell r="C324">
            <v>58717295</v>
          </cell>
        </row>
        <row r="325">
          <cell r="A325" t="str">
            <v>2883-1-1-03-01-01-0000-00</v>
          </cell>
          <cell r="B325" t="str">
            <v>UNIDAD ADMINISTRATIVA ESPECIAL DE SERVICIOS PUBLICOS</v>
          </cell>
          <cell r="C325">
            <v>238134</v>
          </cell>
        </row>
        <row r="326">
          <cell r="A326" t="str">
            <v>2523-3-1-14-02-21-0584-204</v>
          </cell>
          <cell r="B326" t="str">
            <v>XAM SOLUCIONES INTEGRALES S.A.S</v>
          </cell>
          <cell r="C326">
            <v>9651200</v>
          </cell>
        </row>
        <row r="327">
          <cell r="A327" t="str">
            <v>2823-3-1-14-01-14-0582-171</v>
          </cell>
          <cell r="B327" t="str">
            <v>CRISTIAN  RENDON GOMEZ</v>
          </cell>
          <cell r="C327">
            <v>19600000</v>
          </cell>
        </row>
        <row r="328">
          <cell r="A328" t="str">
            <v>2533-3-1-14-01-14-0582-171</v>
          </cell>
          <cell r="B328" t="str">
            <v>LEIDY JOHANA MUÑOZ CARRERO</v>
          </cell>
          <cell r="C328">
            <v>35000000</v>
          </cell>
        </row>
        <row r="329">
          <cell r="A329" t="str">
            <v>2703-3-1-14-01-14-0582-171</v>
          </cell>
          <cell r="B329" t="str">
            <v>EDWIN MAURICIO RAMOS AMAYA</v>
          </cell>
          <cell r="C329">
            <v>28000000</v>
          </cell>
        </row>
        <row r="330">
          <cell r="A330" t="str">
            <v>2653-3-1-14-01-14-0582-171</v>
          </cell>
          <cell r="B330" t="str">
            <v>TANIA CAMILA AGUILAR MENDIETA</v>
          </cell>
          <cell r="C330">
            <v>19600000</v>
          </cell>
        </row>
        <row r="331">
          <cell r="A331" t="str">
            <v>2733-3-1-14-01-14-0582-171</v>
          </cell>
          <cell r="B331" t="str">
            <v>JUAN FRANCISCO MARADEI GARCIA</v>
          </cell>
          <cell r="C331">
            <v>35000000</v>
          </cell>
        </row>
        <row r="332">
          <cell r="A332" t="str">
            <v>2693-3-1-14-01-14-0582-171</v>
          </cell>
          <cell r="B332" t="str">
            <v>ALEX ROBERTO SALAMANCA</v>
          </cell>
          <cell r="C332">
            <v>0</v>
          </cell>
        </row>
        <row r="333">
          <cell r="A333" t="str">
            <v>2853-3-1-14-01-14-0582-171</v>
          </cell>
          <cell r="B333" t="str">
            <v>DANIEL SARMIENTO E HIJOS S.A.S.</v>
          </cell>
          <cell r="C333">
            <v>6000000</v>
          </cell>
        </row>
        <row r="334">
          <cell r="A334" t="str">
            <v>2673-3-1-14-01-14-0582-171</v>
          </cell>
          <cell r="B334" t="str">
            <v>GONZALO FERNANDO CISNEROS GARAVITO</v>
          </cell>
          <cell r="C334">
            <v>42000000</v>
          </cell>
        </row>
        <row r="335">
          <cell r="A335" t="str">
            <v>2683-3-1-14-01-14-0582-171</v>
          </cell>
          <cell r="B335" t="str">
            <v>WILLIAM ANDRES NINO TORRES</v>
          </cell>
          <cell r="C335">
            <v>26600000</v>
          </cell>
        </row>
        <row r="336">
          <cell r="A336" t="str">
            <v>2913-3-1-14-01-14-0583-172</v>
          </cell>
          <cell r="B336" t="str">
            <v>UNIÓN TEMPORAL PROINPRO</v>
          </cell>
          <cell r="C336">
            <v>175538376</v>
          </cell>
        </row>
        <row r="337">
          <cell r="A337" t="str">
            <v>2833-3-1-14-02-21-0584-204</v>
          </cell>
          <cell r="B337" t="str">
            <v>RAUL  NAVARRO JARAMILLO</v>
          </cell>
          <cell r="C337">
            <v>49000000</v>
          </cell>
        </row>
        <row r="338">
          <cell r="A338" t="str">
            <v>2773-3-1-14-02-21-0584-204</v>
          </cell>
          <cell r="B338" t="str">
            <v>DALGY DANIT LEAL OJEDA</v>
          </cell>
          <cell r="C338">
            <v>31650000</v>
          </cell>
        </row>
        <row r="339">
          <cell r="A339" t="str">
            <v>2743-3-1-14-02-21-0584-204</v>
          </cell>
          <cell r="B339" t="str">
            <v>CINDY LORENA MORENO FLOREZ</v>
          </cell>
          <cell r="C339">
            <v>33600000</v>
          </cell>
        </row>
        <row r="340">
          <cell r="A340" t="str">
            <v>2753-3-1-14-02-21-0584-204</v>
          </cell>
          <cell r="B340" t="str">
            <v>LUIS FELIPE PACHON GANTIVA</v>
          </cell>
          <cell r="C340">
            <v>36400000</v>
          </cell>
        </row>
        <row r="341">
          <cell r="A341" t="str">
            <v>2993-3-1-14-02-21-0584-204</v>
          </cell>
          <cell r="B341" t="str">
            <v>SESCOLOMBIA S A S</v>
          </cell>
          <cell r="C341">
            <v>78880000</v>
          </cell>
        </row>
        <row r="342">
          <cell r="A342" t="str">
            <v>2793-3-1-14-02-21-0584-204</v>
          </cell>
          <cell r="B342" t="str">
            <v>ANDREA PATRICIA ACOSTA OVALLE</v>
          </cell>
          <cell r="C342">
            <v>21000000</v>
          </cell>
        </row>
        <row r="343">
          <cell r="A343" t="str">
            <v>2893-3-1-14-02-21-0584-205</v>
          </cell>
          <cell r="B343" t="str">
            <v>CLAUDIA MERCEDES CIFUENTES CIFUENTES</v>
          </cell>
          <cell r="C343">
            <v>21000000</v>
          </cell>
        </row>
        <row r="344">
          <cell r="A344" t="str">
            <v>2953-3-1-14-02-21-0584-205</v>
          </cell>
          <cell r="B344" t="str">
            <v>GIOVANNI ENRIQUE PEÑA SUAREZ</v>
          </cell>
          <cell r="C344">
            <v>21000000</v>
          </cell>
        </row>
        <row r="345">
          <cell r="A345" t="str">
            <v>2933-3-1-14-02-21-0584-205</v>
          </cell>
          <cell r="B345" t="str">
            <v>LUIS ALBERTO HERNANDEZ SILVA</v>
          </cell>
          <cell r="C345">
            <v>21000000</v>
          </cell>
        </row>
        <row r="346">
          <cell r="A346" t="str">
            <v>2233-3-1-14-02-21-0584-205</v>
          </cell>
          <cell r="B346" t="str">
            <v>SHIRLEY ESTELA PADILLA DORIA</v>
          </cell>
          <cell r="C346">
            <v>28000000</v>
          </cell>
        </row>
        <row r="347">
          <cell r="A347" t="str">
            <v>2353-3-1-14-02-21-0584-205</v>
          </cell>
          <cell r="B347" t="str">
            <v>LORENA  PERDOMO SEPULVEDA</v>
          </cell>
          <cell r="C347">
            <v>28000000</v>
          </cell>
        </row>
        <row r="348">
          <cell r="A348" t="str">
            <v>1983-3-1-14-02-21-0584-205</v>
          </cell>
          <cell r="B348" t="str">
            <v>NANCY GIOVANNA CELY</v>
          </cell>
          <cell r="C348">
            <v>28000000</v>
          </cell>
        </row>
        <row r="349">
          <cell r="A349" t="str">
            <v>2973-3-1-14-02-21-0584-205</v>
          </cell>
          <cell r="B349" t="str">
            <v>LAURA MERCEDES MORENO PARRA</v>
          </cell>
          <cell r="C349">
            <v>21000000</v>
          </cell>
        </row>
        <row r="350">
          <cell r="A350" t="str">
            <v>2643-3-1-14-02-21-0584-206</v>
          </cell>
          <cell r="B350" t="str">
            <v>OCTAVIO ENRIQUE VEGA CASTRO</v>
          </cell>
          <cell r="C350">
            <v>30000000</v>
          </cell>
        </row>
        <row r="351">
          <cell r="A351" t="str">
            <v>2613-3-1-14-02-21-0584-206</v>
          </cell>
          <cell r="B351" t="str">
            <v>MARIA ANGELICA RAMIREZ RAMIREZ</v>
          </cell>
          <cell r="C351">
            <v>44100000</v>
          </cell>
        </row>
        <row r="352">
          <cell r="A352" t="str">
            <v>2623-3-1-14-02-21-0584-206</v>
          </cell>
          <cell r="B352" t="str">
            <v>LUIS ORLANDO SANCHEZ GOMEZ</v>
          </cell>
          <cell r="C352">
            <v>58100000</v>
          </cell>
        </row>
        <row r="353">
          <cell r="A353" t="str">
            <v>2633-3-1-14-02-21-0584-206</v>
          </cell>
          <cell r="B353" t="str">
            <v>PAUL  LEHOUCQ MONTOYA</v>
          </cell>
          <cell r="C353">
            <v>83636000</v>
          </cell>
        </row>
        <row r="354">
          <cell r="A354" t="str">
            <v>2603-3-1-14-02-21-0584-206</v>
          </cell>
          <cell r="B354" t="str">
            <v>YAMIT ALEJANDRO VELASQUEZ OBANDO</v>
          </cell>
          <cell r="C354">
            <v>16100000</v>
          </cell>
        </row>
        <row r="355">
          <cell r="A355" t="str">
            <v>2583-3-1-14-03-31-0581-235</v>
          </cell>
          <cell r="B355" t="str">
            <v>ERIKA  MORALES AMOROCHO</v>
          </cell>
          <cell r="C355">
            <v>11460000</v>
          </cell>
        </row>
        <row r="356">
          <cell r="A356" t="str">
            <v>2553-3-1-14-03-31-0581-235</v>
          </cell>
          <cell r="B356" t="str">
            <v>NICOLAS  LIZARAZO LEYVA</v>
          </cell>
          <cell r="C356">
            <v>7000000</v>
          </cell>
        </row>
        <row r="357">
          <cell r="A357" t="str">
            <v>2573-3-1-14-03-31-0581-235</v>
          </cell>
          <cell r="B357" t="str">
            <v>MONICA  OCAÑA BERNAL</v>
          </cell>
          <cell r="C357">
            <v>11460000</v>
          </cell>
        </row>
        <row r="358">
          <cell r="A358" t="str">
            <v>2563-3-1-14-03-31-0581-235</v>
          </cell>
          <cell r="B358" t="str">
            <v>MARTHA  TRUJILLO PANIAGUA</v>
          </cell>
          <cell r="C358">
            <v>11460000</v>
          </cell>
        </row>
        <row r="359">
          <cell r="A359" t="str">
            <v>2963-3-1-14-02-21-0584-205</v>
          </cell>
          <cell r="B359" t="str">
            <v>UNIDAD ADMINISTRATIVA ESPECIAL DE SERVICIOS PUBLICOS</v>
          </cell>
          <cell r="C359">
            <v>150000000</v>
          </cell>
        </row>
        <row r="360">
          <cell r="A360" t="str">
            <v>3023-3-1-14-02-21-0584-204</v>
          </cell>
          <cell r="B360" t="str">
            <v>LUIS GABRIEL PRECIADO GUERRERO</v>
          </cell>
          <cell r="C360">
            <v>21100000</v>
          </cell>
        </row>
        <row r="361">
          <cell r="A361" t="str">
            <v>3033-3-1-14-02-21-0584-204</v>
          </cell>
          <cell r="B361" t="str">
            <v>ASOCIACION NACIONAL DE EMPRESAS DE SERVICIOS PUBLICOS Y COMUNICACIONES ANDESCO</v>
          </cell>
          <cell r="C361">
            <v>21000000</v>
          </cell>
        </row>
        <row r="362">
          <cell r="A362" t="str">
            <v>3043-1-1-03-01-02-0000-00</v>
          </cell>
          <cell r="B362" t="str">
            <v>UNIDAD ADMINISTRATIVA ESPECIAL DE SERVICIOS PUBLICOS</v>
          </cell>
          <cell r="C362">
            <v>38275720</v>
          </cell>
        </row>
        <row r="363">
          <cell r="A363" t="str">
            <v>3043-1-1-03-01-03-0000-00</v>
          </cell>
          <cell r="B363" t="str">
            <v>UNIDAD ADMINISTRATIVA ESPECIAL DE SERVICIOS PUBLICOS</v>
          </cell>
          <cell r="C363">
            <v>53587679</v>
          </cell>
        </row>
        <row r="364">
          <cell r="A364" t="str">
            <v>3043-1-1-03-01-05-0000-00</v>
          </cell>
          <cell r="B364" t="str">
            <v>UNIDAD ADMINISTRATIVA ESPECIAL DE SERVICIOS PUBLICOS</v>
          </cell>
          <cell r="C364">
            <v>27530000</v>
          </cell>
        </row>
        <row r="365">
          <cell r="A365" t="str">
            <v>3043-1-1-03-02-01-0000-00</v>
          </cell>
          <cell r="B365" t="str">
            <v>UNIDAD ADMINISTRATIVA ESPECIAL DE SERVICIOS PUBLICOS</v>
          </cell>
          <cell r="C365">
            <v>41773259</v>
          </cell>
        </row>
        <row r="366">
          <cell r="A366" t="str">
            <v>3043-1-1-03-02-02-0000-00</v>
          </cell>
          <cell r="B366" t="str">
            <v>UNIDAD ADMINISTRATIVA ESPECIAL DE SERVICIOS PUBLICOS</v>
          </cell>
          <cell r="C366">
            <v>37379880</v>
          </cell>
        </row>
        <row r="367">
          <cell r="A367" t="str">
            <v>3043-1-1-03-02-04-0000-00</v>
          </cell>
          <cell r="B367" t="str">
            <v>UNIDAD ADMINISTRATIVA ESPECIAL DE SERVICIOS PUBLICOS</v>
          </cell>
          <cell r="C367">
            <v>3745372</v>
          </cell>
        </row>
        <row r="368">
          <cell r="A368" t="str">
            <v>3043-1-1-03-02-06-0000-00</v>
          </cell>
          <cell r="B368" t="str">
            <v>UNIDAD ADMINISTRATIVA ESPECIAL DE SERVICIOS PUBLICOS</v>
          </cell>
          <cell r="C368">
            <v>20648100</v>
          </cell>
        </row>
        <row r="369">
          <cell r="A369" t="str">
            <v>3043-1-1-03-02-07-0000-00</v>
          </cell>
          <cell r="B369" t="str">
            <v>UNIDAD ADMINISTRATIVA ESPECIAL DE SERVICIOS PUBLICOS</v>
          </cell>
          <cell r="C369">
            <v>13764500</v>
          </cell>
        </row>
        <row r="370">
          <cell r="A370" t="str">
            <v>3043-1-1-03-02-09-0000-00</v>
          </cell>
          <cell r="B370" t="str">
            <v>UNIDAD ADMINISTRATIVA ESPECIAL DE SERVICIOS PUBLICOS</v>
          </cell>
          <cell r="C370">
            <v>9627</v>
          </cell>
        </row>
        <row r="371">
          <cell r="A371" t="str">
            <v>3063-1-1-02-03-01-0000-00</v>
          </cell>
          <cell r="B371" t="str">
            <v>INSIGNARES &amp; SILVA ABOGADOS ASOCIADOS SAS</v>
          </cell>
          <cell r="C371">
            <v>9280000</v>
          </cell>
        </row>
        <row r="372">
          <cell r="A372" t="str">
            <v>3073-1-1-03-01-02-0000-00</v>
          </cell>
          <cell r="B372" t="str">
            <v>UNIDAD ADMINISTRATIVA ESPECIAL DE SERVICIOS PUBLICOS</v>
          </cell>
          <cell r="C372">
            <v>5625960</v>
          </cell>
        </row>
        <row r="373">
          <cell r="A373" t="str">
            <v>3073-1-1-03-01-03-0000-00</v>
          </cell>
          <cell r="B373" t="str">
            <v>UNIDAD ADMINISTRATIVA ESPECIAL DE SERVICIOS PUBLICOS</v>
          </cell>
          <cell r="C373">
            <v>7930075</v>
          </cell>
        </row>
        <row r="374">
          <cell r="A374" t="str">
            <v>3073-1-1-03-01-05-0000-00</v>
          </cell>
          <cell r="B374" t="str">
            <v>UNIDAD ADMINISTRATIVA ESPECIAL DE SERVICIOS PUBLICOS</v>
          </cell>
          <cell r="C374">
            <v>9358960</v>
          </cell>
        </row>
        <row r="375">
          <cell r="A375" t="str">
            <v>3073-1-1-03-02-02-0000-00</v>
          </cell>
          <cell r="B375" t="str">
            <v>UNIDAD ADMINISTRATIVA ESPECIAL DE SERVICIOS PUBLICOS</v>
          </cell>
          <cell r="C375">
            <v>5569440</v>
          </cell>
        </row>
        <row r="376">
          <cell r="A376" t="str">
            <v>3073-1-1-03-02-04-0000-00</v>
          </cell>
          <cell r="B376" t="str">
            <v>UNIDAD ADMINISTRATIVA ESPECIAL DE SERVICIOS PUBLICOS</v>
          </cell>
          <cell r="C376">
            <v>543072</v>
          </cell>
        </row>
        <row r="377">
          <cell r="A377" t="str">
            <v>3073-1-1-03-02-06-0000-00</v>
          </cell>
          <cell r="B377" t="str">
            <v>UNIDAD ADMINISTRATIVA ESPECIAL DE SERVICIOS PUBLICOS</v>
          </cell>
          <cell r="C377">
            <v>7018970</v>
          </cell>
        </row>
        <row r="378">
          <cell r="A378" t="str">
            <v>3073-1-1-03-02-07-0000-00</v>
          </cell>
          <cell r="B378" t="str">
            <v>UNIDAD ADMINISTRATIVA ESPECIAL DE SERVICIOS PUBLICOS</v>
          </cell>
          <cell r="C378">
            <v>4677580</v>
          </cell>
        </row>
        <row r="379">
          <cell r="A379" t="str">
            <v>253-1-1-02-03-01-0000-00</v>
          </cell>
          <cell r="B379" t="str">
            <v>UNIDAD ADMINISTRATIVA ESPECIAL DE SERVICIOS PUBLICOS</v>
          </cell>
          <cell r="C379">
            <v>500000</v>
          </cell>
        </row>
        <row r="380">
          <cell r="A380" t="str">
            <v>2983-1-1-02-03-01-0000-00</v>
          </cell>
          <cell r="B380" t="str">
            <v>RAUL WEXLER PULIDO TELLEZ</v>
          </cell>
          <cell r="C380">
            <v>17400000</v>
          </cell>
        </row>
        <row r="381">
          <cell r="A381" t="str">
            <v>2483-3-4-00-00-00-0000-00</v>
          </cell>
          <cell r="B381" t="str">
            <v>GESTION RURAL Y URBANA S.A.S.</v>
          </cell>
          <cell r="C381">
            <v>72790711</v>
          </cell>
        </row>
        <row r="382">
          <cell r="A382" t="str">
            <v>3143-1-2-02-06-01-0000-00</v>
          </cell>
          <cell r="B382" t="str">
            <v>QBE SEGUROS S A Y PODRA USAR LAS</v>
          </cell>
          <cell r="C382">
            <v>35412173</v>
          </cell>
        </row>
        <row r="383">
          <cell r="A383" t="str">
            <v>3253-3-1-15-02-13-1109-130</v>
          </cell>
          <cell r="B383" t="str">
            <v>AUTOMATIZACIÓN Y PESO S.A.S</v>
          </cell>
          <cell r="C383">
            <v>30937200</v>
          </cell>
        </row>
        <row r="384">
          <cell r="A384" t="str">
            <v>2863-1-2-02-05-01-0000-00</v>
          </cell>
          <cell r="B384" t="str">
            <v>CAR SCANNERS SAS</v>
          </cell>
          <cell r="C384">
            <v>44800000</v>
          </cell>
        </row>
        <row r="385">
          <cell r="A385" t="str">
            <v>3083-1-2-02-06-01-0000-00</v>
          </cell>
          <cell r="B385" t="str">
            <v>SEGUROS DEL ESTADO S A</v>
          </cell>
          <cell r="C385">
            <v>4813151</v>
          </cell>
        </row>
        <row r="386">
          <cell r="A386" t="str">
            <v>3183-1-1-02-03-01-0000-00</v>
          </cell>
          <cell r="B386" t="str">
            <v>JUAN CARLOS JIMENEZ TRIANA</v>
          </cell>
          <cell r="C386">
            <v>36000000</v>
          </cell>
        </row>
        <row r="387">
          <cell r="A387" t="str">
            <v>3173-3-1-15-02-13-1109-130</v>
          </cell>
          <cell r="B387" t="str">
            <v>DISARDECA LTDA</v>
          </cell>
          <cell r="C387">
            <v>52500000</v>
          </cell>
        </row>
        <row r="388">
          <cell r="A388" t="str">
            <v>3193-3-1-15-07-42-1042-185</v>
          </cell>
          <cell r="B388" t="str">
            <v>MARTIN EULISES RUBIO SAENZ</v>
          </cell>
          <cell r="C388">
            <v>52200000</v>
          </cell>
        </row>
        <row r="389">
          <cell r="A389" t="str">
            <v>3263-3-1-15-07-42-1042-185</v>
          </cell>
          <cell r="B389" t="str">
            <v>PAOLA  ROMERO NEIRA</v>
          </cell>
          <cell r="C389">
            <v>22040000</v>
          </cell>
        </row>
        <row r="390">
          <cell r="A390" t="str">
            <v>3223-3-1-15-07-42-1042-185</v>
          </cell>
          <cell r="B390" t="str">
            <v>SANDRA MELISSA CARDENAS ESPINOSA</v>
          </cell>
          <cell r="C390">
            <v>71250000</v>
          </cell>
        </row>
        <row r="391">
          <cell r="A391" t="str">
            <v>3273-3-1-15-07-42-1042-185</v>
          </cell>
          <cell r="B391" t="str">
            <v>INSIGNARES &amp; SILVA ABOGADOS ASOCIADOS SAS</v>
          </cell>
          <cell r="C391">
            <v>79344000</v>
          </cell>
        </row>
        <row r="392">
          <cell r="A392" t="str">
            <v>3203-3-1-15-07-42-1042-185</v>
          </cell>
          <cell r="B392" t="str">
            <v>JOSE IGNACIO VARGAS MARTINEZ</v>
          </cell>
          <cell r="C392">
            <v>17000000</v>
          </cell>
        </row>
        <row r="393">
          <cell r="A393" t="str">
            <v>3233-3-1-15-07-42-1042-185</v>
          </cell>
          <cell r="B393" t="str">
            <v>GUSTAVO ANTONIO ROMERO ALVAREZ</v>
          </cell>
          <cell r="C393">
            <v>39666666</v>
          </cell>
        </row>
        <row r="394">
          <cell r="A394" t="str">
            <v>2873-1-2-01-04-00-0000-00</v>
          </cell>
          <cell r="B394" t="str">
            <v>PAPELERIA LOS ANDES LTDA</v>
          </cell>
          <cell r="C394">
            <v>49328695</v>
          </cell>
        </row>
        <row r="395">
          <cell r="A395" t="str">
            <v>3103-1-1-01-01-00-0000-00</v>
          </cell>
          <cell r="B395" t="str">
            <v>UNIDAD ADMINISTRATIVA ESPECIAL DE SERVICIOS PUBLICOS</v>
          </cell>
          <cell r="C395">
            <v>487030912</v>
          </cell>
        </row>
        <row r="396">
          <cell r="A396" t="str">
            <v>3103-1-1-01-04-00-0000-00</v>
          </cell>
          <cell r="B396" t="str">
            <v>UNIDAD ADMINISTRATIVA ESPECIAL DE SERVICIOS PUBLICOS</v>
          </cell>
          <cell r="C396">
            <v>33596584</v>
          </cell>
        </row>
        <row r="397">
          <cell r="A397" t="str">
            <v>3103-1-1-01-05-00-0000-00</v>
          </cell>
          <cell r="B397" t="str">
            <v>UNIDAD ADMINISTRATIVA ESPECIAL DE SERVICIOS PUBLICOS</v>
          </cell>
          <cell r="C397">
            <v>5273988</v>
          </cell>
        </row>
        <row r="398">
          <cell r="A398" t="str">
            <v>3103-1-1-01-06-00-0000-00</v>
          </cell>
          <cell r="B398" t="str">
            <v>UNIDAD ADMINISTRATIVA ESPECIAL DE SERVICIOS PUBLICOS</v>
          </cell>
          <cell r="C398">
            <v>712250</v>
          </cell>
        </row>
        <row r="399">
          <cell r="A399" t="str">
            <v>3103-1-1-01-07-00-0000-00</v>
          </cell>
          <cell r="B399" t="str">
            <v>UNIDAD ADMINISTRATIVA ESPECIAL DE SERVICIOS PUBLICOS</v>
          </cell>
          <cell r="C399">
            <v>518462</v>
          </cell>
        </row>
        <row r="400">
          <cell r="A400" t="str">
            <v>3103-1-1-01-08-00-0000-00</v>
          </cell>
          <cell r="B400" t="str">
            <v>UNIDAD ADMINISTRATIVA ESPECIAL DE SERVICIOS PUBLICOS</v>
          </cell>
          <cell r="C400">
            <v>12745536</v>
          </cell>
        </row>
        <row r="401">
          <cell r="A401" t="str">
            <v>3103-1-1-01-11-00-0000-00</v>
          </cell>
          <cell r="B401" t="str">
            <v>UNIDAD ADMINISTRATIVA ESPECIAL DE SERVICIOS PUBLICOS</v>
          </cell>
          <cell r="C401">
            <v>776565116</v>
          </cell>
        </row>
        <row r="402">
          <cell r="A402" t="str">
            <v>3103-1-1-01-13-00-0000-00</v>
          </cell>
          <cell r="B402" t="str">
            <v>UNIDAD ADMINISTRATIVA ESPECIAL DE SERVICIOS PUBLICOS</v>
          </cell>
          <cell r="C402">
            <v>434496</v>
          </cell>
        </row>
        <row r="403">
          <cell r="A403" t="str">
            <v>3103-1-1-01-14-00-0000-00</v>
          </cell>
          <cell r="B403" t="str">
            <v>UNIDAD ADMINISTRATIVA ESPECIAL DE SERVICIOS PUBLICOS</v>
          </cell>
          <cell r="C403">
            <v>64496394</v>
          </cell>
        </row>
        <row r="404">
          <cell r="A404" t="str">
            <v>3103-1-1-01-15-00-0000-00</v>
          </cell>
          <cell r="B404" t="str">
            <v>UNIDAD ADMINISTRATIVA ESPECIAL DE SERVICIOS PUBLICOS</v>
          </cell>
          <cell r="C404">
            <v>126768046</v>
          </cell>
        </row>
        <row r="405">
          <cell r="A405" t="str">
            <v>3103-1-1-01-16-00-0000-00</v>
          </cell>
          <cell r="B405" t="str">
            <v>UNIDAD ADMINISTRATIVA ESPECIAL DE SERVICIOS PUBLICOS</v>
          </cell>
          <cell r="C405">
            <v>8592695</v>
          </cell>
        </row>
        <row r="406">
          <cell r="A406" t="str">
            <v>3103-1-1-01-17-00-0000-00</v>
          </cell>
          <cell r="B406" t="str">
            <v>UNIDAD ADMINISTRATIVA ESPECIAL DE SERVICIOS PUBLICOS</v>
          </cell>
          <cell r="C406">
            <v>376603</v>
          </cell>
        </row>
        <row r="407">
          <cell r="A407" t="str">
            <v>3103-1-1-01-21-00-0000-00</v>
          </cell>
          <cell r="B407" t="str">
            <v>UNIDAD ADMINISTRATIVA ESPECIAL DE SERVICIOS PUBLICOS</v>
          </cell>
          <cell r="C407">
            <v>294712</v>
          </cell>
        </row>
        <row r="408">
          <cell r="A408" t="str">
            <v>3103-1-1-01-26-00-0000-00</v>
          </cell>
          <cell r="B408" t="str">
            <v>UNIDAD ADMINISTRATIVA ESPECIAL DE SERVICIOS PUBLICOS</v>
          </cell>
          <cell r="C408">
            <v>5735475</v>
          </cell>
        </row>
        <row r="409">
          <cell r="A409" t="str">
            <v>3163-1-1-03-01-02-0000-00</v>
          </cell>
          <cell r="B409" t="str">
            <v>UNIDAD ADMINISTRATIVA ESPECIAL DE SERVICIOS PUBLICOS</v>
          </cell>
          <cell r="C409">
            <v>38839820</v>
          </cell>
        </row>
        <row r="410">
          <cell r="A410" t="str">
            <v>3163-1-1-03-01-03-0000-00</v>
          </cell>
          <cell r="B410" t="str">
            <v>UNIDAD ADMINISTRATIVA ESPECIAL DE SERVICIOS PUBLICOS</v>
          </cell>
          <cell r="C410">
            <v>54250550</v>
          </cell>
        </row>
        <row r="411">
          <cell r="A411" t="str">
            <v>3163-1-1-03-01-05-0000-00</v>
          </cell>
          <cell r="B411" t="str">
            <v>UNIDAD ADMINISTRATIVA ESPECIAL DE SERVICIOS PUBLICOS</v>
          </cell>
          <cell r="C411">
            <v>60887500</v>
          </cell>
        </row>
        <row r="412">
          <cell r="A412" t="str">
            <v>3163-1-1-03-02-01-0000-00</v>
          </cell>
          <cell r="B412" t="str">
            <v>UNIDAD ADMINISTRATIVA ESPECIAL DE SERVICIOS PUBLICOS</v>
          </cell>
          <cell r="C412">
            <v>93465317</v>
          </cell>
        </row>
        <row r="413">
          <cell r="A413" t="str">
            <v>3163-1-1-03-02-02-0000-00</v>
          </cell>
          <cell r="B413" t="str">
            <v>UNIDAD ADMINISTRATIVA ESPECIAL DE SERVICIOS PUBLICOS</v>
          </cell>
          <cell r="C413">
            <v>37751100</v>
          </cell>
        </row>
        <row r="414">
          <cell r="A414" t="str">
            <v>3163-1-1-03-02-04-0000-00</v>
          </cell>
          <cell r="B414" t="str">
            <v>UNIDAD ADMINISTRATIVA ESPECIAL DE SERVICIOS PUBLICOS</v>
          </cell>
          <cell r="C414">
            <v>3572872</v>
          </cell>
        </row>
        <row r="415">
          <cell r="A415" t="str">
            <v>3163-1-1-03-02-06-0000-00</v>
          </cell>
          <cell r="B415" t="str">
            <v>UNIDAD ADMINISTRATIVA ESPECIAL DE SERVICIOS PUBLICOS</v>
          </cell>
          <cell r="C415">
            <v>45665300</v>
          </cell>
        </row>
        <row r="416">
          <cell r="A416" t="str">
            <v>3163-1-1-03-02-07-0000-00</v>
          </cell>
          <cell r="B416" t="str">
            <v>UNIDAD ADMINISTRATIVA ESPECIAL DE SERVICIOS PUBLICOS</v>
          </cell>
          <cell r="C416">
            <v>30442900</v>
          </cell>
        </row>
        <row r="417">
          <cell r="A417" t="str">
            <v>3163-1-1-03-02-09-0000-00</v>
          </cell>
          <cell r="B417" t="str">
            <v>UNIDAD ADMINISTRATIVA ESPECIAL DE SERVICIOS PUBLICOS</v>
          </cell>
          <cell r="C417">
            <v>24187</v>
          </cell>
        </row>
        <row r="418">
          <cell r="A418" t="str">
            <v>3113-1-2-02-02-00-0000-00</v>
          </cell>
          <cell r="B418" t="str">
            <v>ALPIDIO  MEJIA GIRALDO</v>
          </cell>
          <cell r="C418">
            <v>182631</v>
          </cell>
        </row>
        <row r="419">
          <cell r="A419" t="str">
            <v>3123-1-2-03-02-00-0000-00</v>
          </cell>
          <cell r="B419" t="str">
            <v>HARVEY MAURICIO LEYTON CRUZ</v>
          </cell>
          <cell r="C419">
            <v>1000000</v>
          </cell>
        </row>
        <row r="420">
          <cell r="A420" t="str">
            <v>3413-1-2-02-06-01-0000-00</v>
          </cell>
          <cell r="B420" t="str">
            <v>QBE SEGUROS S A Y PODRA USAR LAS</v>
          </cell>
          <cell r="C420">
            <v>1500000</v>
          </cell>
        </row>
        <row r="421">
          <cell r="A421" t="str">
            <v>3363-3-1-15-02-13-1109-130</v>
          </cell>
          <cell r="B421" t="str">
            <v>CAROLINA  JIMENEZ DEL RIO</v>
          </cell>
          <cell r="C421">
            <v>15586666</v>
          </cell>
        </row>
        <row r="422">
          <cell r="A422" t="str">
            <v>3353-3-1-15-02-13-1109-130</v>
          </cell>
          <cell r="B422" t="str">
            <v>HENRY ALBERTO PALOMO NEGRETE</v>
          </cell>
          <cell r="C422">
            <v>22266666</v>
          </cell>
        </row>
        <row r="423">
          <cell r="A423" t="str">
            <v>3213-3-1-15-07-42-1042-185</v>
          </cell>
          <cell r="B423" t="str">
            <v>JAVIER ARTURO CALDERON RIVEROS</v>
          </cell>
          <cell r="C423">
            <v>10140000</v>
          </cell>
        </row>
        <row r="424">
          <cell r="A424" t="str">
            <v>3553-3-1-15-02-13-1109-130</v>
          </cell>
          <cell r="B424" t="str">
            <v>FUNDACION IZAR</v>
          </cell>
          <cell r="C424">
            <v>25015950</v>
          </cell>
        </row>
        <row r="425">
          <cell r="A425" t="str">
            <v>3483-3-1-15-02-13-1109-130</v>
          </cell>
          <cell r="B425" t="str">
            <v>METRICA CONSULTORES S A S</v>
          </cell>
          <cell r="C425">
            <v>55805212</v>
          </cell>
        </row>
        <row r="426">
          <cell r="A426" t="str">
            <v>3543-3-1-15-02-13-1109-130</v>
          </cell>
          <cell r="B426" t="str">
            <v>JOSE WILLIAM OSPINA GARCIA</v>
          </cell>
          <cell r="C426">
            <v>75133333</v>
          </cell>
        </row>
        <row r="427">
          <cell r="A427" t="str">
            <v>3533-3-1-15-02-13-1109-130</v>
          </cell>
          <cell r="B427" t="str">
            <v>RODRIGO  LOZANO AVILA</v>
          </cell>
          <cell r="C427">
            <v>51600667</v>
          </cell>
        </row>
        <row r="428">
          <cell r="A428" t="str">
            <v>3383-3-1-15-02-13-1109-130</v>
          </cell>
          <cell r="B428" t="str">
            <v>CAREN  MORENO PRIETO</v>
          </cell>
          <cell r="C428">
            <v>57566667</v>
          </cell>
        </row>
        <row r="429">
          <cell r="A429" t="str">
            <v>3313-3-1-15-02-13-1109-130</v>
          </cell>
          <cell r="B429" t="str">
            <v>OSCAR HERNANDO PINTO MORENO</v>
          </cell>
          <cell r="C429">
            <v>30800000</v>
          </cell>
        </row>
        <row r="430">
          <cell r="A430" t="str">
            <v>3243-3-1-15-07-42-1042-185</v>
          </cell>
          <cell r="B430" t="str">
            <v>NESKY  PASTRANA RAMOS</v>
          </cell>
          <cell r="C430">
            <v>43466666</v>
          </cell>
        </row>
        <row r="431">
          <cell r="A431" t="str">
            <v>3473-3-1-15-07-42-1042-185</v>
          </cell>
          <cell r="B431" t="str">
            <v>MARIA DEL PILAR PEREZ GUAYACAN</v>
          </cell>
          <cell r="C431">
            <v>9600000</v>
          </cell>
        </row>
        <row r="432">
          <cell r="A432" t="str">
            <v>3583-3-1-15-07-42-1042-185</v>
          </cell>
          <cell r="B432" t="str">
            <v>FABIANA CONSTANZA HERNANDEZ AHUMADA</v>
          </cell>
          <cell r="C432">
            <v>37333333</v>
          </cell>
        </row>
        <row r="433">
          <cell r="A433" t="str">
            <v>3453-3-1-15-07-42-1042-185</v>
          </cell>
          <cell r="B433" t="str">
            <v>MARCOS ALEXANDER MOZO RUIZ</v>
          </cell>
          <cell r="C433">
            <v>9360000</v>
          </cell>
        </row>
        <row r="434">
          <cell r="A434" t="str">
            <v>3563-3-1-15-07-42-1042-185</v>
          </cell>
          <cell r="B434" t="str">
            <v>JULIO ERNESTO VILLARREAL NAVARRO</v>
          </cell>
          <cell r="C434">
            <v>29000000</v>
          </cell>
        </row>
        <row r="435">
          <cell r="A435" t="str">
            <v>3523-1-1-01-01-00-0000-00</v>
          </cell>
          <cell r="B435" t="str">
            <v>UNIDAD ADMINISTRATIVA ESPECIAL DE SERVICIOS PUBLICOS</v>
          </cell>
          <cell r="C435">
            <v>406695186</v>
          </cell>
        </row>
        <row r="436">
          <cell r="A436" t="str">
            <v>3523-1-1-01-04-00-0000-00</v>
          </cell>
          <cell r="B436" t="str">
            <v>UNIDAD ADMINISTRATIVA ESPECIAL DE SERVICIOS PUBLICOS</v>
          </cell>
          <cell r="C436">
            <v>32840016</v>
          </cell>
        </row>
        <row r="437">
          <cell r="A437" t="str">
            <v>3523-1-1-01-05-00-0000-00</v>
          </cell>
          <cell r="B437" t="str">
            <v>UNIDAD ADMINISTRATIVA ESPECIAL DE SERVICIOS PUBLICOS</v>
          </cell>
          <cell r="C437">
            <v>4219706</v>
          </cell>
        </row>
        <row r="438">
          <cell r="A438" t="str">
            <v>3523-1-1-01-06-00-0000-00</v>
          </cell>
          <cell r="B438" t="str">
            <v>UNIDAD ADMINISTRATIVA ESPECIAL DE SERVICIOS PUBLICOS</v>
          </cell>
          <cell r="C438">
            <v>701890</v>
          </cell>
        </row>
        <row r="439">
          <cell r="A439" t="str">
            <v>3523-1-1-01-07-00-0000-00</v>
          </cell>
          <cell r="B439" t="str">
            <v>UNIDAD ADMINISTRATIVA ESPECIAL DE SERVICIOS PUBLICOS</v>
          </cell>
          <cell r="C439">
            <v>518461</v>
          </cell>
        </row>
        <row r="440">
          <cell r="A440" t="str">
            <v>3523-1-1-01-08-00-0000-00</v>
          </cell>
          <cell r="B440" t="str">
            <v>UNIDAD ADMINISTRATIVA ESPECIAL DE SERVICIOS PUBLICOS</v>
          </cell>
          <cell r="C440">
            <v>6878641</v>
          </cell>
        </row>
        <row r="441">
          <cell r="A441" t="str">
            <v>3523-1-1-01-11-00-0000-00</v>
          </cell>
          <cell r="B441" t="str">
            <v>UNIDAD ADMINISTRATIVA ESPECIAL DE SERVICIOS PUBLICOS</v>
          </cell>
          <cell r="C441">
            <v>360229</v>
          </cell>
        </row>
        <row r="442">
          <cell r="A442" t="str">
            <v>3523-1-1-01-14-00-0000-00</v>
          </cell>
          <cell r="B442" t="str">
            <v>UNIDAD ADMINISTRATIVA ESPECIAL DE SERVICIOS PUBLICOS</v>
          </cell>
          <cell r="C442">
            <v>14893822</v>
          </cell>
        </row>
        <row r="443">
          <cell r="A443" t="str">
            <v>3523-1-1-01-15-00-0000-00</v>
          </cell>
          <cell r="B443" t="str">
            <v>UNIDAD ADMINISTRATIVA ESPECIAL DE SERVICIOS PUBLICOS</v>
          </cell>
          <cell r="C443">
            <v>125883895</v>
          </cell>
        </row>
        <row r="444">
          <cell r="A444" t="str">
            <v>3523-1-1-01-16-00-0000-00</v>
          </cell>
          <cell r="B444" t="str">
            <v>UNIDAD ADMINISTRATIVA ESPECIAL DE SERVICIOS PUBLICOS</v>
          </cell>
          <cell r="C444">
            <v>9193396</v>
          </cell>
        </row>
        <row r="445">
          <cell r="A445" t="str">
            <v>3523-1-1-01-17-00-0000-00</v>
          </cell>
          <cell r="B445" t="str">
            <v>UNIDAD ADMINISTRATIVA ESPECIAL DE SERVICIOS PUBLICOS</v>
          </cell>
          <cell r="C445">
            <v>425863</v>
          </cell>
        </row>
        <row r="446">
          <cell r="A446" t="str">
            <v>3523-1-1-01-26-00-0000-00</v>
          </cell>
          <cell r="B446" t="str">
            <v>UNIDAD ADMINISTRATIVA ESPECIAL DE SERVICIOS PUBLICOS</v>
          </cell>
          <cell r="C446">
            <v>1183392</v>
          </cell>
        </row>
        <row r="447">
          <cell r="A447" t="str">
            <v>3603-1-2-02-09-01-0000-00</v>
          </cell>
          <cell r="B447" t="str">
            <v>CENTRO INTERNACIONAL DE ENERGIAS RENOVÁVEIS - BIOGÁS</v>
          </cell>
          <cell r="C447">
            <v>306000</v>
          </cell>
        </row>
        <row r="448">
          <cell r="A448" t="str">
            <v>1823-3-4-00-00-00-0000-00</v>
          </cell>
          <cell r="B448" t="str">
            <v>CAJA DE VIVIENDA POPULAR</v>
          </cell>
          <cell r="C448">
            <v>92729273</v>
          </cell>
        </row>
        <row r="449">
          <cell r="A449" t="str">
            <v>3973-1-2-02-06-01-0000-00</v>
          </cell>
          <cell r="B449" t="str">
            <v>QBE SEGUROS S A Y PODRA USAR LAS</v>
          </cell>
          <cell r="C449">
            <v>17706086</v>
          </cell>
        </row>
        <row r="450">
          <cell r="A450" t="str">
            <v>3723-3-1-15-02-13-1109-130</v>
          </cell>
          <cell r="B450" t="str">
            <v>OSCAR LEONARDO RAMIREZ ORJUELA</v>
          </cell>
          <cell r="C450">
            <v>30000000</v>
          </cell>
        </row>
        <row r="451">
          <cell r="A451" t="str">
            <v>3733-3-1-15-02-13-1109-130</v>
          </cell>
          <cell r="B451" t="str">
            <v>JORGE LUIS ZAMBRANO MURCIA</v>
          </cell>
          <cell r="C451">
            <v>17500000</v>
          </cell>
        </row>
        <row r="452">
          <cell r="A452" t="str">
            <v>3743-3-1-15-02-13-1109-130</v>
          </cell>
          <cell r="B452" t="str">
            <v>MARIA ELENA POVEDA MURCIA</v>
          </cell>
          <cell r="C452">
            <v>12500000</v>
          </cell>
        </row>
        <row r="453">
          <cell r="A453" t="str">
            <v>3753-3-1-15-02-13-1109-130</v>
          </cell>
          <cell r="B453" t="str">
            <v>CARLOS MANUEL ESTRADA CADAVID</v>
          </cell>
          <cell r="C453">
            <v>70000000</v>
          </cell>
        </row>
        <row r="454">
          <cell r="A454" t="str">
            <v>3493-3-1-15-02-13-1109-130</v>
          </cell>
          <cell r="B454" t="str">
            <v>JORGE ELIECER LOZANO OSPINA</v>
          </cell>
          <cell r="C454">
            <v>34766666</v>
          </cell>
        </row>
        <row r="455">
          <cell r="A455" t="str">
            <v>3373-3-1-15-02-13-1109-130</v>
          </cell>
          <cell r="B455" t="str">
            <v>UNIVERSIDAD NACIONAL DE COLOMBIA</v>
          </cell>
          <cell r="C455">
            <v>250000000</v>
          </cell>
        </row>
        <row r="456">
          <cell r="A456" t="str">
            <v>3903-3-1-15-02-13-1109-130</v>
          </cell>
          <cell r="B456" t="str">
            <v>CAMILO AUGUSTO REALES ALBA</v>
          </cell>
          <cell r="C456">
            <v>29400000</v>
          </cell>
        </row>
        <row r="457">
          <cell r="A457" t="str">
            <v>3893-3-1-15-02-13-1109-130</v>
          </cell>
          <cell r="B457" t="str">
            <v>NICOLAS  TOBON TORREGLOSA</v>
          </cell>
          <cell r="C457">
            <v>19600000</v>
          </cell>
        </row>
        <row r="458">
          <cell r="A458" t="str">
            <v>3653-3-1-15-07-42-1042-185</v>
          </cell>
          <cell r="B458" t="str">
            <v>MARIELA  RUIZ JEREZ</v>
          </cell>
          <cell r="C458">
            <v>13400000</v>
          </cell>
        </row>
        <row r="459">
          <cell r="A459" t="str">
            <v>3663-3-1-15-07-42-1042-185</v>
          </cell>
          <cell r="B459" t="str">
            <v>JEIMY JOHANA PEDRAZA VENEGAS</v>
          </cell>
          <cell r="C459">
            <v>13400000</v>
          </cell>
        </row>
        <row r="460">
          <cell r="A460" t="str">
            <v>3593-3-1-15-07-42-1042-185</v>
          </cell>
          <cell r="B460" t="str">
            <v>ELDA PATRICIA CASTAÑEDA MONROY</v>
          </cell>
          <cell r="C460">
            <v>35000000</v>
          </cell>
        </row>
        <row r="461">
          <cell r="A461" t="str">
            <v>3813-3-1-15-07-42-1042-185</v>
          </cell>
          <cell r="B461" t="str">
            <v>FERNANDO  BERNAL ROCHA</v>
          </cell>
          <cell r="C461">
            <v>27930000</v>
          </cell>
        </row>
        <row r="462">
          <cell r="A462" t="str">
            <v>3763-3-1-15-07-42-1042-185</v>
          </cell>
          <cell r="B462" t="str">
            <v>COMPUTEL SYSTEM SAS</v>
          </cell>
          <cell r="C462">
            <v>63889190</v>
          </cell>
        </row>
        <row r="463">
          <cell r="A463" t="str">
            <v>3513-3-1-15-07-42-1042-185</v>
          </cell>
          <cell r="B463" t="str">
            <v>OPENSKY CONSULTORES SAS</v>
          </cell>
          <cell r="C463">
            <v>27800000</v>
          </cell>
        </row>
        <row r="464">
          <cell r="A464" t="str">
            <v>3863-3-1-15-02-13-1109-130</v>
          </cell>
          <cell r="B464" t="str">
            <v>CLARA CONSUELO GARCIA</v>
          </cell>
          <cell r="C464">
            <v>19200000</v>
          </cell>
        </row>
        <row r="465">
          <cell r="A465" t="str">
            <v>3853-3-1-15-02-13-1109-130</v>
          </cell>
          <cell r="B465" t="str">
            <v>LUIS  GAMBOA JORGE</v>
          </cell>
          <cell r="C465">
            <v>19200000</v>
          </cell>
        </row>
        <row r="466">
          <cell r="A466" t="str">
            <v>3883-3-1-15-02-13-1109-130</v>
          </cell>
          <cell r="B466" t="str">
            <v>SONIA ROCIO SAAVEDRA UMBA</v>
          </cell>
          <cell r="C466">
            <v>19066666</v>
          </cell>
        </row>
        <row r="467">
          <cell r="A467" t="str">
            <v>3873-3-1-15-02-13-1109-130</v>
          </cell>
          <cell r="B467" t="str">
            <v>HERNANDO ALBERTO VENEGAS RODRIGUEZ</v>
          </cell>
          <cell r="C467">
            <v>33366666</v>
          </cell>
        </row>
        <row r="468">
          <cell r="A468" t="str">
            <v>3913-3-1-15-02-13-1109-130</v>
          </cell>
          <cell r="B468" t="str">
            <v>YEISON OSWALDO ROBAYO ARIAS</v>
          </cell>
          <cell r="C468">
            <v>16566666</v>
          </cell>
        </row>
        <row r="469">
          <cell r="A469" t="str">
            <v>4173-3-1-15-02-13-1109-130</v>
          </cell>
          <cell r="B469" t="str">
            <v>ANGELA MARIA VARGAS QUEVEDO</v>
          </cell>
          <cell r="C469">
            <v>13630000</v>
          </cell>
        </row>
        <row r="470">
          <cell r="A470" t="str">
            <v>4213-3-1-15-02-13-1109-130</v>
          </cell>
          <cell r="B470" t="str">
            <v>LIDA  RUIZ VASQUEZ</v>
          </cell>
          <cell r="C470">
            <v>65333333</v>
          </cell>
        </row>
        <row r="471">
          <cell r="A471" t="str">
            <v>4253-3-1-15-02-13-1109-130</v>
          </cell>
          <cell r="B471" t="str">
            <v>YOJHANTH DAVID GONZALEZ CASTELLANOS</v>
          </cell>
          <cell r="C471">
            <v>16333333</v>
          </cell>
        </row>
        <row r="472">
          <cell r="A472" t="str">
            <v>4233-3-1-15-02-13-1109-130</v>
          </cell>
          <cell r="B472" t="str">
            <v>NESTOR ALFONSO URREGO CARDENAS</v>
          </cell>
          <cell r="C472">
            <v>14000000</v>
          </cell>
        </row>
        <row r="473">
          <cell r="A473" t="str">
            <v>4243-3-1-15-02-13-1109-130</v>
          </cell>
          <cell r="B473" t="str">
            <v>LADY ASTRID FONTECHA AGUDELO</v>
          </cell>
          <cell r="C473">
            <v>17866666</v>
          </cell>
        </row>
        <row r="474">
          <cell r="A474" t="str">
            <v>4303-3-1-15-02-13-1109-130</v>
          </cell>
          <cell r="B474" t="str">
            <v>E CON S.A.S.</v>
          </cell>
          <cell r="C474">
            <v>428555553</v>
          </cell>
        </row>
        <row r="475">
          <cell r="A475" t="str">
            <v>3823-3-1-15-07-42-1042-185</v>
          </cell>
          <cell r="B475" t="str">
            <v>SERGIO ALEJANDRO FRANCO PARRA</v>
          </cell>
          <cell r="C475">
            <v>27930000</v>
          </cell>
        </row>
        <row r="476">
          <cell r="A476" t="str">
            <v>3673-3-1-15-07-42-1042-185</v>
          </cell>
          <cell r="B476" t="str">
            <v>PEDRO OLIVERIO AVILA ROMERO</v>
          </cell>
          <cell r="C476">
            <v>14400000</v>
          </cell>
        </row>
        <row r="477">
          <cell r="A477" t="str">
            <v>3933-3-1-15-07-42-1042-185</v>
          </cell>
          <cell r="B477" t="str">
            <v>MARIO  BELTRAN PRADA</v>
          </cell>
          <cell r="C477">
            <v>8580000</v>
          </cell>
        </row>
        <row r="478">
          <cell r="A478" t="str">
            <v>3793-3-1-15-07-42-1042-185</v>
          </cell>
          <cell r="B478" t="str">
            <v>CARMIÑA JUDITH CONTRERAS PUELLO</v>
          </cell>
          <cell r="C478">
            <v>8520000</v>
          </cell>
        </row>
        <row r="479">
          <cell r="A479" t="str">
            <v>4193-3-1-15-07-42-1042-185</v>
          </cell>
          <cell r="B479" t="str">
            <v>ASOCIACION COLOMBIANA DE INGENIERIA SANITARIA Y AMBIENTAL</v>
          </cell>
          <cell r="C479">
            <v>18000000</v>
          </cell>
        </row>
        <row r="480">
          <cell r="A480" t="str">
            <v>4453-3-1-15-07-42-1042-185</v>
          </cell>
          <cell r="B480" t="str">
            <v>ASOCIACION COLOMBIANA DE INGENIERIA SANITARIA Y AMBIENTAL</v>
          </cell>
          <cell r="C480">
            <v>6000000</v>
          </cell>
        </row>
        <row r="481">
          <cell r="A481" t="str">
            <v>4403-3-1-15-07-42-1042-185</v>
          </cell>
          <cell r="B481" t="str">
            <v>ASOCIACIÓN NACIONAL DE RECICLADORES ANR</v>
          </cell>
          <cell r="C481">
            <v>4000000</v>
          </cell>
        </row>
        <row r="482">
          <cell r="A482" t="str">
            <v>4383-1-1-01-01-00-0000-00</v>
          </cell>
          <cell r="B482" t="str">
            <v>UNIDAD ADMINISTRATIVA ESPECIAL DE SERVICIOS PUBLICOS</v>
          </cell>
          <cell r="C482">
            <v>445930148</v>
          </cell>
        </row>
        <row r="483">
          <cell r="A483" t="str">
            <v>4383-1-1-01-04-00-0000-00</v>
          </cell>
          <cell r="B483" t="str">
            <v>UNIDAD ADMINISTRATIVA ESPECIAL DE SERVICIOS PUBLICOS</v>
          </cell>
          <cell r="C483">
            <v>33159114</v>
          </cell>
        </row>
        <row r="484">
          <cell r="A484" t="str">
            <v>4383-1-1-01-05-00-0000-00</v>
          </cell>
          <cell r="B484" t="str">
            <v>UNIDAD ADMINISTRATIVA ESPECIAL DE SERVICIOS PUBLICOS</v>
          </cell>
          <cell r="C484">
            <v>4101893</v>
          </cell>
        </row>
        <row r="485">
          <cell r="A485" t="str">
            <v>4383-1-1-01-06-00-0000-00</v>
          </cell>
          <cell r="B485" t="str">
            <v>UNIDAD ADMINISTRATIVA ESPECIAL DE SERVICIOS PUBLICOS</v>
          </cell>
          <cell r="C485">
            <v>841750</v>
          </cell>
        </row>
        <row r="486">
          <cell r="A486" t="str">
            <v>4383-1-1-01-07-00-0000-00</v>
          </cell>
          <cell r="B486" t="str">
            <v>UNIDAD ADMINISTRATIVA ESPECIAL DE SERVICIOS PUBLICOS</v>
          </cell>
          <cell r="C486">
            <v>582823</v>
          </cell>
        </row>
        <row r="487">
          <cell r="A487" t="str">
            <v>4383-1-1-01-08-00-0000-00</v>
          </cell>
          <cell r="B487" t="str">
            <v>UNIDAD ADMINISTRATIVA ESPECIAL DE SERVICIOS PUBLICOS</v>
          </cell>
          <cell r="C487">
            <v>4951995</v>
          </cell>
        </row>
        <row r="488">
          <cell r="A488" t="str">
            <v>4383-1-1-01-13-00-0000-00</v>
          </cell>
          <cell r="B488" t="str">
            <v>UNIDAD ADMINISTRATIVA ESPECIAL DE SERVICIOS PUBLICOS</v>
          </cell>
          <cell r="C488">
            <v>1362975</v>
          </cell>
        </row>
        <row r="489">
          <cell r="A489" t="str">
            <v>4383-1-1-01-14-00-0000-00</v>
          </cell>
          <cell r="B489" t="str">
            <v>UNIDAD ADMINISTRATIVA ESPECIAL DE SERVICIOS PUBLICOS</v>
          </cell>
          <cell r="C489">
            <v>19737651</v>
          </cell>
        </row>
        <row r="490">
          <cell r="A490" t="str">
            <v>4383-1-1-01-15-00-0000-00</v>
          </cell>
          <cell r="B490" t="str">
            <v>UNIDAD ADMINISTRATIVA ESPECIAL DE SERVICIOS PUBLICOS</v>
          </cell>
          <cell r="C490">
            <v>130964913</v>
          </cell>
        </row>
        <row r="491">
          <cell r="A491" t="str">
            <v>4383-1-1-01-16-00-0000-00</v>
          </cell>
          <cell r="B491" t="str">
            <v>UNIDAD ADMINISTRATIVA ESPECIAL DE SERVICIOS PUBLICOS</v>
          </cell>
          <cell r="C491">
            <v>10404464</v>
          </cell>
        </row>
        <row r="492">
          <cell r="A492" t="str">
            <v>4383-1-1-01-17-00-0000-00</v>
          </cell>
          <cell r="B492" t="str">
            <v>UNIDAD ADMINISTRATIVA ESPECIAL DE SERVICIOS PUBLICOS</v>
          </cell>
          <cell r="C492">
            <v>389234</v>
          </cell>
        </row>
        <row r="493">
          <cell r="A493" t="str">
            <v>4383-1-1-01-21-00-0000-00</v>
          </cell>
          <cell r="B493" t="str">
            <v>UNIDAD ADMINISTRATIVA ESPECIAL DE SERVICIOS PUBLICOS</v>
          </cell>
          <cell r="C493">
            <v>402897</v>
          </cell>
        </row>
        <row r="494">
          <cell r="A494" t="str">
            <v>4383-1-1-01-26-00-0000-00</v>
          </cell>
          <cell r="B494" t="str">
            <v>UNIDAD ADMINISTRATIVA ESPECIAL DE SERVICIOS PUBLICOS</v>
          </cell>
          <cell r="C494">
            <v>1688852</v>
          </cell>
        </row>
        <row r="495">
          <cell r="A495" t="str">
            <v>4013-1-1-03-01-02-0000-00</v>
          </cell>
          <cell r="B495" t="str">
            <v>UNIDAD ADMINISTRATIVA ESPECIAL DE SERVICIOS PUBLICOS</v>
          </cell>
          <cell r="C495">
            <v>39093740</v>
          </cell>
        </row>
        <row r="496">
          <cell r="A496" t="str">
            <v>4013-1-1-03-01-03-0000-00</v>
          </cell>
          <cell r="B496" t="str">
            <v>UNIDAD ADMINISTRATIVA ESPECIAL DE SERVICIOS PUBLICOS</v>
          </cell>
          <cell r="C496">
            <v>53748222</v>
          </cell>
        </row>
        <row r="497">
          <cell r="A497" t="str">
            <v>4013-1-1-03-01-05-0000-00</v>
          </cell>
          <cell r="B497" t="str">
            <v>UNIDAD ADMINISTRATIVA ESPECIAL DE SERVICIOS PUBLICOS</v>
          </cell>
          <cell r="C497">
            <v>23942100</v>
          </cell>
        </row>
        <row r="498">
          <cell r="A498" t="str">
            <v>4013-1-1-03-02-01-0000-00</v>
          </cell>
          <cell r="B498" t="str">
            <v>UNIDAD ADMINISTRATIVA ESPECIAL DE SERVICIOS PUBLICOS</v>
          </cell>
          <cell r="C498">
            <v>41276939</v>
          </cell>
        </row>
        <row r="499">
          <cell r="A499" t="str">
            <v>4013-1-1-03-02-02-0000-00</v>
          </cell>
          <cell r="B499" t="str">
            <v>UNIDAD ADMINISTRATIVA ESPECIAL DE SERVICIOS PUBLICOS</v>
          </cell>
          <cell r="C499">
            <v>37032660</v>
          </cell>
        </row>
        <row r="500">
          <cell r="A500" t="str">
            <v>4013-1-1-03-02-04-0000-00</v>
          </cell>
          <cell r="B500" t="str">
            <v>UNIDAD ADMINISTRATIVA ESPECIAL DE SERVICIOS PUBLICOS</v>
          </cell>
          <cell r="C500">
            <v>3484572</v>
          </cell>
        </row>
        <row r="501">
          <cell r="A501" t="str">
            <v>4013-1-1-03-02-06-0000-00</v>
          </cell>
          <cell r="B501" t="str">
            <v>UNIDAD ADMINISTRATIVA ESPECIAL DE SERVICIOS PUBLICOS</v>
          </cell>
          <cell r="C501">
            <v>17957000</v>
          </cell>
        </row>
        <row r="502">
          <cell r="A502" t="str">
            <v>4013-1-1-03-02-07-0000-00</v>
          </cell>
          <cell r="B502" t="str">
            <v>UNIDAD ADMINISTRATIVA ESPECIAL DE SERVICIOS PUBLICOS</v>
          </cell>
          <cell r="C502">
            <v>11970300</v>
          </cell>
        </row>
        <row r="503">
          <cell r="A503" t="str">
            <v>4013-1-1-03-02-09-0000-00</v>
          </cell>
          <cell r="B503" t="str">
            <v>UNIDAD ADMINISTRATIVA ESPECIAL DE SERVICIOS PUBLICOS</v>
          </cell>
          <cell r="C503">
            <v>9627</v>
          </cell>
        </row>
        <row r="504">
          <cell r="A504" t="str">
            <v>4363-1-2-02-02-00-0000-00</v>
          </cell>
          <cell r="B504" t="str">
            <v>MUNDO JOVEN TRAVEL SHOP S A S</v>
          </cell>
          <cell r="C504">
            <v>774000</v>
          </cell>
        </row>
        <row r="505">
          <cell r="A505" t="str">
            <v>4433-1-2-02-02-00-0000-00</v>
          </cell>
          <cell r="B505" t="str">
            <v>BEATRIZ ELENA CARDENAS CASAS</v>
          </cell>
          <cell r="C505">
            <v>1002914</v>
          </cell>
        </row>
        <row r="506">
          <cell r="A506" t="str">
            <v>4443-1-2-02-02-00-0000-00</v>
          </cell>
          <cell r="B506" t="str">
            <v>SERGIO ANDRES RODRIGUEZ ACEVEDO</v>
          </cell>
          <cell r="C506">
            <v>1173423</v>
          </cell>
        </row>
        <row r="507">
          <cell r="B507" t="str">
            <v>LUZ ELENA AGUILAR ARDILA</v>
          </cell>
          <cell r="C507">
            <v>683284</v>
          </cell>
        </row>
        <row r="508">
          <cell r="B508" t="str">
            <v>ANGELA MARCELA ACOSTA PARDO</v>
          </cell>
          <cell r="C508">
            <v>401470</v>
          </cell>
        </row>
        <row r="509">
          <cell r="A509" t="str">
            <v>4463-1-2-02-02-00-0000-00</v>
          </cell>
          <cell r="B509" t="str">
            <v>MUNDO JOVEN TRAVEL SHOP S A S</v>
          </cell>
          <cell r="C509">
            <v>1519348</v>
          </cell>
        </row>
        <row r="510">
          <cell r="A510" t="str">
            <v>4373-1-2-03-01-02-0000-00</v>
          </cell>
          <cell r="B510" t="str">
            <v>CAMARA DE COMERCIO DE BOGOTA</v>
          </cell>
          <cell r="C510">
            <v>1599536</v>
          </cell>
        </row>
        <row r="511">
          <cell r="A511" t="str">
            <v>3943-3-4-00-00-00-0000-00</v>
          </cell>
          <cell r="B511" t="str">
            <v>CENTRO DE GERENCIAMIENTO DE RESIDUOS DOÑA JUANA SA ESP CON</v>
          </cell>
          <cell r="C511">
            <v>3839216243</v>
          </cell>
        </row>
        <row r="512">
          <cell r="A512" t="str">
            <v>3133-1-2-02-06-01-0000-00</v>
          </cell>
          <cell r="B512" t="str">
            <v>MAPFRE SEGUROS GENERALES DE COLOMBIA S.A.</v>
          </cell>
          <cell r="C512">
            <v>408314066</v>
          </cell>
        </row>
        <row r="513">
          <cell r="A513" t="str">
            <v>4003-3-1-15-02-13-1048-132</v>
          </cell>
          <cell r="B513" t="str">
            <v>UNIÓN TEMPORAL PROINPRO</v>
          </cell>
          <cell r="C513">
            <v>54041675</v>
          </cell>
        </row>
        <row r="514">
          <cell r="A514" t="str">
            <v>4513-3-1-15-02-13-1109-130</v>
          </cell>
          <cell r="B514" t="str">
            <v>PEDRO ANTONIO BOHORQUEZ BOHORQUEZ</v>
          </cell>
          <cell r="C514">
            <v>15166666</v>
          </cell>
        </row>
        <row r="515">
          <cell r="A515" t="str">
            <v>4223-3-1-15-02-13-1109-130</v>
          </cell>
          <cell r="B515" t="str">
            <v>HUGO HERNAN BUITRAGO GARZON</v>
          </cell>
          <cell r="C515">
            <v>15166666</v>
          </cell>
        </row>
        <row r="516">
          <cell r="A516" t="str">
            <v>4153-3-1-15-02-13-1109-130</v>
          </cell>
          <cell r="B516" t="str">
            <v>ALVARO IVAN RODRIGUEZ PINZON</v>
          </cell>
          <cell r="C516">
            <v>49880000</v>
          </cell>
        </row>
        <row r="517">
          <cell r="A517" t="str">
            <v>4503-3-1-15-02-13-1109-130</v>
          </cell>
          <cell r="B517" t="str">
            <v>ANDERSON LINO CARREÑO NIÑO</v>
          </cell>
          <cell r="C517">
            <v>15166666</v>
          </cell>
        </row>
        <row r="518">
          <cell r="A518" t="str">
            <v>4543-3-1-15-02-13-1109-130</v>
          </cell>
          <cell r="B518" t="str">
            <v>ANDRES  ORTIZ DOMINGUEZ</v>
          </cell>
          <cell r="C518">
            <v>12500000</v>
          </cell>
        </row>
        <row r="519">
          <cell r="A519" t="str">
            <v>4563-3-1-15-02-13-1109-130</v>
          </cell>
          <cell r="B519" t="str">
            <v>CONSULTORIA DE SERVICIOS PUBLICOS Y MEDIO AMBIENTE S.A.S</v>
          </cell>
          <cell r="C519">
            <v>120000000</v>
          </cell>
        </row>
        <row r="520">
          <cell r="A520" t="str">
            <v>4053-3-1-15-02-13-1109-130</v>
          </cell>
          <cell r="B520" t="str">
            <v>ANGELA JULIANA PEÑA SALGADO</v>
          </cell>
          <cell r="C520">
            <v>12600000</v>
          </cell>
        </row>
        <row r="521">
          <cell r="A521" t="str">
            <v>4493-3-1-15-02-13-1109-130</v>
          </cell>
          <cell r="B521" t="str">
            <v>HIDROSUELOS SAS</v>
          </cell>
          <cell r="C521">
            <v>102306374</v>
          </cell>
        </row>
        <row r="522">
          <cell r="A522" t="str">
            <v>4413-3-1-15-07-42-1042-185</v>
          </cell>
          <cell r="B522" t="str">
            <v>FABIAN ANDRES LOZANO AGUILAR</v>
          </cell>
          <cell r="C522">
            <v>20175064</v>
          </cell>
        </row>
        <row r="523">
          <cell r="A523" t="str">
            <v>4663-3-1-15-02-13-1109-130</v>
          </cell>
          <cell r="B523" t="str">
            <v>CORREAGRO S.A</v>
          </cell>
          <cell r="C523">
            <v>80949493</v>
          </cell>
        </row>
        <row r="524">
          <cell r="A524" t="str">
            <v>3623-1-1-02-03-01-0000-00</v>
          </cell>
          <cell r="B524" t="str">
            <v>JOSE ANANIAS FLOREZ RONCANCIO</v>
          </cell>
          <cell r="C524">
            <v>800000</v>
          </cell>
        </row>
        <row r="525">
          <cell r="A525" t="str">
            <v>3773-3-1-15-07-42-1042-185</v>
          </cell>
          <cell r="B525" t="str">
            <v>ABIL COMERCIALIZADORA S A S</v>
          </cell>
          <cell r="C525">
            <v>4056000</v>
          </cell>
        </row>
        <row r="526">
          <cell r="A526" t="str">
            <v>4533-3-1-15-02-13-1109-130</v>
          </cell>
          <cell r="B526" t="str">
            <v>LUZ ANGELA CHAVES PEÑA</v>
          </cell>
          <cell r="C526">
            <v>12300000</v>
          </cell>
        </row>
        <row r="527">
          <cell r="A527" t="str">
            <v>4703-3-1-15-07-42-1042-185</v>
          </cell>
          <cell r="B527" t="str">
            <v>KAREN ANDREA PEREZ VARGAS</v>
          </cell>
          <cell r="C527">
            <v>7320000</v>
          </cell>
        </row>
        <row r="528">
          <cell r="A528" t="str">
            <v>4653-3-1-15-07-42-1042-185</v>
          </cell>
          <cell r="B528" t="str">
            <v>INGESTRUT SAS</v>
          </cell>
          <cell r="C528">
            <v>8999811</v>
          </cell>
        </row>
        <row r="529">
          <cell r="A529" t="str">
            <v>4083-3-1-15-02-13-1109-130</v>
          </cell>
          <cell r="B529" t="str">
            <v>HELBES ENRIQUE LOPEZ SALAZAR</v>
          </cell>
          <cell r="C529">
            <v>40666666</v>
          </cell>
        </row>
        <row r="530">
          <cell r="A530" t="str">
            <v>4353-3-1-15-07-42-1042-185</v>
          </cell>
          <cell r="B530" t="str">
            <v>UNION TEMPORAL TOYONORTE-ARMOR INTERNATIONAL DE COLOMBIA LTDA</v>
          </cell>
          <cell r="C530">
            <v>107454592</v>
          </cell>
        </row>
        <row r="531">
          <cell r="A531" t="str">
            <v>4283-3-1-15-07-42-1042-185</v>
          </cell>
          <cell r="B531" t="str">
            <v>SGS COLOMBIA S.A.S</v>
          </cell>
          <cell r="C531">
            <v>7163000</v>
          </cell>
        </row>
        <row r="532">
          <cell r="A532" t="str">
            <v>4063-3-1-15-02-13-1109-130</v>
          </cell>
          <cell r="B532" t="str">
            <v>JAIRO ANTONIO VELANDIA GRILLO</v>
          </cell>
          <cell r="C532">
            <v>12000000</v>
          </cell>
        </row>
        <row r="533">
          <cell r="A533" t="str">
            <v>5023-3-1-15-02-13-1109-130</v>
          </cell>
          <cell r="B533" t="str">
            <v>NESTOR  GARCIA GOMEZ</v>
          </cell>
          <cell r="C533">
            <v>26000000</v>
          </cell>
        </row>
        <row r="534">
          <cell r="A534" t="str">
            <v>4293-3-1-15-07-42-1042-185</v>
          </cell>
          <cell r="B534" t="str">
            <v>JEIMY CATALINA MORENO CASTAÑEDA</v>
          </cell>
          <cell r="C534">
            <v>4000000</v>
          </cell>
        </row>
        <row r="535">
          <cell r="A535" t="str">
            <v>4793-3-1-15-07-42-1042-185</v>
          </cell>
          <cell r="B535" t="str">
            <v>RAUL JAVIER MANRIQUE VACCA</v>
          </cell>
          <cell r="C535">
            <v>64960000</v>
          </cell>
        </row>
        <row r="536">
          <cell r="A536" t="str">
            <v>4693-3-1-15-07-42-1042-185</v>
          </cell>
          <cell r="B536" t="str">
            <v>JOHN KENNEDY LEON CASTIBLANCO</v>
          </cell>
          <cell r="C536">
            <v>22800000</v>
          </cell>
        </row>
        <row r="537">
          <cell r="A537" t="str">
            <v>3423-3-1-15-02-13-1109-130</v>
          </cell>
          <cell r="B537" t="str">
            <v>CENTRO DE GERENCIAMIENTO DE RESIDUOS DOÑA JUANA SA ESP CON</v>
          </cell>
          <cell r="C537">
            <v>12334606608</v>
          </cell>
        </row>
        <row r="538">
          <cell r="A538" t="str">
            <v>5093-1-2-02-06-01-0000-00</v>
          </cell>
          <cell r="B538" t="str">
            <v>MAPFRE SEGUROS GENERALES DE COLOMBIA S.A.</v>
          </cell>
          <cell r="C538">
            <v>548960</v>
          </cell>
        </row>
        <row r="539">
          <cell r="A539" t="str">
            <v>3983-3-1-15-07-42-1042-185</v>
          </cell>
          <cell r="B539" t="str">
            <v>WILSON FERNANDO RODRIGUEZ NIÑO</v>
          </cell>
          <cell r="C539">
            <v>16190000</v>
          </cell>
        </row>
        <row r="540">
          <cell r="A540" t="str">
            <v>4343-3-1-15-07-42-1042-185</v>
          </cell>
          <cell r="B540" t="str">
            <v>SOLUTION COPY LTDA</v>
          </cell>
          <cell r="C540">
            <v>14999944</v>
          </cell>
        </row>
        <row r="541">
          <cell r="A541" t="str">
            <v>4673-1-2-02-04-00-0000-00</v>
          </cell>
          <cell r="B541" t="str">
            <v>NOTINET S.A.S.</v>
          </cell>
          <cell r="C541">
            <v>1129333</v>
          </cell>
        </row>
        <row r="542">
          <cell r="A542" t="str">
            <v>4483-3-1-15-02-13-1109-130</v>
          </cell>
          <cell r="B542" t="str">
            <v>VSV CONSULTING SAS</v>
          </cell>
          <cell r="C542">
            <v>82566325</v>
          </cell>
        </row>
        <row r="543">
          <cell r="A543" t="str">
            <v>4743-3-1-15-02-13-1109-130</v>
          </cell>
          <cell r="B543" t="str">
            <v>JOSIAS  HURTADO ARBOLEDA</v>
          </cell>
          <cell r="C543">
            <v>8893333</v>
          </cell>
        </row>
        <row r="544">
          <cell r="A544" t="str">
            <v>4123-3-1-15-02-13-1109-130</v>
          </cell>
          <cell r="B544" t="str">
            <v>MAURICIO EDUARDO FORERO SILVA</v>
          </cell>
          <cell r="C544">
            <v>23200000</v>
          </cell>
        </row>
        <row r="545">
          <cell r="A545" t="str">
            <v>5053-3-1-15-02-13-1109-130</v>
          </cell>
          <cell r="B545" t="str">
            <v>CARLOS AUGUSTO CASTRO PECHA</v>
          </cell>
          <cell r="C545">
            <v>15466666</v>
          </cell>
        </row>
        <row r="546">
          <cell r="A546" t="str">
            <v>4763-3-1-15-02-13-1109-130</v>
          </cell>
          <cell r="B546" t="str">
            <v>GILBERTO  ACOSTA PARRA</v>
          </cell>
          <cell r="C546">
            <v>42533333</v>
          </cell>
        </row>
        <row r="547">
          <cell r="A547" t="str">
            <v>4973-3-1-15-02-13-1109-130</v>
          </cell>
          <cell r="B547" t="str">
            <v>LEONARDO ANDRES FONSECA FAJARDO</v>
          </cell>
          <cell r="C547">
            <v>23200000</v>
          </cell>
        </row>
        <row r="548">
          <cell r="A548" t="str">
            <v>4733-3-1-15-02-13-1109-130</v>
          </cell>
          <cell r="B548" t="str">
            <v>NATH YURY RAMOS ROLDAN</v>
          </cell>
          <cell r="C548">
            <v>23000000</v>
          </cell>
        </row>
        <row r="549">
          <cell r="A549" t="str">
            <v>5073-3-1-15-02-13-1109-130</v>
          </cell>
          <cell r="B549" t="str">
            <v>MONICA LILIANA ROJAS FLOREZ</v>
          </cell>
          <cell r="C549">
            <v>11200000</v>
          </cell>
        </row>
        <row r="550">
          <cell r="A550" t="str">
            <v>4093-3-1-15-02-13-1109-130</v>
          </cell>
          <cell r="B550" t="str">
            <v>CLAUDIA JANNETH JARAMILLO GOMEZ</v>
          </cell>
          <cell r="C550">
            <v>37333333</v>
          </cell>
        </row>
        <row r="551">
          <cell r="A551" t="str">
            <v>4623-3-1-15-03-19-1045-148</v>
          </cell>
          <cell r="B551" t="str">
            <v>SEBASTIAN  PINILLA MOGOLLON</v>
          </cell>
          <cell r="C551">
            <v>25002017</v>
          </cell>
        </row>
        <row r="552">
          <cell r="A552" t="str">
            <v>4423-3-1-15-03-19-1045-148</v>
          </cell>
          <cell r="B552" t="str">
            <v>CATALINA  GUTIERREZ CANO</v>
          </cell>
          <cell r="C552">
            <v>11200000</v>
          </cell>
        </row>
        <row r="553">
          <cell r="A553" t="str">
            <v>4913-3-1-15-07-42-1042-185</v>
          </cell>
          <cell r="B553" t="str">
            <v>CORAL DELGADO &amp; ASOCIADOS SAS</v>
          </cell>
          <cell r="C553">
            <v>119000000</v>
          </cell>
        </row>
        <row r="554">
          <cell r="A554" t="str">
            <v>4863-3-1-15-07-42-1042-185</v>
          </cell>
          <cell r="B554" t="str">
            <v>DIEGO ALEJANDRO JAIMES RAMIREZ</v>
          </cell>
          <cell r="C554">
            <v>24035200</v>
          </cell>
        </row>
        <row r="555">
          <cell r="A555" t="str">
            <v>4903-3-1-15-07-42-1042-185</v>
          </cell>
          <cell r="B555" t="str">
            <v>JOSE DARIO GONZALEZ CASTRO</v>
          </cell>
          <cell r="C555">
            <v>23620800</v>
          </cell>
        </row>
        <row r="556">
          <cell r="A556" t="str">
            <v>4883-3-1-15-07-42-1042-185</v>
          </cell>
          <cell r="B556" t="str">
            <v>CARMEN LUZ ROJAS GONZALEZ</v>
          </cell>
          <cell r="C556">
            <v>23828000</v>
          </cell>
        </row>
        <row r="557">
          <cell r="A557" t="str">
            <v>4893-3-1-15-07-42-1042-185</v>
          </cell>
          <cell r="B557" t="str">
            <v>JUAN CARLOS DIAZ GOMEZ</v>
          </cell>
          <cell r="C557">
            <v>23828000</v>
          </cell>
        </row>
        <row r="558">
          <cell r="A558" t="str">
            <v>4943-3-1-15-07-42-1042-185</v>
          </cell>
          <cell r="B558" t="str">
            <v>ANDRES FELIPE NARANJO FORERO</v>
          </cell>
          <cell r="C558">
            <v>15200000</v>
          </cell>
        </row>
        <row r="559">
          <cell r="A559" t="str">
            <v>4953-3-1-15-07-42-1042-185</v>
          </cell>
          <cell r="B559" t="str">
            <v>WENDY JULAY ESTUPIÑAN HINESTROZA</v>
          </cell>
          <cell r="C559">
            <v>15200000</v>
          </cell>
        </row>
        <row r="560">
          <cell r="A560" t="str">
            <v>4873-3-1-15-07-42-1042-185</v>
          </cell>
          <cell r="B560" t="str">
            <v>ANDREA DEL PILAR GUERRERO RODRIGUEZ</v>
          </cell>
          <cell r="C560">
            <v>23620800</v>
          </cell>
        </row>
        <row r="561">
          <cell r="A561" t="str">
            <v>4933-3-1-15-07-42-1042-185</v>
          </cell>
          <cell r="B561" t="str">
            <v>DIANA MARCELA BAUTISTA AMEZQUITA</v>
          </cell>
          <cell r="C561">
            <v>9500000</v>
          </cell>
        </row>
        <row r="562">
          <cell r="A562" t="str">
            <v>4853-3-1-15-07-42-1042-185</v>
          </cell>
          <cell r="B562" t="str">
            <v>ALEXANDER  BERNAL VARGAS</v>
          </cell>
          <cell r="C562">
            <v>22600000</v>
          </cell>
        </row>
        <row r="563">
          <cell r="A563" t="str">
            <v>4613-3-1-15-07-42-1042-185</v>
          </cell>
          <cell r="B563" t="str">
            <v>IRMA MILENA ALFONSO MORENO</v>
          </cell>
          <cell r="C563">
            <v>13560000</v>
          </cell>
        </row>
        <row r="564">
          <cell r="A564" t="str">
            <v>5163-3-1-15-07-42-1042-185</v>
          </cell>
          <cell r="B564" t="str">
            <v>SEGUNDO EVELIO BELTRAN PINZON</v>
          </cell>
          <cell r="C564">
            <v>9333333</v>
          </cell>
        </row>
        <row r="565">
          <cell r="A565" t="str">
            <v>5183-1-1-03-01-02-0000-00</v>
          </cell>
          <cell r="B565" t="str">
            <v>UNIDAD ADMINISTRATIVA ESPECIAL DE SERVICIOS PUBLICOS</v>
          </cell>
          <cell r="C565">
            <v>38868940</v>
          </cell>
        </row>
        <row r="566">
          <cell r="A566" t="str">
            <v>5183-1-1-03-01-03-0000-00</v>
          </cell>
          <cell r="B566" t="str">
            <v>UNIDAD ADMINISTRATIVA ESPECIAL DE SERVICIOS PUBLICOS</v>
          </cell>
          <cell r="C566">
            <v>52926273</v>
          </cell>
        </row>
        <row r="567">
          <cell r="A567" t="str">
            <v>5183-1-1-03-01-05-0000-00</v>
          </cell>
          <cell r="B567" t="str">
            <v>UNIDAD ADMINISTRATIVA ESPECIAL DE SERVICIOS PUBLICOS</v>
          </cell>
          <cell r="C567">
            <v>26682100</v>
          </cell>
        </row>
        <row r="568">
          <cell r="A568" t="str">
            <v>5183-1-1-03-02-01-0000-00</v>
          </cell>
          <cell r="B568" t="str">
            <v>UNIDAD ADMINISTRATIVA ESPECIAL DE SERVICIOS PUBLICOS</v>
          </cell>
          <cell r="C568">
            <v>41435811</v>
          </cell>
        </row>
        <row r="569">
          <cell r="A569" t="str">
            <v>5183-1-1-03-02-02-0000-00</v>
          </cell>
          <cell r="B569" t="str">
            <v>UNIDAD ADMINISTRATIVA ESPECIAL DE SERVICIOS PUBLICOS</v>
          </cell>
          <cell r="C569">
            <v>36021320</v>
          </cell>
        </row>
        <row r="570">
          <cell r="A570" t="str">
            <v>5183-1-1-03-02-04-0000-00</v>
          </cell>
          <cell r="B570" t="str">
            <v>UNIDAD ADMINISTRATIVA ESPECIAL DE SERVICIOS PUBLICOS</v>
          </cell>
          <cell r="C570">
            <v>3709672</v>
          </cell>
        </row>
        <row r="571">
          <cell r="A571" t="str">
            <v>5183-1-1-03-02-06-0000-00</v>
          </cell>
          <cell r="B571" t="str">
            <v>UNIDAD ADMINISTRATIVA ESPECIAL DE SERVICIOS PUBLICOS</v>
          </cell>
          <cell r="C571">
            <v>20011650</v>
          </cell>
        </row>
        <row r="572">
          <cell r="A572" t="str">
            <v>5183-1-1-03-02-07-0000-00</v>
          </cell>
          <cell r="B572" t="str">
            <v>UNIDAD ADMINISTRATIVA ESPECIAL DE SERVICIOS PUBLICOS</v>
          </cell>
          <cell r="C572">
            <v>13340100</v>
          </cell>
        </row>
        <row r="573">
          <cell r="A573" t="str">
            <v>5183-1-1-03-02-09-0000-00</v>
          </cell>
          <cell r="B573" t="str">
            <v>UNIDAD ADMINISTRATIVA ESPECIAL DE SERVICIOS PUBLICOS</v>
          </cell>
          <cell r="C573">
            <v>9627</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 RUBROS"/>
      <sheetName val="Informe rubro"/>
      <sheetName val="Informe fuentes"/>
      <sheetName val="SAF"/>
      <sheetName val="Reservas x dependencia"/>
      <sheetName val="SEGUIMIE MENSUAL RESERVAS 2020"/>
      <sheetName val="Ejecución"/>
      <sheetName val="RUBROS"/>
      <sheetName val="GIROS RESERVAS"/>
      <sheetName val="DUPLICADOS LLAVE"/>
      <sheetName val="OPS SI-CAPITAL"/>
      <sheetName val="T.D. GIROS Reservas"/>
      <sheetName val="ANULACIONES"/>
      <sheetName val="T.D. ANULACIONES"/>
      <sheetName val="me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
          <cell r="A1" t="str">
            <v>ESTADO</v>
          </cell>
          <cell r="B1" t="str">
            <v>VIGENTE</v>
          </cell>
          <cell r="D1" t="str">
            <v>may</v>
          </cell>
        </row>
        <row r="2">
          <cell r="D2">
            <v>1</v>
          </cell>
        </row>
        <row r="3">
          <cell r="A3" t="str">
            <v>Suma de VALOR</v>
          </cell>
          <cell r="B3" t="str">
            <v>FECHA_REGISTRO</v>
          </cell>
        </row>
        <row r="4">
          <cell r="A4" t="str">
            <v>LLAVE</v>
          </cell>
          <cell r="B4" t="str">
            <v>ene</v>
          </cell>
          <cell r="C4" t="str">
            <v>feb</v>
          </cell>
          <cell r="D4" t="str">
            <v>Total general</v>
          </cell>
        </row>
        <row r="5">
          <cell r="A5" t="str">
            <v>83566541403133011602380000007569Otros Distritos</v>
          </cell>
          <cell r="B5">
            <v>237920</v>
          </cell>
          <cell r="C5">
            <v>594180</v>
          </cell>
          <cell r="D5">
            <v>832100</v>
          </cell>
        </row>
        <row r="6">
          <cell r="A6" t="str">
            <v>83566741423133011602380000007569Otros Distritos</v>
          </cell>
          <cell r="B6">
            <v>536470</v>
          </cell>
          <cell r="C6">
            <v>74910</v>
          </cell>
          <cell r="D6">
            <v>611380</v>
          </cell>
        </row>
        <row r="7">
          <cell r="A7" t="str">
            <v>83566841433133011602380000007569Otros Distritos</v>
          </cell>
          <cell r="B7">
            <v>190413</v>
          </cell>
          <cell r="C7">
            <v>158679</v>
          </cell>
          <cell r="D7">
            <v>349092</v>
          </cell>
        </row>
        <row r="8">
          <cell r="A8" t="str">
            <v>83566641413133011602380000007569Otros Distritos</v>
          </cell>
          <cell r="B8">
            <v>1885490</v>
          </cell>
          <cell r="D8">
            <v>1885490</v>
          </cell>
        </row>
        <row r="9">
          <cell r="A9" t="str">
            <v>544529316133011602380000007569Otros Distritos</v>
          </cell>
          <cell r="B9">
            <v>28063505</v>
          </cell>
          <cell r="D9">
            <v>28063505</v>
          </cell>
        </row>
        <row r="10">
          <cell r="A10" t="str">
            <v>431417225133011502130130001109Otros Distritos</v>
          </cell>
          <cell r="B10">
            <v>25895188</v>
          </cell>
          <cell r="D10">
            <v>25895188</v>
          </cell>
        </row>
        <row r="11">
          <cell r="A11" t="str">
            <v>142411924113101010301Otros Distritos</v>
          </cell>
          <cell r="B11">
            <v>404061519</v>
          </cell>
          <cell r="D11">
            <v>404061519</v>
          </cell>
        </row>
        <row r="12">
          <cell r="A12" t="str">
            <v>142411924113101010302Otros Distritos</v>
          </cell>
          <cell r="B12">
            <v>21527519</v>
          </cell>
          <cell r="D12">
            <v>21527519</v>
          </cell>
        </row>
        <row r="13">
          <cell r="A13" t="str">
            <v>142411924113101010305Otros Distritos</v>
          </cell>
          <cell r="B13">
            <v>137380145</v>
          </cell>
          <cell r="D13">
            <v>137380145</v>
          </cell>
        </row>
        <row r="14">
          <cell r="A14" t="str">
            <v>14241192411310101010101Otros Distritos</v>
          </cell>
          <cell r="B14">
            <v>982868</v>
          </cell>
          <cell r="D14">
            <v>982868</v>
          </cell>
        </row>
        <row r="15">
          <cell r="A15" t="str">
            <v>14241192411310101010110Otros Distritos</v>
          </cell>
          <cell r="B15">
            <v>17583811</v>
          </cell>
          <cell r="D15">
            <v>17583811</v>
          </cell>
        </row>
        <row r="16">
          <cell r="A16" t="str">
            <v>14241192411310101010111Otros Distritos</v>
          </cell>
          <cell r="B16">
            <v>241132422</v>
          </cell>
          <cell r="D16">
            <v>241132422</v>
          </cell>
        </row>
        <row r="17">
          <cell r="A17" t="str">
            <v>14241192411310101010202Otros Distritos</v>
          </cell>
          <cell r="B17">
            <v>294860</v>
          </cell>
          <cell r="D17">
            <v>294860</v>
          </cell>
        </row>
        <row r="18">
          <cell r="A18" t="str">
            <v>14241192411310101020302Otros Distritos</v>
          </cell>
          <cell r="B18">
            <v>33229047</v>
          </cell>
          <cell r="D18">
            <v>33229047</v>
          </cell>
        </row>
        <row r="19">
          <cell r="A19" t="str">
            <v>685576355133011603450000007652Otros Distritos</v>
          </cell>
          <cell r="C19">
            <v>490000000</v>
          </cell>
          <cell r="D19">
            <v>490000000</v>
          </cell>
        </row>
        <row r="20">
          <cell r="A20" t="str">
            <v>83566941443133011602380000007569Otros Distritos</v>
          </cell>
          <cell r="C20">
            <v>3510210</v>
          </cell>
          <cell r="D20">
            <v>3510210</v>
          </cell>
        </row>
        <row r="21">
          <cell r="A21" t="str">
            <v>13821071332133011602370000007644Recursos Administrados</v>
          </cell>
          <cell r="C21">
            <v>108873100</v>
          </cell>
          <cell r="D21">
            <v>108873100</v>
          </cell>
        </row>
        <row r="22">
          <cell r="A22" t="str">
            <v>78163761133011602370000007644Otros Distritos</v>
          </cell>
          <cell r="C22">
            <v>4770000</v>
          </cell>
          <cell r="D22">
            <v>4770000</v>
          </cell>
        </row>
        <row r="23">
          <cell r="A23" t="str">
            <v>1003780154133011603450000007652Otros Distritos</v>
          </cell>
          <cell r="C23">
            <v>2633409</v>
          </cell>
          <cell r="D23">
            <v>2633409</v>
          </cell>
        </row>
        <row r="24">
          <cell r="A24" t="str">
            <v>13071054679133011602370000007644Otros Distritos</v>
          </cell>
          <cell r="C24">
            <v>3750000</v>
          </cell>
          <cell r="D24">
            <v>3750000</v>
          </cell>
        </row>
        <row r="25">
          <cell r="A25" t="str">
            <v>770702443133011602380000007569Otros Distritos</v>
          </cell>
          <cell r="C25">
            <v>21218000</v>
          </cell>
          <cell r="D25">
            <v>21218000</v>
          </cell>
        </row>
        <row r="26">
          <cell r="A26" t="str">
            <v>231220105133011503190148001045Otros Distritos</v>
          </cell>
          <cell r="C26">
            <v>950833</v>
          </cell>
          <cell r="D26">
            <v>950833</v>
          </cell>
        </row>
        <row r="27">
          <cell r="A27" t="str">
            <v>1035838251133011603450000007652Otros Distritos</v>
          </cell>
          <cell r="C27">
            <v>3500000</v>
          </cell>
          <cell r="D27">
            <v>3500000</v>
          </cell>
        </row>
        <row r="28">
          <cell r="A28" t="str">
            <v>602752478133011602380000007569Otros Distritos</v>
          </cell>
          <cell r="C28">
            <v>47948467</v>
          </cell>
          <cell r="D28">
            <v>47948467</v>
          </cell>
        </row>
        <row r="29">
          <cell r="A29" t="str">
            <v>524464508911310202010203Otros Distritos</v>
          </cell>
          <cell r="C29">
            <v>1625330</v>
          </cell>
          <cell r="D29">
            <v>1625330</v>
          </cell>
        </row>
        <row r="30">
          <cell r="A30" t="str">
            <v>18211131020202020201Otros Distritos</v>
          </cell>
          <cell r="C30">
            <v>24810532</v>
          </cell>
          <cell r="D30">
            <v>24810532</v>
          </cell>
        </row>
        <row r="31">
          <cell r="A31" t="str">
            <v>688627358133011602370000007644Otros Distritos</v>
          </cell>
          <cell r="C31">
            <v>47283</v>
          </cell>
          <cell r="D31">
            <v>47283</v>
          </cell>
        </row>
        <row r="32">
          <cell r="A32" t="str">
            <v>688627358131020202030501Otros Distritos</v>
          </cell>
          <cell r="C32">
            <v>86729</v>
          </cell>
          <cell r="D32">
            <v>86729</v>
          </cell>
        </row>
        <row r="33">
          <cell r="A33" t="str">
            <v>688627358133011605560000007628Otros Distritos</v>
          </cell>
          <cell r="C33">
            <v>187561</v>
          </cell>
          <cell r="D33">
            <v>187561</v>
          </cell>
        </row>
        <row r="34">
          <cell r="A34" t="str">
            <v>12301048676133011602380000007569Otros Distritos</v>
          </cell>
          <cell r="C34">
            <v>3733333</v>
          </cell>
          <cell r="D34">
            <v>3733333</v>
          </cell>
        </row>
        <row r="35">
          <cell r="A35" t="str">
            <v>316262150133011503190148001045Otros Distritos</v>
          </cell>
          <cell r="C35">
            <v>2385000</v>
          </cell>
          <cell r="D35">
            <v>2385000</v>
          </cell>
        </row>
        <row r="36">
          <cell r="A36" t="str">
            <v>12271059682133011602380000007569Otros Distritos</v>
          </cell>
          <cell r="C36">
            <v>10500000</v>
          </cell>
          <cell r="D36">
            <v>10500000</v>
          </cell>
        </row>
        <row r="37">
          <cell r="A37" t="str">
            <v>13041082 695133011603450000007652Otros Distritos</v>
          </cell>
          <cell r="C37">
            <v>10400000</v>
          </cell>
          <cell r="D37">
            <v>10400000</v>
          </cell>
        </row>
        <row r="38">
          <cell r="A38" t="str">
            <v>722626395133011602380000007569Otros Distritos</v>
          </cell>
          <cell r="C38">
            <v>1040000</v>
          </cell>
          <cell r="D38">
            <v>1040000</v>
          </cell>
        </row>
        <row r="39">
          <cell r="A39" t="str">
            <v>12651056678133011605560000007628Otros Distritos</v>
          </cell>
          <cell r="C39">
            <v>3043917</v>
          </cell>
          <cell r="D39">
            <v>3043917</v>
          </cell>
        </row>
        <row r="40">
          <cell r="A40" t="str">
            <v>924733104133011605560000007628Otros Distritos</v>
          </cell>
          <cell r="C40">
            <v>166667</v>
          </cell>
          <cell r="D40">
            <v>166667</v>
          </cell>
        </row>
        <row r="41">
          <cell r="A41" t="str">
            <v>1047857566133011605560000007628Otros Distritos</v>
          </cell>
          <cell r="C41">
            <v>3400000</v>
          </cell>
          <cell r="D41">
            <v>3400000</v>
          </cell>
        </row>
        <row r="42">
          <cell r="A42" t="str">
            <v>921730461133011605560000007628Otros Distritos</v>
          </cell>
          <cell r="C42">
            <v>1580044</v>
          </cell>
          <cell r="D42">
            <v>1580044</v>
          </cell>
        </row>
        <row r="43">
          <cell r="A43" t="str">
            <v>12261013347133011602380000007569Otros Distritos</v>
          </cell>
          <cell r="C43">
            <v>6583000</v>
          </cell>
          <cell r="D43">
            <v>6583000</v>
          </cell>
        </row>
        <row r="44">
          <cell r="A44" t="str">
            <v>12991088696133011602380000007569Otros Distritos</v>
          </cell>
          <cell r="C44">
            <v>2400000</v>
          </cell>
          <cell r="D44">
            <v>2400000</v>
          </cell>
        </row>
        <row r="45">
          <cell r="A45" t="str">
            <v>13831181757133011602380000007569Otros Distritos</v>
          </cell>
          <cell r="C45">
            <v>7900227</v>
          </cell>
          <cell r="D45">
            <v>7900227</v>
          </cell>
        </row>
        <row r="46">
          <cell r="A46" t="str">
            <v>1011917621133011602380000007569Otros Distritos</v>
          </cell>
          <cell r="C46">
            <v>5500000</v>
          </cell>
          <cell r="D46">
            <v>5500000</v>
          </cell>
        </row>
        <row r="47">
          <cell r="A47" t="str">
            <v>1006823526133011602380000007569Otros Distritos</v>
          </cell>
          <cell r="C47">
            <v>5500000</v>
          </cell>
          <cell r="D47">
            <v>5500000</v>
          </cell>
        </row>
        <row r="48">
          <cell r="A48" t="str">
            <v>1140888595133011602380000007569Otros Distritos</v>
          </cell>
          <cell r="C48">
            <v>4300000</v>
          </cell>
          <cell r="D48">
            <v>4300000</v>
          </cell>
        </row>
        <row r="49">
          <cell r="A49" t="str">
            <v>1150933627133011602380000007569Otros Distritos</v>
          </cell>
          <cell r="C49">
            <v>8018583</v>
          </cell>
          <cell r="D49">
            <v>8018583</v>
          </cell>
        </row>
        <row r="50">
          <cell r="A50" t="str">
            <v>775677426133011605560000007628Otros Distritos</v>
          </cell>
          <cell r="C50">
            <v>2355436</v>
          </cell>
          <cell r="D50">
            <v>2355436</v>
          </cell>
        </row>
        <row r="51">
          <cell r="A51" t="str">
            <v>773784496133011602380000007569Otros Distritos</v>
          </cell>
          <cell r="C51">
            <v>3100000</v>
          </cell>
          <cell r="D51">
            <v>3100000</v>
          </cell>
        </row>
        <row r="52">
          <cell r="A52" t="str">
            <v>1074901597133011602380000007569Otros Distritos</v>
          </cell>
          <cell r="C52">
            <v>3950000</v>
          </cell>
          <cell r="D52">
            <v>3950000</v>
          </cell>
        </row>
        <row r="53">
          <cell r="A53" t="str">
            <v>628578366133011605560000007628Otros Distritos</v>
          </cell>
          <cell r="C53">
            <v>3950109</v>
          </cell>
          <cell r="D53">
            <v>3950109</v>
          </cell>
        </row>
        <row r="54">
          <cell r="A54" t="str">
            <v>1222965642133011603450000007652Otros Distritos</v>
          </cell>
          <cell r="C54">
            <v>5000000</v>
          </cell>
          <cell r="D54">
            <v>5000000</v>
          </cell>
        </row>
        <row r="55">
          <cell r="A55" t="str">
            <v>1020802525133011602380000007569Otros Distritos</v>
          </cell>
          <cell r="C55">
            <v>2896667</v>
          </cell>
          <cell r="D55">
            <v>2896667</v>
          </cell>
        </row>
        <row r="56">
          <cell r="A56" t="str">
            <v>1225970336133011602380000007569Otros Distritos</v>
          </cell>
          <cell r="C56">
            <v>3000000</v>
          </cell>
          <cell r="D56">
            <v>3000000</v>
          </cell>
        </row>
        <row r="57">
          <cell r="A57" t="str">
            <v>887765490133011602380000007569Otros Distritos</v>
          </cell>
          <cell r="C57">
            <v>3500000</v>
          </cell>
          <cell r="D57">
            <v>3500000</v>
          </cell>
        </row>
        <row r="58">
          <cell r="A58" t="str">
            <v>530493308133011602380000007569Otros Distritos</v>
          </cell>
          <cell r="C58">
            <v>4500000</v>
          </cell>
          <cell r="D58">
            <v>4500000</v>
          </cell>
        </row>
        <row r="59">
          <cell r="A59" t="str">
            <v>681560354133011602380000007569Otros Distritos</v>
          </cell>
          <cell r="C59">
            <v>3423432</v>
          </cell>
          <cell r="D59">
            <v>3423432</v>
          </cell>
        </row>
        <row r="60">
          <cell r="A60" t="str">
            <v>877760488133011602380000007569Otros Distritos</v>
          </cell>
          <cell r="C60">
            <v>3950000</v>
          </cell>
          <cell r="D60">
            <v>3950000</v>
          </cell>
        </row>
        <row r="61">
          <cell r="A61" t="str">
            <v>1012869575133011602380000007569Otros Distritos</v>
          </cell>
          <cell r="C61">
            <v>3100000</v>
          </cell>
          <cell r="D61">
            <v>3100000</v>
          </cell>
        </row>
        <row r="62">
          <cell r="A62" t="str">
            <v>764676427133011605560000007628Otros Distritos</v>
          </cell>
          <cell r="C62">
            <v>3950000</v>
          </cell>
          <cell r="D62">
            <v>3950000</v>
          </cell>
        </row>
        <row r="63">
          <cell r="A63" t="str">
            <v>988817534133011602380000007569Otros Distritos</v>
          </cell>
          <cell r="C63">
            <v>2600000</v>
          </cell>
          <cell r="D63">
            <v>2600000</v>
          </cell>
        </row>
        <row r="64">
          <cell r="A64" t="str">
            <v>990824541133011602380000007569Otros Distritos</v>
          </cell>
          <cell r="C64">
            <v>2600000</v>
          </cell>
          <cell r="D64">
            <v>2600000</v>
          </cell>
        </row>
        <row r="65">
          <cell r="A65" t="str">
            <v>1091946629133011602370000007644Otros Distritos</v>
          </cell>
          <cell r="C65">
            <v>4700000</v>
          </cell>
          <cell r="D65">
            <v>4700000</v>
          </cell>
        </row>
        <row r="66">
          <cell r="A66" t="str">
            <v>1252963250133011605560000007628Otros Distritos</v>
          </cell>
          <cell r="C66">
            <v>2633409</v>
          </cell>
          <cell r="D66">
            <v>2633409</v>
          </cell>
        </row>
        <row r="67">
          <cell r="A67" t="str">
            <v>1147954638133011602380000007569Otros Distritos</v>
          </cell>
          <cell r="C67">
            <v>4827000</v>
          </cell>
          <cell r="D67">
            <v>4827000</v>
          </cell>
        </row>
        <row r="68">
          <cell r="A68" t="str">
            <v>1027811537133011602380000007569Otros Distritos</v>
          </cell>
          <cell r="C68">
            <v>4166667</v>
          </cell>
          <cell r="D68">
            <v>4166667</v>
          </cell>
        </row>
        <row r="69">
          <cell r="A69" t="str">
            <v>1075907610133011602380000007569Otros Distritos</v>
          </cell>
          <cell r="C69">
            <v>6500000</v>
          </cell>
          <cell r="D69">
            <v>6500000</v>
          </cell>
        </row>
        <row r="70">
          <cell r="A70" t="str">
            <v>1144973648133011602380000007569Otros Distritos</v>
          </cell>
          <cell r="C70">
            <v>7000000</v>
          </cell>
          <cell r="D70">
            <v>7000000</v>
          </cell>
        </row>
        <row r="71">
          <cell r="A71" t="str">
            <v>1119850557131020202030313Otros Distritos</v>
          </cell>
          <cell r="C71">
            <v>9216000</v>
          </cell>
          <cell r="D71">
            <v>9216000</v>
          </cell>
        </row>
        <row r="72">
          <cell r="A72" t="str">
            <v>13151119248133011602380000007569Otros Distritos</v>
          </cell>
          <cell r="C72">
            <v>5974000</v>
          </cell>
          <cell r="D72">
            <v>5974000</v>
          </cell>
        </row>
        <row r="73">
          <cell r="A73" t="str">
            <v>996804522131020202030313Otros Distritos</v>
          </cell>
          <cell r="C73">
            <v>9200000</v>
          </cell>
          <cell r="D73">
            <v>9200000</v>
          </cell>
        </row>
        <row r="74">
          <cell r="A74" t="str">
            <v>1030814531131020202030313Otros Distritos</v>
          </cell>
          <cell r="C74">
            <v>7000000</v>
          </cell>
          <cell r="D74">
            <v>7000000</v>
          </cell>
        </row>
        <row r="75">
          <cell r="A75" t="str">
            <v>1007789517133011602380000007569Otros Distritos</v>
          </cell>
          <cell r="C75">
            <v>12012734</v>
          </cell>
          <cell r="D75">
            <v>12012734</v>
          </cell>
        </row>
        <row r="76">
          <cell r="A76" t="str">
            <v>528471302133011602380000007569Otros Distritos</v>
          </cell>
          <cell r="C76">
            <v>7210000</v>
          </cell>
          <cell r="D76">
            <v>7210000</v>
          </cell>
        </row>
        <row r="77">
          <cell r="A77" t="str">
            <v>1200977659133011602380000007569Otros Distritos</v>
          </cell>
          <cell r="C77">
            <v>6000000</v>
          </cell>
          <cell r="D77">
            <v>6000000</v>
          </cell>
        </row>
        <row r="78">
          <cell r="A78" t="str">
            <v>987810533133011602380000007569Otros Distritos</v>
          </cell>
          <cell r="C78">
            <v>3950000</v>
          </cell>
          <cell r="D78">
            <v>3950000</v>
          </cell>
        </row>
        <row r="79">
          <cell r="A79" t="str">
            <v>986836546133011602380000007569Otros Distritos</v>
          </cell>
          <cell r="C79">
            <v>3950000</v>
          </cell>
          <cell r="D79">
            <v>3950000</v>
          </cell>
        </row>
        <row r="80">
          <cell r="A80" t="str">
            <v>785656409133011602380000007569Otros Distritos</v>
          </cell>
          <cell r="C80">
            <v>5213333</v>
          </cell>
          <cell r="D80">
            <v>5213333</v>
          </cell>
        </row>
        <row r="81">
          <cell r="A81" t="str">
            <v>12641070688133011605560000007628Otros Distritos</v>
          </cell>
          <cell r="C81">
            <v>9597312</v>
          </cell>
          <cell r="D81">
            <v>9597312</v>
          </cell>
        </row>
        <row r="82">
          <cell r="A82" t="str">
            <v>12661117719133011605560000007628Otros Distritos</v>
          </cell>
          <cell r="C82">
            <v>7958746</v>
          </cell>
          <cell r="D82">
            <v>7958746</v>
          </cell>
        </row>
        <row r="83">
          <cell r="A83" t="str">
            <v>12471115721133011605560000007628Otros Distritos</v>
          </cell>
          <cell r="C83">
            <v>7150000</v>
          </cell>
          <cell r="D83">
            <v>7150000</v>
          </cell>
        </row>
        <row r="84">
          <cell r="A84" t="str">
            <v>12751134261133011605560000007628Otros Distritos</v>
          </cell>
          <cell r="C84">
            <v>5705720</v>
          </cell>
          <cell r="D84">
            <v>5705720</v>
          </cell>
        </row>
        <row r="85">
          <cell r="A85" t="str">
            <v>12931124282133011605560000007628Otros Distritos</v>
          </cell>
          <cell r="C85">
            <v>5500000</v>
          </cell>
          <cell r="D85">
            <v>5500000</v>
          </cell>
        </row>
        <row r="86">
          <cell r="A86" t="str">
            <v>13961167298133011605560000007628Otros Distritos</v>
          </cell>
          <cell r="C86">
            <v>2633409</v>
          </cell>
          <cell r="D86">
            <v>2633409</v>
          </cell>
        </row>
        <row r="87">
          <cell r="A87" t="str">
            <v>12671128729133011605560000007628Otros Distritos</v>
          </cell>
          <cell r="C87">
            <v>3628252</v>
          </cell>
          <cell r="D87">
            <v>3628252</v>
          </cell>
        </row>
        <row r="88">
          <cell r="A88" t="str">
            <v>14091156287133011605560000007628Otros Distritos</v>
          </cell>
          <cell r="C88">
            <v>2194507</v>
          </cell>
          <cell r="D88">
            <v>2194507</v>
          </cell>
        </row>
        <row r="89">
          <cell r="A89" t="str">
            <v>13181140325133011605560000007628Otros Distritos</v>
          </cell>
          <cell r="C89">
            <v>3511212</v>
          </cell>
          <cell r="D89">
            <v>3511212</v>
          </cell>
        </row>
        <row r="90">
          <cell r="A90" t="str">
            <v>12771147277133011605560000007628Otros Distritos</v>
          </cell>
          <cell r="C90">
            <v>2958300</v>
          </cell>
          <cell r="D90">
            <v>2958300</v>
          </cell>
        </row>
        <row r="91">
          <cell r="A91" t="str">
            <v>13261080697133011605560000007628Otros Distritos</v>
          </cell>
          <cell r="C91">
            <v>5070000</v>
          </cell>
          <cell r="D91">
            <v>5070000</v>
          </cell>
        </row>
        <row r="92">
          <cell r="A92" t="str">
            <v>13371105704133011605560000007628Otros Distritos</v>
          </cell>
          <cell r="C92">
            <v>9558333</v>
          </cell>
          <cell r="D92">
            <v>9558333</v>
          </cell>
        </row>
        <row r="93">
          <cell r="A93" t="str">
            <v>13191169330133011605560000007628Otros Distritos</v>
          </cell>
          <cell r="C93">
            <v>3950113</v>
          </cell>
          <cell r="D93">
            <v>3950113</v>
          </cell>
        </row>
        <row r="94">
          <cell r="A94" t="str">
            <v>13061069691133011602370000007644Otros Distritos</v>
          </cell>
          <cell r="C94">
            <v>2666667</v>
          </cell>
          <cell r="D94">
            <v>2666667</v>
          </cell>
        </row>
        <row r="95">
          <cell r="A95" t="str">
            <v>1164952637133011603450000007652Otros Distritos</v>
          </cell>
          <cell r="C95">
            <v>3950109</v>
          </cell>
          <cell r="D95">
            <v>3950109</v>
          </cell>
        </row>
        <row r="96">
          <cell r="A96" t="str">
            <v>406353215133011503190148001045Otros Distritos</v>
          </cell>
          <cell r="C96">
            <v>2333333</v>
          </cell>
          <cell r="D96">
            <v>2333333</v>
          </cell>
        </row>
        <row r="97">
          <cell r="A97" t="str">
            <v>772773500133011602380000007569Otros Distritos</v>
          </cell>
          <cell r="C97">
            <v>3800000</v>
          </cell>
          <cell r="D97">
            <v>3800000</v>
          </cell>
        </row>
        <row r="98">
          <cell r="A98" t="str">
            <v>1161925625131020202030313Otros Distritos</v>
          </cell>
          <cell r="C98">
            <v>3950000</v>
          </cell>
          <cell r="D98">
            <v>3950000</v>
          </cell>
        </row>
        <row r="99">
          <cell r="A99" t="str">
            <v>12851089702133011602380000007569Otros Distritos</v>
          </cell>
          <cell r="C99">
            <v>4213333</v>
          </cell>
          <cell r="D99">
            <v>4213333</v>
          </cell>
        </row>
        <row r="100">
          <cell r="A100" t="str">
            <v>1083874571133011602380000007569Otros Distritos</v>
          </cell>
          <cell r="C100">
            <v>2600000</v>
          </cell>
          <cell r="D100">
            <v>2600000</v>
          </cell>
        </row>
        <row r="101">
          <cell r="A101" t="str">
            <v>960763493133011605560000007628Otros Distritos</v>
          </cell>
          <cell r="C101">
            <v>8000000</v>
          </cell>
          <cell r="D101">
            <v>8000000</v>
          </cell>
        </row>
        <row r="102">
          <cell r="A102" t="str">
            <v>975818514133011605560000007628Otros Distritos</v>
          </cell>
          <cell r="C102">
            <v>6500000</v>
          </cell>
          <cell r="D102">
            <v>6500000</v>
          </cell>
        </row>
        <row r="103">
          <cell r="A103" t="str">
            <v>707573364133011602380000007569Otros Distritos</v>
          </cell>
          <cell r="C103">
            <v>2380000</v>
          </cell>
          <cell r="D103">
            <v>2380000</v>
          </cell>
        </row>
        <row r="104">
          <cell r="A104" t="str">
            <v>706600376133011602380000007569Otros Distritos</v>
          </cell>
          <cell r="C104">
            <v>2900000</v>
          </cell>
          <cell r="D104">
            <v>2900000</v>
          </cell>
        </row>
        <row r="105">
          <cell r="A105" t="str">
            <v>1044856562133011605560000007628Otros Distritos</v>
          </cell>
          <cell r="C105">
            <v>5900000</v>
          </cell>
          <cell r="D105">
            <v>5900000</v>
          </cell>
        </row>
        <row r="106">
          <cell r="A106" t="str">
            <v>1045858570133011605560000007628Otros Distritos</v>
          </cell>
          <cell r="C106">
            <v>3072000</v>
          </cell>
          <cell r="D106">
            <v>3072000</v>
          </cell>
        </row>
        <row r="107">
          <cell r="A107" t="str">
            <v>12051005668133011602380000007569Otros Distritos</v>
          </cell>
          <cell r="C107">
            <v>7000000</v>
          </cell>
          <cell r="D107">
            <v>7000000</v>
          </cell>
        </row>
        <row r="108">
          <cell r="A108" t="str">
            <v>1018829543133011602380000007569Otros Distritos</v>
          </cell>
          <cell r="C108">
            <v>2700000</v>
          </cell>
          <cell r="D108">
            <v>2700000</v>
          </cell>
        </row>
        <row r="109">
          <cell r="A109" t="str">
            <v>1066898600133011605560000007628Otros Distritos</v>
          </cell>
          <cell r="C109">
            <v>4213454</v>
          </cell>
          <cell r="D109">
            <v>4213454</v>
          </cell>
        </row>
        <row r="110">
          <cell r="A110" t="str">
            <v>12601057680133011605560000007628Otros Distritos</v>
          </cell>
          <cell r="C110">
            <v>3511212</v>
          </cell>
          <cell r="D110">
            <v>3511212</v>
          </cell>
        </row>
        <row r="111">
          <cell r="A111" t="str">
            <v>1043840549133011605560000007628Otros Distritos</v>
          </cell>
          <cell r="C111">
            <v>3000000</v>
          </cell>
          <cell r="D111">
            <v>3000000</v>
          </cell>
        </row>
        <row r="112">
          <cell r="A112" t="str">
            <v>1041819540133011605560000007628Otros Distritos</v>
          </cell>
          <cell r="C112">
            <v>3072310</v>
          </cell>
          <cell r="D112">
            <v>3072310</v>
          </cell>
        </row>
        <row r="113">
          <cell r="A113" t="str">
            <v>906727465133011602380000007569Otros Distritos</v>
          </cell>
          <cell r="C113">
            <v>4320000</v>
          </cell>
          <cell r="D113">
            <v>4320000</v>
          </cell>
        </row>
        <row r="114">
          <cell r="A114" t="str">
            <v>698602371133011602380000007569Otros Distritos</v>
          </cell>
          <cell r="C114">
            <v>3950000</v>
          </cell>
          <cell r="D114">
            <v>3950000</v>
          </cell>
        </row>
        <row r="115">
          <cell r="A115" t="str">
            <v>1110918620133011602380000007569Otros Distritos</v>
          </cell>
          <cell r="C115">
            <v>3500000</v>
          </cell>
          <cell r="D115">
            <v>3500000</v>
          </cell>
        </row>
        <row r="116">
          <cell r="A116" t="str">
            <v>11891014669133011602380000007569Otros Distritos</v>
          </cell>
          <cell r="C116">
            <v>3070000</v>
          </cell>
          <cell r="D116">
            <v>3070000</v>
          </cell>
        </row>
        <row r="117">
          <cell r="A117" t="str">
            <v>1160962288133011605560000007628Otros Distritos</v>
          </cell>
          <cell r="C117">
            <v>5705719</v>
          </cell>
          <cell r="D117">
            <v>5705719</v>
          </cell>
        </row>
        <row r="118">
          <cell r="A118" t="str">
            <v>1088880585133011602380000007569Otros Distritos</v>
          </cell>
          <cell r="C118">
            <v>3500000</v>
          </cell>
          <cell r="D118">
            <v>3500000</v>
          </cell>
        </row>
        <row r="119">
          <cell r="A119" t="str">
            <v>920794499133011605560000007628Otros Distritos</v>
          </cell>
          <cell r="C119">
            <v>3950113</v>
          </cell>
          <cell r="D119">
            <v>3950113</v>
          </cell>
        </row>
        <row r="120">
          <cell r="A120" t="str">
            <v>874835485133011605560000007628Otros Distritos</v>
          </cell>
          <cell r="C120">
            <v>4700000</v>
          </cell>
          <cell r="D120">
            <v>4700000</v>
          </cell>
        </row>
        <row r="121">
          <cell r="A121" t="str">
            <v>839762487133011605560000007628Otros Distritos</v>
          </cell>
          <cell r="C121">
            <v>7022424</v>
          </cell>
          <cell r="D121">
            <v>7022424</v>
          </cell>
        </row>
        <row r="122">
          <cell r="A122" t="str">
            <v>837759481133011605560000007628Otros Distritos</v>
          </cell>
          <cell r="C122">
            <v>7022424</v>
          </cell>
          <cell r="D122">
            <v>7022424</v>
          </cell>
        </row>
        <row r="123">
          <cell r="A123" t="str">
            <v>838776482133011605560000007628Otros Distritos</v>
          </cell>
          <cell r="C123">
            <v>7022424</v>
          </cell>
          <cell r="D123">
            <v>7022424</v>
          </cell>
        </row>
        <row r="124">
          <cell r="A124" t="str">
            <v>82364067133011602370000007644Otros Distritos</v>
          </cell>
          <cell r="C124">
            <v>2968000</v>
          </cell>
          <cell r="D124">
            <v>2968000</v>
          </cell>
        </row>
        <row r="125">
          <cell r="A125" t="str">
            <v>868707452133011605560000007628Otros Distritos</v>
          </cell>
          <cell r="C125">
            <v>3950113</v>
          </cell>
          <cell r="D125">
            <v>3950113</v>
          </cell>
        </row>
        <row r="126">
          <cell r="A126" t="str">
            <v>1046885576133011605560000007628Otros Distritos</v>
          </cell>
          <cell r="C126">
            <v>6500000</v>
          </cell>
          <cell r="D126">
            <v>6500000</v>
          </cell>
        </row>
        <row r="127">
          <cell r="A127" t="str">
            <v>911745473133011602380000007569Otros Distritos</v>
          </cell>
          <cell r="C127">
            <v>7000000</v>
          </cell>
          <cell r="D127">
            <v>7000000</v>
          </cell>
        </row>
        <row r="128">
          <cell r="A128" t="str">
            <v>1013788519133011602380000007569Otros Distritos</v>
          </cell>
          <cell r="C128">
            <v>6800000</v>
          </cell>
          <cell r="D128">
            <v>6800000</v>
          </cell>
        </row>
        <row r="129">
          <cell r="A129" t="str">
            <v>1010872582133011602380000007569Otros Distritos</v>
          </cell>
          <cell r="C129">
            <v>5000000</v>
          </cell>
          <cell r="D129">
            <v>5000000</v>
          </cell>
        </row>
        <row r="130">
          <cell r="A130" t="str">
            <v>967769503133011602380000007569Otros Distritos</v>
          </cell>
          <cell r="C130">
            <v>7900000</v>
          </cell>
          <cell r="D130">
            <v>7900000</v>
          </cell>
        </row>
        <row r="131">
          <cell r="A131" t="str">
            <v>64263131020202040102Otros Distritos</v>
          </cell>
          <cell r="C131">
            <v>5247640</v>
          </cell>
          <cell r="D131">
            <v>5247640</v>
          </cell>
        </row>
        <row r="132">
          <cell r="A132" t="str">
            <v>310123131020202040103Otros Distritos</v>
          </cell>
          <cell r="C132">
            <v>2955340</v>
          </cell>
          <cell r="D132">
            <v>2955340</v>
          </cell>
        </row>
        <row r="133">
          <cell r="A133" t="str">
            <v>39213131020202040103Otros Distritos</v>
          </cell>
          <cell r="C133">
            <v>220790</v>
          </cell>
          <cell r="D133">
            <v>220790</v>
          </cell>
        </row>
        <row r="134">
          <cell r="A134" t="str">
            <v>258289168133011507420185001042Otros Distritos</v>
          </cell>
          <cell r="C134">
            <v>1931167</v>
          </cell>
          <cell r="D134">
            <v>1931167</v>
          </cell>
        </row>
        <row r="135">
          <cell r="A135" t="str">
            <v>1059916618133011603450000007652Otros Distritos</v>
          </cell>
          <cell r="C135">
            <v>2750000</v>
          </cell>
          <cell r="D135">
            <v>2750000</v>
          </cell>
        </row>
        <row r="136">
          <cell r="A136" t="str">
            <v>265243125133011502130130001109Otros Distritos</v>
          </cell>
          <cell r="C136">
            <v>1580000</v>
          </cell>
          <cell r="D136">
            <v>1580000</v>
          </cell>
        </row>
        <row r="137">
          <cell r="A137" t="str">
            <v>998830238133011602370000007644Otros Distritos</v>
          </cell>
          <cell r="C137">
            <v>3072310</v>
          </cell>
          <cell r="D137">
            <v>3072310</v>
          </cell>
        </row>
        <row r="138">
          <cell r="A138" t="str">
            <v>71859254133011602380000007569Otros Distritos</v>
          </cell>
          <cell r="C138">
            <v>1356667</v>
          </cell>
          <cell r="D138">
            <v>1356667</v>
          </cell>
        </row>
        <row r="139">
          <cell r="A139" t="str">
            <v>12541006670133011605560000007628Otros Distritos</v>
          </cell>
          <cell r="C139">
            <v>8500000</v>
          </cell>
          <cell r="D139">
            <v>8500000</v>
          </cell>
        </row>
        <row r="140">
          <cell r="A140" t="str">
            <v>725616391133011602380000007569Otros Distritos</v>
          </cell>
          <cell r="C140">
            <v>3950113</v>
          </cell>
          <cell r="D140">
            <v>3950113</v>
          </cell>
        </row>
        <row r="141">
          <cell r="A141" t="str">
            <v>802848553133011602380000007569Otros Distritos</v>
          </cell>
          <cell r="C141">
            <v>5700000</v>
          </cell>
          <cell r="D141">
            <v>5700000</v>
          </cell>
        </row>
        <row r="142">
          <cell r="A142" t="str">
            <v>958770501133011605560000007628Otros Distritos</v>
          </cell>
          <cell r="C142">
            <v>8000000</v>
          </cell>
          <cell r="D142">
            <v>8000000</v>
          </cell>
        </row>
        <row r="143">
          <cell r="A143" t="str">
            <v>724617390133011602380000007569Otros Distritos</v>
          </cell>
          <cell r="C143">
            <v>5700000</v>
          </cell>
          <cell r="D143">
            <v>5700000</v>
          </cell>
        </row>
        <row r="144">
          <cell r="A144" t="str">
            <v>727613386133011602380000007569Otros Distritos</v>
          </cell>
          <cell r="C144">
            <v>4370000</v>
          </cell>
          <cell r="D144">
            <v>4370000</v>
          </cell>
        </row>
        <row r="145">
          <cell r="A145" t="str">
            <v>797658417133011602380000007569Otros Distritos</v>
          </cell>
          <cell r="C145">
            <v>3900000</v>
          </cell>
          <cell r="D145">
            <v>3900000</v>
          </cell>
        </row>
        <row r="146">
          <cell r="A146" t="str">
            <v>1216979656133011605560000007628Otros Distritos</v>
          </cell>
          <cell r="C146">
            <v>8500000</v>
          </cell>
          <cell r="D146">
            <v>8500000</v>
          </cell>
        </row>
        <row r="147">
          <cell r="A147" t="str">
            <v>46243131020202040104Otros Distritos</v>
          </cell>
          <cell r="C147">
            <v>10200</v>
          </cell>
          <cell r="D147">
            <v>10200</v>
          </cell>
        </row>
        <row r="148">
          <cell r="A148" t="str">
            <v>1009795520133011602380000007569Otros Distritos</v>
          </cell>
          <cell r="C148">
            <v>7420000</v>
          </cell>
          <cell r="D148">
            <v>7420000</v>
          </cell>
        </row>
        <row r="149">
          <cell r="A149" t="str">
            <v>15315883133011507420185001042Otros Distritos</v>
          </cell>
          <cell r="C149">
            <v>6133334</v>
          </cell>
          <cell r="D149">
            <v>6133334</v>
          </cell>
        </row>
        <row r="150">
          <cell r="A150" t="str">
            <v>9717546733133011507420185001042Otros Distritos</v>
          </cell>
          <cell r="C150">
            <v>10991210</v>
          </cell>
          <cell r="D150">
            <v>10991210</v>
          </cell>
        </row>
        <row r="151">
          <cell r="A151" t="str">
            <v>9717546733131020202030502Otros Distritos</v>
          </cell>
          <cell r="C151">
            <v>32937358</v>
          </cell>
          <cell r="D151">
            <v>32937358</v>
          </cell>
        </row>
        <row r="152">
          <cell r="A152" t="str">
            <v>11861067690133011602380000007569Otros Distritos</v>
          </cell>
          <cell r="C152">
            <v>5330000</v>
          </cell>
          <cell r="D152">
            <v>5330000</v>
          </cell>
        </row>
        <row r="153">
          <cell r="A153" t="str">
            <v>13121097299133011602380000007569Otros Distritos</v>
          </cell>
          <cell r="C153">
            <v>6000000</v>
          </cell>
          <cell r="D153">
            <v>6000000</v>
          </cell>
        </row>
        <row r="154">
          <cell r="A154" t="str">
            <v>425450260133011502130130001109Otros Distritos</v>
          </cell>
          <cell r="C154">
            <v>19040000</v>
          </cell>
          <cell r="D154">
            <v>19040000</v>
          </cell>
        </row>
        <row r="155">
          <cell r="A155" t="str">
            <v>548528315133011602380000007569Otros Distritos</v>
          </cell>
          <cell r="C155">
            <v>23254045</v>
          </cell>
          <cell r="D155">
            <v>23254045</v>
          </cell>
        </row>
        <row r="156">
          <cell r="A156" t="str">
            <v>690565502131020202020112Otros Distritos</v>
          </cell>
          <cell r="C156">
            <v>6474807</v>
          </cell>
          <cell r="D156">
            <v>6474807</v>
          </cell>
        </row>
        <row r="157">
          <cell r="A157" t="str">
            <v>12781073278133011605560000007628Otros Distritos</v>
          </cell>
          <cell r="C157">
            <v>3950113</v>
          </cell>
          <cell r="D157">
            <v>3950113</v>
          </cell>
        </row>
        <row r="158">
          <cell r="A158" t="str">
            <v>13361066685133011605560000007628Otros Distritos</v>
          </cell>
          <cell r="C158">
            <v>11108333</v>
          </cell>
          <cell r="D158">
            <v>11108333</v>
          </cell>
        </row>
        <row r="159">
          <cell r="A159" t="str">
            <v>13221095380133011605560000007628Otros Distritos</v>
          </cell>
          <cell r="C159">
            <v>6500000</v>
          </cell>
          <cell r="D159">
            <v>6500000</v>
          </cell>
        </row>
        <row r="160">
          <cell r="A160" t="str">
            <v>13531150265133011605560000007628Otros Distritos</v>
          </cell>
          <cell r="C160">
            <v>3741990</v>
          </cell>
          <cell r="D160">
            <v>3741990</v>
          </cell>
        </row>
        <row r="161">
          <cell r="A161" t="str">
            <v>13211114243133011605560000007628Otros Distritos</v>
          </cell>
          <cell r="C161">
            <v>5546667</v>
          </cell>
          <cell r="D161">
            <v>5546667</v>
          </cell>
        </row>
        <row r="162">
          <cell r="A162" t="str">
            <v>12691203773133011605560000007628Otros Distritos</v>
          </cell>
          <cell r="C162">
            <v>6554262</v>
          </cell>
          <cell r="D162">
            <v>6554262</v>
          </cell>
        </row>
        <row r="163">
          <cell r="A163" t="str">
            <v>12611143269133011605560000007628Otros Distritos</v>
          </cell>
          <cell r="C163">
            <v>2633409</v>
          </cell>
          <cell r="D163">
            <v>2633409</v>
          </cell>
        </row>
        <row r="164">
          <cell r="A164" t="str">
            <v>12761141275133011605560000007628Otros Distritos</v>
          </cell>
          <cell r="C164">
            <v>2633409</v>
          </cell>
          <cell r="D164">
            <v>2633409</v>
          </cell>
        </row>
        <row r="165">
          <cell r="A165" t="str">
            <v>12711072258133011605560000007628Otros Distritos</v>
          </cell>
          <cell r="C165">
            <v>6086100</v>
          </cell>
          <cell r="D165">
            <v>6086100</v>
          </cell>
        </row>
        <row r="166">
          <cell r="A166" t="str">
            <v>12681120262133011605560000007628Otros Distritos</v>
          </cell>
          <cell r="C166">
            <v>2633409</v>
          </cell>
          <cell r="D166">
            <v>2633409</v>
          </cell>
        </row>
        <row r="167">
          <cell r="A167" t="str">
            <v>Total general</v>
          </cell>
          <cell r="B167">
            <v>913001177</v>
          </cell>
          <cell r="C167">
            <v>1418390993</v>
          </cell>
          <cell r="D167">
            <v>2331392170</v>
          </cell>
        </row>
      </sheetData>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oja1"/>
    </sheetNames>
    <sheetDataSet>
      <sheetData sheetId="0" refreshError="1">
        <row r="67">
          <cell r="F67">
            <v>85</v>
          </cell>
          <cell r="G67">
            <v>54</v>
          </cell>
          <cell r="H67">
            <v>44228</v>
          </cell>
          <cell r="I67">
            <v>44228</v>
          </cell>
          <cell r="J67">
            <v>44307</v>
          </cell>
          <cell r="K67" t="str">
            <v>CONTRATO DE PRESTACION DE SERVICIOS</v>
          </cell>
          <cell r="L67">
            <v>366</v>
          </cell>
          <cell r="M67">
            <v>1030555134</v>
          </cell>
          <cell r="N67" t="str">
            <v>HUGO ALEJANDRO LOPEZ LOPEZ</v>
          </cell>
          <cell r="O67">
            <v>10665294</v>
          </cell>
        </row>
        <row r="68">
          <cell r="F68">
            <v>42</v>
          </cell>
          <cell r="G68">
            <v>55</v>
          </cell>
          <cell r="H68">
            <v>44228</v>
          </cell>
          <cell r="I68">
            <v>44228</v>
          </cell>
          <cell r="J68">
            <v>44286</v>
          </cell>
          <cell r="K68" t="str">
            <v>CONTRATO DE PRESTACION DE SERVICIOS</v>
          </cell>
          <cell r="L68">
            <v>427</v>
          </cell>
          <cell r="M68">
            <v>80174339</v>
          </cell>
          <cell r="N68" t="str">
            <v>JAIME ENRIQUE DAVILA OLIVEROS</v>
          </cell>
          <cell r="O68">
            <v>7900000</v>
          </cell>
        </row>
        <row r="69">
          <cell r="F69">
            <v>90</v>
          </cell>
          <cell r="G69">
            <v>56</v>
          </cell>
          <cell r="H69">
            <v>44228</v>
          </cell>
          <cell r="I69">
            <v>44228</v>
          </cell>
          <cell r="J69">
            <v>44407</v>
          </cell>
          <cell r="K69" t="str">
            <v>CONTRATO DE INTERVENTORIA</v>
          </cell>
          <cell r="L69">
            <v>244</v>
          </cell>
          <cell r="M69">
            <v>860041968</v>
          </cell>
          <cell r="N69" t="str">
            <v>COMPAÑIA DE PROYECTOS TECNICOS CPT S A</v>
          </cell>
          <cell r="O69">
            <v>497451486</v>
          </cell>
        </row>
        <row r="70">
          <cell r="F70">
            <v>117</v>
          </cell>
          <cell r="G70">
            <v>57</v>
          </cell>
          <cell r="H70">
            <v>44229</v>
          </cell>
          <cell r="I70">
            <v>44229</v>
          </cell>
          <cell r="J70">
            <v>44532</v>
          </cell>
          <cell r="K70" t="str">
            <v>CONTRATO DE PRESTACION DE SERVICIOS</v>
          </cell>
          <cell r="L70">
            <v>25</v>
          </cell>
          <cell r="M70">
            <v>80762638</v>
          </cell>
          <cell r="N70" t="str">
            <v>ANDRES FELIPE CURREA ROJAS</v>
          </cell>
          <cell r="O70">
            <v>70000000</v>
          </cell>
        </row>
        <row r="71">
          <cell r="F71">
            <v>107</v>
          </cell>
          <cell r="G71">
            <v>58</v>
          </cell>
          <cell r="H71">
            <v>44229</v>
          </cell>
          <cell r="I71">
            <v>44229</v>
          </cell>
          <cell r="J71">
            <v>44502</v>
          </cell>
          <cell r="K71" t="str">
            <v>CONTRATO DE PRESTACION DE SERVICIOS</v>
          </cell>
          <cell r="L71">
            <v>26</v>
          </cell>
          <cell r="M71">
            <v>1000855091</v>
          </cell>
          <cell r="N71" t="str">
            <v>MIGUEL ANGEL ROJAS LEAL</v>
          </cell>
          <cell r="O71">
            <v>27000000</v>
          </cell>
        </row>
        <row r="72">
          <cell r="F72">
            <v>104</v>
          </cell>
          <cell r="G72">
            <v>59</v>
          </cell>
          <cell r="H72">
            <v>44229</v>
          </cell>
          <cell r="I72">
            <v>44229</v>
          </cell>
          <cell r="J72">
            <v>44410</v>
          </cell>
          <cell r="K72" t="str">
            <v>CONTRATO DE PRESTACION DE SERVICIOS</v>
          </cell>
          <cell r="L72">
            <v>23</v>
          </cell>
          <cell r="M72">
            <v>79987799</v>
          </cell>
          <cell r="N72" t="str">
            <v>JHONN JAIRO GONZALEZ ROMERO</v>
          </cell>
          <cell r="O72">
            <v>19079046</v>
          </cell>
        </row>
        <row r="73">
          <cell r="F73">
            <v>92</v>
          </cell>
          <cell r="G73">
            <v>60</v>
          </cell>
          <cell r="H73">
            <v>44229</v>
          </cell>
          <cell r="I73">
            <v>44229</v>
          </cell>
          <cell r="J73">
            <v>44561</v>
          </cell>
          <cell r="K73" t="str">
            <v>OFICIO</v>
          </cell>
          <cell r="L73">
            <v>3543</v>
          </cell>
          <cell r="M73">
            <v>899999115</v>
          </cell>
          <cell r="N73" t="str">
            <v>EMPRESA DE TELECOMUNICACIONES DE BOGOTÁ S.A. E.S.P. - ETB S.A. ESP</v>
          </cell>
          <cell r="O73">
            <v>27877000</v>
          </cell>
        </row>
        <row r="74">
          <cell r="F74">
            <v>138</v>
          </cell>
          <cell r="G74">
            <v>61</v>
          </cell>
          <cell r="H74">
            <v>44229</v>
          </cell>
          <cell r="I74">
            <v>44229</v>
          </cell>
          <cell r="J74">
            <v>44561</v>
          </cell>
          <cell r="K74" t="str">
            <v>OFICIO</v>
          </cell>
          <cell r="L74">
            <v>5013</v>
          </cell>
          <cell r="M74">
            <v>899999115</v>
          </cell>
          <cell r="N74" t="str">
            <v>EMPRESA DE TELECOMUNICACIONES DE BOGOTÁ S.A. E.S.P. - ETB S.A. ESP</v>
          </cell>
          <cell r="O74">
            <v>31000000</v>
          </cell>
        </row>
        <row r="75">
          <cell r="F75">
            <v>81</v>
          </cell>
          <cell r="G75">
            <v>62</v>
          </cell>
          <cell r="H75">
            <v>44229</v>
          </cell>
          <cell r="I75">
            <v>44230</v>
          </cell>
          <cell r="J75">
            <v>44294</v>
          </cell>
          <cell r="K75" t="str">
            <v>CONTRATO DE PRESTACION DE SERVICIOS</v>
          </cell>
          <cell r="L75">
            <v>424</v>
          </cell>
          <cell r="M75">
            <v>52164280</v>
          </cell>
          <cell r="N75" t="str">
            <v>CHIRLEY  CHAMORRO MONTOYA</v>
          </cell>
          <cell r="O75">
            <v>17259563</v>
          </cell>
        </row>
        <row r="76">
          <cell r="F76">
            <v>27</v>
          </cell>
          <cell r="G76">
            <v>63</v>
          </cell>
          <cell r="H76">
            <v>44229</v>
          </cell>
          <cell r="I76">
            <v>44229</v>
          </cell>
          <cell r="J76">
            <v>44502</v>
          </cell>
          <cell r="K76" t="str">
            <v>CONTRATO DE PRESTACION DE SERVICIOS</v>
          </cell>
          <cell r="L76">
            <v>29</v>
          </cell>
          <cell r="M76">
            <v>80796522</v>
          </cell>
          <cell r="N76" t="str">
            <v>JOHAN CAMILO GONZALEZ RODRIGUEZ</v>
          </cell>
          <cell r="O76">
            <v>27000000</v>
          </cell>
        </row>
        <row r="77">
          <cell r="F77">
            <v>39</v>
          </cell>
          <cell r="G77">
            <v>64</v>
          </cell>
          <cell r="H77">
            <v>44229</v>
          </cell>
          <cell r="I77">
            <v>44229</v>
          </cell>
          <cell r="J77">
            <v>44532</v>
          </cell>
          <cell r="K77" t="str">
            <v>CONTRATO DE PRESTACION DE SERVICIOS</v>
          </cell>
          <cell r="L77">
            <v>22</v>
          </cell>
          <cell r="M77">
            <v>1030530840</v>
          </cell>
          <cell r="N77" t="str">
            <v>DIEGO FELIPE RODRIGUEZ GOMEZ</v>
          </cell>
          <cell r="O77">
            <v>57770000</v>
          </cell>
        </row>
        <row r="78">
          <cell r="F78">
            <v>40</v>
          </cell>
          <cell r="G78">
            <v>65</v>
          </cell>
          <cell r="H78">
            <v>44230</v>
          </cell>
          <cell r="I78">
            <v>44230</v>
          </cell>
          <cell r="J78">
            <v>44561</v>
          </cell>
          <cell r="K78" t="str">
            <v>CONTRATO DE PRESTACION DE SERVICIOS</v>
          </cell>
          <cell r="L78">
            <v>28</v>
          </cell>
          <cell r="M78">
            <v>1122650093</v>
          </cell>
          <cell r="N78" t="str">
            <v>OSCAR DANILO RENGIFO MAHECHA</v>
          </cell>
          <cell r="O78">
            <v>58300000</v>
          </cell>
        </row>
        <row r="79">
          <cell r="F79">
            <v>13</v>
          </cell>
          <cell r="G79">
            <v>66</v>
          </cell>
          <cell r="H79">
            <v>44230</v>
          </cell>
          <cell r="I79">
            <v>44230</v>
          </cell>
          <cell r="J79">
            <v>44548</v>
          </cell>
          <cell r="K79" t="str">
            <v>CONTRATO DE PRESTACION DE SERVICIOS</v>
          </cell>
          <cell r="L79">
            <v>34</v>
          </cell>
          <cell r="M79">
            <v>52521018</v>
          </cell>
          <cell r="N79" t="str">
            <v>ERIKA ROCIO SARMIENTO OSPINA</v>
          </cell>
          <cell r="O79">
            <v>29526000</v>
          </cell>
        </row>
        <row r="80">
          <cell r="F80">
            <v>13</v>
          </cell>
          <cell r="G80">
            <v>66</v>
          </cell>
          <cell r="H80">
            <v>44230</v>
          </cell>
          <cell r="I80">
            <v>44230</v>
          </cell>
          <cell r="J80">
            <v>44548</v>
          </cell>
          <cell r="K80" t="str">
            <v>CONTRATO DE PRESTACION DE SERVICIOS</v>
          </cell>
          <cell r="L80">
            <v>34</v>
          </cell>
          <cell r="M80">
            <v>52521018</v>
          </cell>
          <cell r="N80" t="str">
            <v>ERIKA ROCIO SARMIENTO OSPINA</v>
          </cell>
          <cell r="O80">
            <v>50274000</v>
          </cell>
        </row>
        <row r="81">
          <cell r="F81">
            <v>93</v>
          </cell>
          <cell r="G81">
            <v>67</v>
          </cell>
          <cell r="H81">
            <v>44230</v>
          </cell>
          <cell r="I81">
            <v>44230</v>
          </cell>
          <cell r="J81">
            <v>44472</v>
          </cell>
          <cell r="K81" t="str">
            <v>CONTRATO DE PRESTACION DE SERVICIOS</v>
          </cell>
          <cell r="L81">
            <v>31</v>
          </cell>
          <cell r="M81">
            <v>51782375</v>
          </cell>
          <cell r="N81" t="str">
            <v>SONIA  GUTIERREZ BARRETO</v>
          </cell>
          <cell r="O81">
            <v>58145664</v>
          </cell>
        </row>
        <row r="82">
          <cell r="F82">
            <v>41</v>
          </cell>
          <cell r="G82">
            <v>68</v>
          </cell>
          <cell r="H82">
            <v>44230</v>
          </cell>
          <cell r="I82">
            <v>44230</v>
          </cell>
          <cell r="J82">
            <v>44533</v>
          </cell>
          <cell r="K82" t="str">
            <v>CONTRATO DE PRESTACION DE SERVICIOS</v>
          </cell>
          <cell r="L82">
            <v>30</v>
          </cell>
          <cell r="M82">
            <v>1118546448</v>
          </cell>
          <cell r="N82" t="str">
            <v>CESAR AUGUSTO ORTEGA VARGAS</v>
          </cell>
          <cell r="O82">
            <v>40000000</v>
          </cell>
        </row>
        <row r="83">
          <cell r="F83">
            <v>36</v>
          </cell>
          <cell r="G83">
            <v>69</v>
          </cell>
          <cell r="H83">
            <v>44230</v>
          </cell>
          <cell r="I83">
            <v>44230</v>
          </cell>
          <cell r="J83">
            <v>44548</v>
          </cell>
          <cell r="K83" t="str">
            <v>CONTRATO DE PRESTACION DE SERVICIOS</v>
          </cell>
          <cell r="L83">
            <v>24</v>
          </cell>
          <cell r="M83">
            <v>66946576</v>
          </cell>
          <cell r="N83" t="str">
            <v>MARIA XIMENA AMAYA</v>
          </cell>
          <cell r="O83">
            <v>61950000</v>
          </cell>
        </row>
        <row r="84">
          <cell r="F84">
            <v>112</v>
          </cell>
          <cell r="G84">
            <v>70</v>
          </cell>
          <cell r="H84">
            <v>44230</v>
          </cell>
          <cell r="I84">
            <v>44230</v>
          </cell>
          <cell r="J84">
            <v>44472</v>
          </cell>
          <cell r="K84" t="str">
            <v>CONTRATO DE PRESTACION DE SERVICIOS</v>
          </cell>
          <cell r="L84">
            <v>33</v>
          </cell>
          <cell r="M84">
            <v>51938975</v>
          </cell>
          <cell r="N84" t="str">
            <v>NOHORA EMILEY GUTIERREZ ZARATE</v>
          </cell>
          <cell r="O84">
            <v>68000000</v>
          </cell>
        </row>
        <row r="85">
          <cell r="F85">
            <v>87</v>
          </cell>
          <cell r="G85">
            <v>71</v>
          </cell>
          <cell r="H85">
            <v>44230</v>
          </cell>
          <cell r="I85">
            <v>44230</v>
          </cell>
          <cell r="J85">
            <v>44411</v>
          </cell>
          <cell r="K85" t="str">
            <v>CONTRATO DE PRESTACION DE SERVICIOS</v>
          </cell>
          <cell r="L85">
            <v>37</v>
          </cell>
          <cell r="M85">
            <v>52951520</v>
          </cell>
          <cell r="N85" t="str">
            <v>ANDREA  RODRIGUEZ CETINA</v>
          </cell>
          <cell r="O85">
            <v>29981358</v>
          </cell>
        </row>
        <row r="86">
          <cell r="F86">
            <v>54</v>
          </cell>
          <cell r="G86">
            <v>72</v>
          </cell>
          <cell r="H86">
            <v>44231</v>
          </cell>
          <cell r="I86">
            <v>44231</v>
          </cell>
          <cell r="J86">
            <v>44561</v>
          </cell>
          <cell r="K86" t="str">
            <v>CONTRATO DE PRESTACION DE SERVICIOS</v>
          </cell>
          <cell r="L86">
            <v>27</v>
          </cell>
          <cell r="M86">
            <v>30506558</v>
          </cell>
          <cell r="N86" t="str">
            <v>MARY LORENA TRUJILLO RAMIREZ</v>
          </cell>
          <cell r="O86">
            <v>53083333</v>
          </cell>
        </row>
        <row r="87">
          <cell r="F87">
            <v>45</v>
          </cell>
          <cell r="G87">
            <v>73</v>
          </cell>
          <cell r="H87">
            <v>44231</v>
          </cell>
          <cell r="I87">
            <v>44231</v>
          </cell>
          <cell r="J87">
            <v>44534</v>
          </cell>
          <cell r="K87" t="str">
            <v>CONTRATO DE PRESTACION DE SERVICIOS</v>
          </cell>
          <cell r="L87">
            <v>36</v>
          </cell>
          <cell r="M87">
            <v>53050737</v>
          </cell>
          <cell r="N87" t="str">
            <v>KATHERIN  ALVAREZ ALONSO</v>
          </cell>
          <cell r="O87">
            <v>49000000</v>
          </cell>
        </row>
        <row r="88">
          <cell r="F88">
            <v>136</v>
          </cell>
          <cell r="G88">
            <v>74</v>
          </cell>
          <cell r="H88">
            <v>44231</v>
          </cell>
          <cell r="I88">
            <v>44231</v>
          </cell>
          <cell r="J88">
            <v>44412</v>
          </cell>
          <cell r="K88" t="str">
            <v>CONTRATO DE PRESTACION DE SERVICIOS</v>
          </cell>
          <cell r="L88">
            <v>35</v>
          </cell>
          <cell r="M88">
            <v>1013582050</v>
          </cell>
          <cell r="N88" t="str">
            <v>SANDRA MILENA LONDOÑO SANTAMARIA</v>
          </cell>
          <cell r="O88">
            <v>19073376</v>
          </cell>
        </row>
        <row r="89">
          <cell r="F89">
            <v>25</v>
          </cell>
          <cell r="G89">
            <v>75</v>
          </cell>
          <cell r="H89">
            <v>44231</v>
          </cell>
          <cell r="I89">
            <v>44231</v>
          </cell>
          <cell r="J89">
            <v>44561</v>
          </cell>
          <cell r="K89" t="str">
            <v>CONTRATO DE PRESTACION DE SERVICIOS</v>
          </cell>
          <cell r="L89">
            <v>32</v>
          </cell>
          <cell r="M89">
            <v>80197560</v>
          </cell>
          <cell r="N89" t="str">
            <v>NICOLAS  GRAJALES FONNEGRA</v>
          </cell>
          <cell r="O89">
            <v>32879700</v>
          </cell>
        </row>
        <row r="90">
          <cell r="F90">
            <v>66</v>
          </cell>
          <cell r="G90">
            <v>76</v>
          </cell>
          <cell r="H90">
            <v>44231</v>
          </cell>
          <cell r="I90">
            <v>44231</v>
          </cell>
          <cell r="J90">
            <v>44443</v>
          </cell>
          <cell r="K90" t="str">
            <v>CONTRATO DE PRESTACION DE SERVICIOS</v>
          </cell>
          <cell r="L90">
            <v>40</v>
          </cell>
          <cell r="M90">
            <v>79531707</v>
          </cell>
          <cell r="N90" t="str">
            <v>JAVIER HERNANDO FORERO SANDOVAL</v>
          </cell>
          <cell r="O90">
            <v>47092500</v>
          </cell>
        </row>
        <row r="91">
          <cell r="F91">
            <v>120</v>
          </cell>
          <cell r="G91">
            <v>77</v>
          </cell>
          <cell r="H91">
            <v>44231</v>
          </cell>
          <cell r="I91">
            <v>44231</v>
          </cell>
          <cell r="J91">
            <v>44534</v>
          </cell>
          <cell r="K91" t="str">
            <v>CONTRATO DE PRESTACION DE SERVICIOS</v>
          </cell>
          <cell r="L91">
            <v>39</v>
          </cell>
          <cell r="M91">
            <v>1016033905</v>
          </cell>
          <cell r="N91" t="str">
            <v>ANGELA PAOLA GOMEZ SANCHEZ</v>
          </cell>
          <cell r="O91">
            <v>59000000</v>
          </cell>
        </row>
        <row r="92">
          <cell r="F92">
            <v>24</v>
          </cell>
          <cell r="G92">
            <v>78</v>
          </cell>
          <cell r="H92">
            <v>44232</v>
          </cell>
          <cell r="I92">
            <v>44232</v>
          </cell>
          <cell r="J92">
            <v>44561</v>
          </cell>
          <cell r="K92" t="str">
            <v>CONTRATO DE PRESTACION DE SERVICIOS</v>
          </cell>
          <cell r="L92">
            <v>42</v>
          </cell>
          <cell r="M92">
            <v>901014925</v>
          </cell>
          <cell r="N92" t="str">
            <v>DAR INFRAESTRUCTURA &amp; ENERGIA SAS</v>
          </cell>
          <cell r="O92">
            <v>126933333</v>
          </cell>
        </row>
        <row r="93">
          <cell r="F93">
            <v>163</v>
          </cell>
          <cell r="G93">
            <v>79</v>
          </cell>
          <cell r="H93">
            <v>44232</v>
          </cell>
          <cell r="I93">
            <v>44233</v>
          </cell>
          <cell r="J93">
            <v>44260</v>
          </cell>
          <cell r="K93" t="str">
            <v>CONTRATO DE PRESTACION DE SERVICIOS</v>
          </cell>
          <cell r="L93">
            <v>559</v>
          </cell>
          <cell r="M93">
            <v>1024579339</v>
          </cell>
          <cell r="N93" t="str">
            <v>LAURA DANIELA CADENA CABANA</v>
          </cell>
          <cell r="O93">
            <v>2800000</v>
          </cell>
        </row>
        <row r="94">
          <cell r="F94">
            <v>111</v>
          </cell>
          <cell r="G94">
            <v>80</v>
          </cell>
          <cell r="H94">
            <v>44232</v>
          </cell>
          <cell r="I94">
            <v>44232</v>
          </cell>
          <cell r="J94">
            <v>44474</v>
          </cell>
          <cell r="K94" t="str">
            <v>CONTRATO DE PRESTACION DE SERVICIOS</v>
          </cell>
          <cell r="L94">
            <v>38</v>
          </cell>
          <cell r="M94">
            <v>52235999</v>
          </cell>
          <cell r="N94" t="str">
            <v>LINA PAOLA GARZON MARIN</v>
          </cell>
          <cell r="O94">
            <v>46400000</v>
          </cell>
        </row>
        <row r="95">
          <cell r="F95">
            <v>78</v>
          </cell>
          <cell r="G95">
            <v>81</v>
          </cell>
          <cell r="H95">
            <v>44232</v>
          </cell>
          <cell r="I95">
            <v>44241</v>
          </cell>
          <cell r="J95">
            <v>44295</v>
          </cell>
          <cell r="K95" t="str">
            <v>CONTRATO DE PRESTACION DE SERVICIOS</v>
          </cell>
          <cell r="L95">
            <v>497</v>
          </cell>
          <cell r="M95">
            <v>1049647713</v>
          </cell>
          <cell r="N95" t="str">
            <v>JEISSON HERNANDO ECHAVARRIA CADENA</v>
          </cell>
          <cell r="O95">
            <v>7505000</v>
          </cell>
        </row>
        <row r="96">
          <cell r="F96">
            <v>119</v>
          </cell>
          <cell r="G96">
            <v>82</v>
          </cell>
          <cell r="H96">
            <v>44232</v>
          </cell>
          <cell r="I96">
            <v>44232</v>
          </cell>
          <cell r="J96">
            <v>44535</v>
          </cell>
          <cell r="K96" t="str">
            <v>CONTRATO DE PRESTACION DE SERVICIOS</v>
          </cell>
          <cell r="L96">
            <v>41</v>
          </cell>
          <cell r="M96">
            <v>80073637</v>
          </cell>
          <cell r="N96" t="str">
            <v>DIEGO FERNANDO ORTIZ ROZO</v>
          </cell>
          <cell r="O96">
            <v>44000000</v>
          </cell>
        </row>
        <row r="97">
          <cell r="F97">
            <v>46</v>
          </cell>
          <cell r="G97">
            <v>83</v>
          </cell>
          <cell r="H97">
            <v>44232</v>
          </cell>
          <cell r="I97">
            <v>44232</v>
          </cell>
          <cell r="J97">
            <v>44535</v>
          </cell>
          <cell r="K97" t="str">
            <v>CONTRATO DE PRESTACION DE SERVICIOS</v>
          </cell>
          <cell r="L97">
            <v>43</v>
          </cell>
          <cell r="M97">
            <v>52114836</v>
          </cell>
          <cell r="N97" t="str">
            <v>CRISTINA  BUSTAMANTE MORON</v>
          </cell>
          <cell r="O97">
            <v>40000000</v>
          </cell>
        </row>
        <row r="98">
          <cell r="F98">
            <v>203</v>
          </cell>
          <cell r="G98">
            <v>84</v>
          </cell>
          <cell r="H98">
            <v>44232</v>
          </cell>
          <cell r="I98">
            <v>44232</v>
          </cell>
          <cell r="J98">
            <v>44561</v>
          </cell>
          <cell r="K98" t="str">
            <v>OFICIO</v>
          </cell>
          <cell r="L98">
            <v>6003</v>
          </cell>
          <cell r="M98">
            <v>830037248</v>
          </cell>
          <cell r="N98" t="str">
            <v>CODENSA S.A. ESP</v>
          </cell>
          <cell r="O98">
            <v>130000000</v>
          </cell>
        </row>
        <row r="99">
          <cell r="F99">
            <v>196</v>
          </cell>
          <cell r="G99">
            <v>85</v>
          </cell>
          <cell r="H99">
            <v>44232</v>
          </cell>
          <cell r="I99">
            <v>44233</v>
          </cell>
          <cell r="J99">
            <v>44275</v>
          </cell>
          <cell r="K99" t="str">
            <v>CONTRATO DE PRESTACION DE SERVICIOS</v>
          </cell>
          <cell r="L99">
            <v>569</v>
          </cell>
          <cell r="M99">
            <v>1010118375</v>
          </cell>
          <cell r="N99" t="str">
            <v>BRIGITTE VALENTINA MESA CASTAÑEDA</v>
          </cell>
          <cell r="O99">
            <v>2633406</v>
          </cell>
        </row>
        <row r="100">
          <cell r="F100">
            <v>179</v>
          </cell>
          <cell r="G100">
            <v>86</v>
          </cell>
          <cell r="H100">
            <v>44232</v>
          </cell>
          <cell r="I100">
            <v>44210</v>
          </cell>
          <cell r="J100">
            <v>44458</v>
          </cell>
          <cell r="K100" t="str">
            <v>CONTRATO DE SEGUROS</v>
          </cell>
          <cell r="L100">
            <v>508</v>
          </cell>
          <cell r="M100">
            <v>860002400</v>
          </cell>
          <cell r="N100" t="str">
            <v>LA PREVISORA S A COMPAÑIA DE SEGUROS</v>
          </cell>
          <cell r="O100">
            <v>591115</v>
          </cell>
        </row>
        <row r="101">
          <cell r="F101">
            <v>137</v>
          </cell>
          <cell r="G101">
            <v>87</v>
          </cell>
          <cell r="H101">
            <v>44235</v>
          </cell>
          <cell r="I101">
            <v>44235</v>
          </cell>
          <cell r="J101">
            <v>44355</v>
          </cell>
          <cell r="K101" t="str">
            <v>CONTRATO DE PRESTACION DE SERVICIOS</v>
          </cell>
          <cell r="L101">
            <v>51</v>
          </cell>
          <cell r="M101">
            <v>1014307538</v>
          </cell>
          <cell r="N101" t="str">
            <v>ERIKA DANIELA MIRANDA MAHECHA</v>
          </cell>
          <cell r="O101">
            <v>0</v>
          </cell>
        </row>
        <row r="102">
          <cell r="F102">
            <v>137</v>
          </cell>
          <cell r="G102">
            <v>88</v>
          </cell>
          <cell r="H102">
            <v>44235</v>
          </cell>
          <cell r="I102">
            <v>44235</v>
          </cell>
          <cell r="J102">
            <v>44355</v>
          </cell>
          <cell r="K102" t="str">
            <v>CONTRATO DE PRESTACION DE SERVICIOS</v>
          </cell>
          <cell r="L102">
            <v>51</v>
          </cell>
          <cell r="M102">
            <v>1014307538</v>
          </cell>
          <cell r="N102" t="str">
            <v>ERIKA DANIELA MIRANDA MAHECHA</v>
          </cell>
          <cell r="O102">
            <v>7268208</v>
          </cell>
        </row>
        <row r="103">
          <cell r="F103">
            <v>97</v>
          </cell>
          <cell r="G103">
            <v>89</v>
          </cell>
          <cell r="H103">
            <v>44235</v>
          </cell>
          <cell r="I103">
            <v>44235</v>
          </cell>
          <cell r="J103">
            <v>44561</v>
          </cell>
          <cell r="K103" t="str">
            <v>CONTRATO DE PRESTACION DE SERVICIOS</v>
          </cell>
          <cell r="L103">
            <v>45</v>
          </cell>
          <cell r="M103">
            <v>51895054</v>
          </cell>
          <cell r="N103" t="str">
            <v>NATH YURY ROLDAN RAMOS</v>
          </cell>
          <cell r="O103">
            <v>79535673</v>
          </cell>
        </row>
        <row r="104">
          <cell r="F104">
            <v>106</v>
          </cell>
          <cell r="G104">
            <v>90</v>
          </cell>
          <cell r="H104">
            <v>44235</v>
          </cell>
          <cell r="I104">
            <v>44235</v>
          </cell>
          <cell r="J104">
            <v>44416</v>
          </cell>
          <cell r="K104" t="str">
            <v>CONTRATO DE PRESTACION DE SERVICIOS</v>
          </cell>
          <cell r="L104">
            <v>44</v>
          </cell>
          <cell r="M104">
            <v>17638268</v>
          </cell>
          <cell r="N104" t="str">
            <v>OLIVERIO  OME GUEVARA</v>
          </cell>
          <cell r="O104">
            <v>16348608</v>
          </cell>
        </row>
        <row r="105">
          <cell r="F105">
            <v>65</v>
          </cell>
          <cell r="G105">
            <v>91</v>
          </cell>
          <cell r="H105">
            <v>44235</v>
          </cell>
          <cell r="I105">
            <v>44235</v>
          </cell>
          <cell r="J105">
            <v>44447</v>
          </cell>
          <cell r="K105" t="str">
            <v>CONTRATO DE PRESTACION DE SERVICIOS</v>
          </cell>
          <cell r="L105">
            <v>49</v>
          </cell>
          <cell r="M105">
            <v>80100229</v>
          </cell>
          <cell r="N105" t="str">
            <v>JOHN KENNEDY LEON CASTIBLANCO</v>
          </cell>
          <cell r="O105">
            <v>55300000</v>
          </cell>
        </row>
        <row r="106">
          <cell r="F106">
            <v>95</v>
          </cell>
          <cell r="G106">
            <v>92</v>
          </cell>
          <cell r="H106">
            <v>44235</v>
          </cell>
          <cell r="I106">
            <v>44235</v>
          </cell>
          <cell r="J106">
            <v>44561</v>
          </cell>
          <cell r="K106" t="str">
            <v>CONTRATO DE PRESTACION DE SERVICIOS</v>
          </cell>
          <cell r="L106">
            <v>50</v>
          </cell>
          <cell r="M106">
            <v>79940456</v>
          </cell>
          <cell r="N106" t="str">
            <v>DIEGO ANDRES SOLER MARROQUIN</v>
          </cell>
          <cell r="O106">
            <v>61950000</v>
          </cell>
        </row>
        <row r="107">
          <cell r="F107">
            <v>74</v>
          </cell>
          <cell r="G107">
            <v>93</v>
          </cell>
          <cell r="H107">
            <v>44235</v>
          </cell>
          <cell r="I107">
            <v>44241</v>
          </cell>
          <cell r="J107">
            <v>44295</v>
          </cell>
          <cell r="K107" t="str">
            <v>CONTRATO DE PRESTACION DE SERVICIOS</v>
          </cell>
          <cell r="L107">
            <v>481</v>
          </cell>
          <cell r="M107">
            <v>79956761</v>
          </cell>
          <cell r="N107" t="str">
            <v>JAIRO IVAN VARGAS QUIROGA</v>
          </cell>
          <cell r="O107">
            <v>13342605</v>
          </cell>
        </row>
        <row r="108">
          <cell r="F108">
            <v>148</v>
          </cell>
          <cell r="G108">
            <v>94</v>
          </cell>
          <cell r="H108">
            <v>44235</v>
          </cell>
          <cell r="I108">
            <v>44235</v>
          </cell>
          <cell r="J108">
            <v>44538</v>
          </cell>
          <cell r="K108" t="str">
            <v>CONTRATO DE PRESTACION DE SERVICIOS</v>
          </cell>
          <cell r="L108">
            <v>57</v>
          </cell>
          <cell r="M108">
            <v>1019124435</v>
          </cell>
          <cell r="N108" t="str">
            <v>JEIMY LIZETH ALFONSO RIVERA</v>
          </cell>
          <cell r="O108">
            <v>40883670</v>
          </cell>
        </row>
        <row r="109">
          <cell r="F109">
            <v>50</v>
          </cell>
          <cell r="G109">
            <v>95</v>
          </cell>
          <cell r="H109">
            <v>44235</v>
          </cell>
          <cell r="I109">
            <v>44235</v>
          </cell>
          <cell r="J109">
            <v>44538</v>
          </cell>
          <cell r="K109" t="str">
            <v>CONTRATO DE PRESTACION DE SERVICIOS</v>
          </cell>
          <cell r="L109">
            <v>47</v>
          </cell>
          <cell r="M109">
            <v>1014261943</v>
          </cell>
          <cell r="N109" t="str">
            <v>MARIA PAULA ROJAS AMADOR</v>
          </cell>
          <cell r="O109">
            <v>40000000</v>
          </cell>
        </row>
        <row r="110">
          <cell r="F110">
            <v>75</v>
          </cell>
          <cell r="G110">
            <v>96</v>
          </cell>
          <cell r="H110">
            <v>44235</v>
          </cell>
          <cell r="I110">
            <v>44241</v>
          </cell>
          <cell r="J110">
            <v>44295</v>
          </cell>
          <cell r="K110" t="str">
            <v>CONTRATO DE PRESTACION DE SERVICIOS</v>
          </cell>
          <cell r="L110">
            <v>480</v>
          </cell>
          <cell r="M110">
            <v>79504573</v>
          </cell>
          <cell r="N110" t="str">
            <v>PABLO CESAR GARCIA ANGEL</v>
          </cell>
          <cell r="O110">
            <v>13342605</v>
          </cell>
        </row>
        <row r="111">
          <cell r="F111">
            <v>47</v>
          </cell>
          <cell r="G111">
            <v>97</v>
          </cell>
          <cell r="H111">
            <v>44235</v>
          </cell>
          <cell r="I111">
            <v>44235</v>
          </cell>
          <cell r="J111">
            <v>44538</v>
          </cell>
          <cell r="K111" t="str">
            <v>CONTRATO DE PRESTACION DE SERVICIOS</v>
          </cell>
          <cell r="L111">
            <v>48</v>
          </cell>
          <cell r="M111">
            <v>1032469103</v>
          </cell>
          <cell r="N111" t="str">
            <v>VANNESA HERCILIA MORENO GARCIA</v>
          </cell>
          <cell r="O111">
            <v>40000000</v>
          </cell>
        </row>
        <row r="112">
          <cell r="F112">
            <v>161</v>
          </cell>
          <cell r="G112">
            <v>98</v>
          </cell>
          <cell r="H112">
            <v>44236</v>
          </cell>
          <cell r="I112">
            <v>44236</v>
          </cell>
          <cell r="J112">
            <v>44509</v>
          </cell>
          <cell r="K112" t="str">
            <v>CONTRATO DE PRESTACION DE SERVICIOS</v>
          </cell>
          <cell r="L112">
            <v>59</v>
          </cell>
          <cell r="M112">
            <v>52975379</v>
          </cell>
          <cell r="N112" t="str">
            <v>ANA LORENA ORTIZ MEJIA</v>
          </cell>
          <cell r="O112">
            <v>67500000</v>
          </cell>
        </row>
        <row r="113">
          <cell r="F113">
            <v>144</v>
          </cell>
          <cell r="G113">
            <v>99</v>
          </cell>
          <cell r="H113">
            <v>44236</v>
          </cell>
          <cell r="I113">
            <v>44236</v>
          </cell>
          <cell r="J113">
            <v>44356</v>
          </cell>
          <cell r="K113" t="str">
            <v>CONTRATO DE PRESTACION DE SERVICIOS</v>
          </cell>
          <cell r="L113">
            <v>60</v>
          </cell>
          <cell r="M113">
            <v>1033777087</v>
          </cell>
          <cell r="N113" t="str">
            <v>AURA CRISTINA GARCIA OTALORA</v>
          </cell>
          <cell r="O113">
            <v>12000000</v>
          </cell>
        </row>
        <row r="114">
          <cell r="F114">
            <v>145</v>
          </cell>
          <cell r="G114">
            <v>100</v>
          </cell>
          <cell r="H114">
            <v>44236</v>
          </cell>
          <cell r="I114">
            <v>44236</v>
          </cell>
          <cell r="J114">
            <v>44356</v>
          </cell>
          <cell r="K114" t="str">
            <v>CONTRATO DE PRESTACION DE SERVICIOS</v>
          </cell>
          <cell r="L114">
            <v>63</v>
          </cell>
          <cell r="M114">
            <v>1133929197</v>
          </cell>
          <cell r="N114" t="str">
            <v>CARLOS EDUARDO GAMEZ AVILA</v>
          </cell>
          <cell r="O114">
            <v>16353468</v>
          </cell>
        </row>
        <row r="115">
          <cell r="F115">
            <v>134</v>
          </cell>
          <cell r="G115">
            <v>101</v>
          </cell>
          <cell r="H115">
            <v>44236</v>
          </cell>
          <cell r="I115">
            <v>44236</v>
          </cell>
          <cell r="J115">
            <v>44539</v>
          </cell>
          <cell r="K115" t="str">
            <v>CONTRATO DE PRESTACION DE SERVICIOS</v>
          </cell>
          <cell r="L115">
            <v>62</v>
          </cell>
          <cell r="M115">
            <v>1032432961</v>
          </cell>
          <cell r="N115" t="str">
            <v>NELSON VLADIMIR CRUZ MEJIA</v>
          </cell>
          <cell r="O115">
            <v>40000000</v>
          </cell>
        </row>
        <row r="116">
          <cell r="F116">
            <v>204</v>
          </cell>
          <cell r="G116">
            <v>102</v>
          </cell>
          <cell r="H116">
            <v>44236</v>
          </cell>
          <cell r="I116">
            <v>44236</v>
          </cell>
          <cell r="J116">
            <v>44561</v>
          </cell>
          <cell r="K116" t="str">
            <v>OFICIO</v>
          </cell>
          <cell r="L116">
            <v>6023</v>
          </cell>
          <cell r="M116">
            <v>800007813</v>
          </cell>
          <cell r="N116" t="str">
            <v>VANTI S.A. ESP</v>
          </cell>
          <cell r="O116">
            <v>2000000</v>
          </cell>
        </row>
        <row r="117">
          <cell r="F117">
            <v>143</v>
          </cell>
          <cell r="G117">
            <v>103</v>
          </cell>
          <cell r="H117">
            <v>44236</v>
          </cell>
          <cell r="I117">
            <v>44236</v>
          </cell>
          <cell r="J117">
            <v>44478</v>
          </cell>
          <cell r="K117" t="str">
            <v>CONTRATO DE PRESTACION DE SERVICIOS</v>
          </cell>
          <cell r="L117">
            <v>56</v>
          </cell>
          <cell r="M117">
            <v>1014215801</v>
          </cell>
          <cell r="N117" t="str">
            <v>ANGIE MILEIDY RAMIREZ CALDERON</v>
          </cell>
          <cell r="O117">
            <v>39975144</v>
          </cell>
        </row>
        <row r="118">
          <cell r="F118">
            <v>99</v>
          </cell>
          <cell r="G118">
            <v>104</v>
          </cell>
          <cell r="H118">
            <v>44236</v>
          </cell>
          <cell r="I118">
            <v>44236</v>
          </cell>
          <cell r="J118">
            <v>44417</v>
          </cell>
          <cell r="K118" t="str">
            <v>CONTRATO DE PRESTACION DE SERVICIOS</v>
          </cell>
          <cell r="L118">
            <v>52</v>
          </cell>
          <cell r="M118">
            <v>1014176435</v>
          </cell>
          <cell r="N118" t="str">
            <v>ILSE CAROLINA RAMIREZ BARROS</v>
          </cell>
          <cell r="O118">
            <v>34800000</v>
          </cell>
        </row>
        <row r="119">
          <cell r="F119">
            <v>113</v>
          </cell>
          <cell r="G119">
            <v>105</v>
          </cell>
          <cell r="H119">
            <v>44236</v>
          </cell>
          <cell r="I119">
            <v>44236</v>
          </cell>
          <cell r="J119">
            <v>44478</v>
          </cell>
          <cell r="K119" t="str">
            <v>CONTRATO DE PRESTACION DE SERVICIOS</v>
          </cell>
          <cell r="L119">
            <v>58</v>
          </cell>
          <cell r="M119">
            <v>14396115</v>
          </cell>
          <cell r="N119" t="str">
            <v>OSCAR EDUARDO FUENTES MEJIA</v>
          </cell>
          <cell r="O119">
            <v>64000000</v>
          </cell>
        </row>
        <row r="120">
          <cell r="F120">
            <v>94</v>
          </cell>
          <cell r="G120">
            <v>106</v>
          </cell>
          <cell r="H120">
            <v>44236</v>
          </cell>
          <cell r="I120">
            <v>44236</v>
          </cell>
          <cell r="J120">
            <v>44561</v>
          </cell>
          <cell r="K120" t="str">
            <v>CONTRATO DE PRESTACION DE SERVICIOS</v>
          </cell>
          <cell r="L120">
            <v>53</v>
          </cell>
          <cell r="M120">
            <v>79577619</v>
          </cell>
          <cell r="N120" t="str">
            <v>GILBERTO  ACOSTA PARRA</v>
          </cell>
          <cell r="O120">
            <v>148731712</v>
          </cell>
        </row>
        <row r="121">
          <cell r="F121">
            <v>142</v>
          </cell>
          <cell r="G121">
            <v>107</v>
          </cell>
          <cell r="H121">
            <v>44236</v>
          </cell>
          <cell r="I121">
            <v>44236</v>
          </cell>
          <cell r="J121">
            <v>44478</v>
          </cell>
          <cell r="K121" t="str">
            <v>CONTRATO DE PRESTACION DE SERVICIOS</v>
          </cell>
          <cell r="L121">
            <v>54</v>
          </cell>
          <cell r="M121">
            <v>80053511</v>
          </cell>
          <cell r="N121" t="str">
            <v>ANDRES GERARDO CASTAÑEDA CAMARGO</v>
          </cell>
          <cell r="O121">
            <v>68000000</v>
          </cell>
        </row>
        <row r="122">
          <cell r="F122">
            <v>96</v>
          </cell>
          <cell r="G122">
            <v>108</v>
          </cell>
          <cell r="H122">
            <v>44237</v>
          </cell>
          <cell r="I122">
            <v>44237</v>
          </cell>
          <cell r="J122">
            <v>44561</v>
          </cell>
          <cell r="K122" t="str">
            <v>CONTRATO DE PRESTACION DE SERVICIOS</v>
          </cell>
          <cell r="L122">
            <v>55</v>
          </cell>
          <cell r="M122">
            <v>38256092</v>
          </cell>
          <cell r="N122" t="str">
            <v>LUZ ELENA GOMEZ LEYVA</v>
          </cell>
          <cell r="O122">
            <v>119303509</v>
          </cell>
        </row>
        <row r="123">
          <cell r="F123">
            <v>52</v>
          </cell>
          <cell r="G123">
            <v>109</v>
          </cell>
          <cell r="H123">
            <v>44237</v>
          </cell>
          <cell r="I123">
            <v>44237</v>
          </cell>
          <cell r="J123">
            <v>44479</v>
          </cell>
          <cell r="K123" t="str">
            <v>CONTRATO DE PRESTACION DE SERVICIOS</v>
          </cell>
          <cell r="L123">
            <v>46</v>
          </cell>
          <cell r="M123">
            <v>80779128</v>
          </cell>
          <cell r="N123" t="str">
            <v>JAVIER ALBERTO VARGAS CASAS</v>
          </cell>
          <cell r="O123">
            <v>42400000</v>
          </cell>
        </row>
        <row r="124">
          <cell r="F124">
            <v>110</v>
          </cell>
          <cell r="G124">
            <v>110</v>
          </cell>
          <cell r="H124">
            <v>44237</v>
          </cell>
          <cell r="I124">
            <v>44237</v>
          </cell>
          <cell r="J124">
            <v>44479</v>
          </cell>
          <cell r="K124" t="str">
            <v>CONTRATO DE PRESTACION DE SERVICIOS</v>
          </cell>
          <cell r="L124">
            <v>68</v>
          </cell>
          <cell r="M124">
            <v>1024490172</v>
          </cell>
          <cell r="N124" t="str">
            <v>JHONATAN ASTRUAL SOLER VIRGUEZ</v>
          </cell>
          <cell r="O124">
            <v>18170520</v>
          </cell>
        </row>
        <row r="125">
          <cell r="F125">
            <v>102</v>
          </cell>
          <cell r="G125">
            <v>111</v>
          </cell>
          <cell r="H125">
            <v>44237</v>
          </cell>
          <cell r="I125">
            <v>44237</v>
          </cell>
          <cell r="J125">
            <v>44561</v>
          </cell>
          <cell r="K125" t="str">
            <v>CONTRATO DE PRESTACION DE SERVICIOS</v>
          </cell>
          <cell r="L125">
            <v>66</v>
          </cell>
          <cell r="M125">
            <v>7184760</v>
          </cell>
          <cell r="N125" t="str">
            <v>LEONARDO ANDRES FONSECA FAJARDO</v>
          </cell>
          <cell r="O125">
            <v>77219100</v>
          </cell>
        </row>
        <row r="126">
          <cell r="F126">
            <v>103</v>
          </cell>
          <cell r="G126">
            <v>112</v>
          </cell>
          <cell r="H126">
            <v>44237</v>
          </cell>
          <cell r="I126">
            <v>44237</v>
          </cell>
          <cell r="J126">
            <v>44561</v>
          </cell>
          <cell r="K126" t="str">
            <v>CONTRATO DE PRESTACION DE SERVICIOS</v>
          </cell>
          <cell r="L126">
            <v>67</v>
          </cell>
          <cell r="M126">
            <v>24337567</v>
          </cell>
          <cell r="N126" t="str">
            <v>MARIA FERNANDA JARAMILLO TRUJILLO</v>
          </cell>
          <cell r="O126">
            <v>113622390</v>
          </cell>
        </row>
        <row r="127">
          <cell r="F127">
            <v>167</v>
          </cell>
          <cell r="G127">
            <v>113</v>
          </cell>
          <cell r="H127">
            <v>44237</v>
          </cell>
          <cell r="I127">
            <v>44237</v>
          </cell>
          <cell r="J127">
            <v>44387</v>
          </cell>
          <cell r="K127" t="str">
            <v>CONTRATO DE PRESTACION DE SERVICIOS</v>
          </cell>
          <cell r="L127">
            <v>61</v>
          </cell>
          <cell r="M127">
            <v>52428475</v>
          </cell>
          <cell r="N127" t="str">
            <v>DIANA  OLAYA TORRES</v>
          </cell>
          <cell r="O127">
            <v>32500000</v>
          </cell>
        </row>
        <row r="128">
          <cell r="F128">
            <v>162</v>
          </cell>
          <cell r="G128">
            <v>114</v>
          </cell>
          <cell r="H128">
            <v>44237</v>
          </cell>
          <cell r="I128">
            <v>44237</v>
          </cell>
          <cell r="J128">
            <v>44510</v>
          </cell>
          <cell r="K128" t="str">
            <v>CONTRATO DE PRESTACION DE SERVICIOS</v>
          </cell>
          <cell r="L128">
            <v>64</v>
          </cell>
          <cell r="M128">
            <v>79316274</v>
          </cell>
          <cell r="N128" t="str">
            <v>JOHN WILLIAM ABRIL ESPITIA</v>
          </cell>
          <cell r="O128">
            <v>6000000</v>
          </cell>
        </row>
        <row r="129">
          <cell r="F129">
            <v>162</v>
          </cell>
          <cell r="G129">
            <v>114</v>
          </cell>
          <cell r="H129">
            <v>44237</v>
          </cell>
          <cell r="I129">
            <v>44237</v>
          </cell>
          <cell r="J129">
            <v>44510</v>
          </cell>
          <cell r="K129" t="str">
            <v>CONTRATO DE PRESTACION DE SERVICIOS</v>
          </cell>
          <cell r="L129">
            <v>64</v>
          </cell>
          <cell r="M129">
            <v>79316274</v>
          </cell>
          <cell r="N129" t="str">
            <v>JOHN WILLIAM ABRIL ESPITIA</v>
          </cell>
          <cell r="O129">
            <v>48000000</v>
          </cell>
        </row>
        <row r="130">
          <cell r="F130">
            <v>64</v>
          </cell>
          <cell r="G130">
            <v>115</v>
          </cell>
          <cell r="H130">
            <v>44237</v>
          </cell>
          <cell r="I130">
            <v>44237</v>
          </cell>
          <cell r="J130">
            <v>44449</v>
          </cell>
          <cell r="K130" t="str">
            <v>CONTRATO DE PRESTACION DE SERVICIOS</v>
          </cell>
          <cell r="L130">
            <v>65</v>
          </cell>
          <cell r="M130">
            <v>13171587</v>
          </cell>
          <cell r="N130" t="str">
            <v>SERGIO ALFONSO RODRIGUEZ GUERRERO</v>
          </cell>
          <cell r="O130">
            <v>62341552</v>
          </cell>
        </row>
      </sheetData>
      <sheetData sheetId="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a16" displayName="Tabla16" ref="A7:W1127" totalsRowShown="0" headerRowDxfId="49" dataDxfId="48" totalsRowDxfId="46" tableBorderDxfId="47">
  <autoFilter ref="A7:W1127" xr:uid="{00000000-0009-0000-0100-000003000000}">
    <filterColumn colId="13">
      <filters>
        <filter val="2-Elaborar 1 plan de preparativos y continuidad del servicio para la UAECOB ante la eventual ocurrencia de un desastre en el Distrito Capital"/>
      </filters>
    </filterColumn>
  </autoFilter>
  <sortState ref="A8:W1127">
    <sortCondition ref="A7:A1127"/>
  </sortState>
  <tableColumns count="23">
    <tableColumn id="1" xr3:uid="{00000000-0010-0000-0000-000001000000}" name="ID" dataDxfId="45" totalsRowDxfId="44"/>
    <tableColumn id="2" xr3:uid="{00000000-0010-0000-0000-000002000000}" name="Rubro" dataDxfId="43" totalsRowDxfId="42"/>
    <tableColumn id="3" xr3:uid="{00000000-0010-0000-0000-000003000000}" name="Código y Nombre del Rubro" dataDxfId="41" totalsRowDxfId="40"/>
    <tableColumn id="4" xr3:uid="{00000000-0010-0000-0000-000004000000}" name="Dependencia" dataDxfId="39" totalsRowDxfId="38" dataCellStyle="Normal"/>
    <tableColumn id="5" xr3:uid="{00000000-0010-0000-0000-000005000000}" name="Código UNSPSC (cada código separado por ;)" dataDxfId="37" totalsRowDxfId="36"/>
    <tableColumn id="6" xr3:uid="{00000000-0010-0000-0000-000006000000}" name="Descripción- Objeto" dataDxfId="35" totalsRowDxfId="34"/>
    <tableColumn id="7" xr3:uid="{00000000-0010-0000-0000-000007000000}" name="Fecha estimada de inicio de proceso de selección (día/mes/año)" dataDxfId="33" totalsRowDxfId="32"/>
    <tableColumn id="8" xr3:uid="{00000000-0010-0000-0000-000008000000}" name="Fecha estimada de presentación de ofertas (día/mes/año)" dataDxfId="31" totalsRowDxfId="30"/>
    <tableColumn id="9" xr3:uid="{00000000-0010-0000-0000-000009000000}" name="Duración estimada del contrato  (Meses)" dataDxfId="29" totalsRowDxfId="28"/>
    <tableColumn id="10" xr3:uid="{00000000-0010-0000-0000-00000A000000}" name="Modalidad de selección " dataDxfId="27" totalsRowDxfId="26"/>
    <tableColumn id="11" xr3:uid="{00000000-0010-0000-0000-00000B000000}" name="Fuente de los recursos" dataDxfId="25" totalsRowDxfId="24"/>
    <tableColumn id="12" xr3:uid="{00000000-0010-0000-0000-00000C000000}" name="Concepto del Gasto -POSPRE(SDH)" dataDxfId="23" totalsRowDxfId="22"/>
    <tableColumn id="13" xr3:uid="{00000000-0010-0000-0000-00000D000000}" name="Valor total estimado" dataDxfId="21" totalsRowDxfId="20"/>
    <tableColumn id="14" xr3:uid="{00000000-0010-0000-0000-00000E000000}" name="Meta Proyecto de Inversión" dataDxfId="19" totalsRowDxfId="18"/>
    <tableColumn id="15" xr3:uid="{00000000-0010-0000-0000-00000F000000}" name="Meta Producto/Meta producto " dataDxfId="17" totalsRowDxfId="16"/>
    <tableColumn id="16" xr3:uid="{00000000-0010-0000-0000-000010000000}" name="SI SECOP/NO SECOP " dataDxfId="15" totalsRowDxfId="14"/>
    <tableColumn id="17" xr3:uid="{00000000-0010-0000-0000-000011000000}" name="Columna2" dataDxfId="13" totalsRowDxfId="12"/>
    <tableColumn id="18" xr3:uid="{00000000-0010-0000-0000-000012000000}" name="CDPS A 31 JULIO 2022" dataDxfId="11" totalsRowDxfId="10"/>
    <tableColumn id="19" xr3:uid="{00000000-0010-0000-0000-000013000000}" name="CDP" dataDxfId="9" totalsRowDxfId="8"/>
    <tableColumn id="23" xr3:uid="{00000000-0010-0000-0000-000017000000}" name="Columna1" dataDxfId="7" totalsRowDxfId="6"/>
    <tableColumn id="20" xr3:uid="{00000000-0010-0000-0000-000014000000}" name="RP" dataDxfId="5" totalsRowDxfId="4"/>
    <tableColumn id="21" xr3:uid="{00000000-0010-0000-0000-000015000000}" name="GIROS" dataDxfId="3" totalsRowDxfId="2"/>
    <tableColumn id="22" xr3:uid="{00000000-0010-0000-0000-000016000000}" name="viabilidad" dataDxfId="1" totalsRow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S132"/>
  <sheetViews>
    <sheetView zoomScale="70" zoomScaleNormal="70" workbookViewId="0">
      <selection activeCell="U8" sqref="U8:W96"/>
    </sheetView>
  </sheetViews>
  <sheetFormatPr baseColWidth="10" defaultColWidth="11.5703125" defaultRowHeight="15" x14ac:dyDescent="0.25"/>
  <cols>
    <col min="1" max="1" width="30.42578125" bestFit="1" customWidth="1"/>
    <col min="2" max="2" width="27.7109375" bestFit="1" customWidth="1"/>
    <col min="3" max="3" width="20.7109375" bestFit="1" customWidth="1"/>
    <col min="4" max="4" width="39.140625" customWidth="1"/>
    <col min="5" max="5" width="44.42578125" customWidth="1"/>
    <col min="6" max="6" width="42.140625" customWidth="1"/>
    <col min="7" max="7" width="24.5703125" customWidth="1"/>
    <col min="8" max="8" width="19.28515625" customWidth="1"/>
    <col min="9" max="9" width="19.7109375" customWidth="1"/>
    <col min="10" max="13" width="20.28515625" customWidth="1"/>
    <col min="14" max="14" width="35.5703125" customWidth="1"/>
    <col min="15" max="15" width="33.7109375" style="2" customWidth="1"/>
    <col min="16" max="19" width="42.42578125" customWidth="1"/>
    <col min="20" max="20" width="30.42578125" customWidth="1"/>
    <col min="21" max="21" width="21.7109375" customWidth="1"/>
    <col min="22" max="22" width="22.28515625" bestFit="1" customWidth="1"/>
    <col min="23" max="23" width="23.5703125" customWidth="1"/>
    <col min="24" max="24" width="23" style="128" customWidth="1"/>
    <col min="25" max="25" width="27.140625" style="128" bestFit="1" customWidth="1"/>
    <col min="26" max="26" width="24.140625" style="130" customWidth="1"/>
    <col min="27" max="27" width="11.5703125" style="129" bestFit="1" customWidth="1"/>
    <col min="28" max="28" width="28" bestFit="1" customWidth="1"/>
    <col min="29" max="29" width="21.42578125" style="131" customWidth="1"/>
    <col min="43" max="43" width="19.85546875" bestFit="1" customWidth="1"/>
    <col min="44" max="44" width="18.5703125" bestFit="1" customWidth="1"/>
    <col min="45" max="45" width="11.5703125" bestFit="1" customWidth="1"/>
  </cols>
  <sheetData>
    <row r="3" spans="1:29" s="2" customFormat="1" ht="35.25" customHeight="1" x14ac:dyDescent="0.3">
      <c r="A3" s="306" t="s">
        <v>0</v>
      </c>
      <c r="F3" s="7"/>
      <c r="G3" s="7"/>
      <c r="H3" s="7"/>
      <c r="I3" s="7"/>
      <c r="J3" s="8"/>
      <c r="K3" s="9"/>
      <c r="L3" s="10"/>
      <c r="M3" s="10"/>
      <c r="N3" s="10"/>
      <c r="O3" s="11"/>
      <c r="P3" s="12"/>
      <c r="Q3" s="12"/>
      <c r="R3" s="12"/>
      <c r="S3" s="543" t="s">
        <v>1</v>
      </c>
      <c r="T3" s="11"/>
      <c r="X3" s="13"/>
      <c r="Y3" s="13">
        <f>+X3-X4</f>
        <v>0</v>
      </c>
      <c r="Z3" s="13"/>
      <c r="AA3" s="14"/>
    </row>
    <row r="4" spans="1:29" s="2" customFormat="1" ht="27.75" customHeight="1" x14ac:dyDescent="0.25">
      <c r="F4" s="9"/>
      <c r="G4" s="9"/>
      <c r="H4" s="9"/>
      <c r="I4" s="9"/>
      <c r="J4" s="15"/>
      <c r="K4" s="9"/>
      <c r="L4" s="10"/>
      <c r="M4" s="10"/>
      <c r="N4" s="10"/>
      <c r="O4" s="11"/>
      <c r="P4" s="12"/>
      <c r="Q4" s="12"/>
      <c r="R4" s="12"/>
      <c r="S4" s="544" t="s">
        <v>2</v>
      </c>
      <c r="T4" s="11"/>
      <c r="X4" s="13"/>
      <c r="Y4" s="13"/>
      <c r="Z4" s="13"/>
      <c r="AA4" s="14"/>
    </row>
    <row r="5" spans="1:29" s="2" customFormat="1" ht="20.25" customHeight="1" x14ac:dyDescent="0.25">
      <c r="F5" s="16"/>
      <c r="G5" s="1393" t="s">
        <v>3</v>
      </c>
      <c r="H5" s="1393"/>
      <c r="I5" s="1393"/>
      <c r="J5" s="17"/>
      <c r="K5" s="17"/>
      <c r="L5" s="1393" t="s">
        <v>4</v>
      </c>
      <c r="M5" s="1393"/>
      <c r="N5" s="1393"/>
      <c r="O5" s="18"/>
      <c r="P5" s="19" t="s">
        <v>5</v>
      </c>
      <c r="Q5" s="545"/>
      <c r="R5" s="545"/>
      <c r="S5" s="330" t="s">
        <v>6</v>
      </c>
      <c r="T5" s="546" t="s">
        <v>7</v>
      </c>
      <c r="X5" s="13"/>
      <c r="Y5" s="13"/>
      <c r="Z5" s="13"/>
      <c r="AA5" s="14"/>
    </row>
    <row r="6" spans="1:29" s="2" customFormat="1" x14ac:dyDescent="0.25">
      <c r="F6" s="16"/>
      <c r="G6" s="1"/>
      <c r="H6" s="1"/>
      <c r="I6" s="1"/>
      <c r="J6" s="16"/>
      <c r="K6" s="16"/>
      <c r="L6" s="1"/>
      <c r="M6" s="1"/>
      <c r="N6" s="1"/>
      <c r="O6" s="304"/>
      <c r="P6" s="305"/>
      <c r="Q6" s="545"/>
      <c r="R6" s="545"/>
      <c r="S6" s="547" t="s">
        <v>8</v>
      </c>
      <c r="T6" s="546"/>
      <c r="X6" s="13"/>
      <c r="Y6" s="13"/>
      <c r="Z6" s="13"/>
      <c r="AA6" s="14"/>
    </row>
    <row r="7" spans="1:29" s="30" customFormat="1" ht="45" customHeight="1" x14ac:dyDescent="0.25">
      <c r="A7" s="21" t="s">
        <v>9</v>
      </c>
      <c r="B7" s="22" t="s">
        <v>10</v>
      </c>
      <c r="C7" s="22" t="s">
        <v>11</v>
      </c>
      <c r="D7" s="23" t="s">
        <v>12</v>
      </c>
      <c r="E7" s="24" t="s">
        <v>13</v>
      </c>
      <c r="F7" s="22" t="s">
        <v>14</v>
      </c>
      <c r="G7" s="25" t="s">
        <v>15</v>
      </c>
      <c r="H7" s="25" t="s">
        <v>16</v>
      </c>
      <c r="I7" s="25" t="s">
        <v>17</v>
      </c>
      <c r="J7" s="26" t="s">
        <v>18</v>
      </c>
      <c r="K7" s="26" t="s">
        <v>19</v>
      </c>
      <c r="L7" s="27" t="s">
        <v>15</v>
      </c>
      <c r="M7" s="27" t="s">
        <v>16</v>
      </c>
      <c r="N7" s="27" t="s">
        <v>17</v>
      </c>
      <c r="O7" s="28" t="s">
        <v>20</v>
      </c>
      <c r="P7" s="188" t="s">
        <v>21</v>
      </c>
      <c r="Q7" s="548" t="s">
        <v>22</v>
      </c>
      <c r="R7" s="548" t="s">
        <v>23</v>
      </c>
      <c r="S7" s="548" t="s">
        <v>24</v>
      </c>
      <c r="T7" s="187" t="s">
        <v>25</v>
      </c>
      <c r="U7" s="183" t="s">
        <v>26</v>
      </c>
      <c r="V7" s="183" t="s">
        <v>27</v>
      </c>
      <c r="W7" s="183" t="s">
        <v>28</v>
      </c>
      <c r="X7" s="186" t="s">
        <v>29</v>
      </c>
      <c r="Y7" s="186" t="s">
        <v>30</v>
      </c>
      <c r="Z7" s="185" t="s">
        <v>31</v>
      </c>
      <c r="AA7" s="184" t="s">
        <v>32</v>
      </c>
      <c r="AB7" s="183" t="s">
        <v>33</v>
      </c>
      <c r="AC7" s="29" t="s">
        <v>34</v>
      </c>
    </row>
    <row r="8" spans="1:29" s="40" customFormat="1" ht="113.25" customHeight="1" x14ac:dyDescent="0.25">
      <c r="A8" s="31" t="s">
        <v>35</v>
      </c>
      <c r="B8" s="32" t="s">
        <v>36</v>
      </c>
      <c r="C8" s="33">
        <v>2020110010169</v>
      </c>
      <c r="D8" s="31" t="s">
        <v>37</v>
      </c>
      <c r="E8" s="31" t="s">
        <v>38</v>
      </c>
      <c r="F8" s="31" t="s">
        <v>39</v>
      </c>
      <c r="G8" s="34" t="s">
        <v>40</v>
      </c>
      <c r="H8" s="34" t="s">
        <v>41</v>
      </c>
      <c r="I8" s="35" t="s">
        <v>42</v>
      </c>
      <c r="J8" s="36" t="s">
        <v>43</v>
      </c>
      <c r="K8" s="36" t="s">
        <v>43</v>
      </c>
      <c r="L8" s="36" t="s">
        <v>44</v>
      </c>
      <c r="M8" s="37" t="s">
        <v>45</v>
      </c>
      <c r="N8" s="38" t="s">
        <v>46</v>
      </c>
      <c r="O8" s="59" t="s">
        <v>47</v>
      </c>
      <c r="P8" s="42" t="s">
        <v>48</v>
      </c>
      <c r="Q8" s="549" t="s">
        <v>49</v>
      </c>
      <c r="R8" s="550" t="s">
        <v>50</v>
      </c>
      <c r="S8" s="42"/>
      <c r="T8" s="333">
        <v>1000000000</v>
      </c>
      <c r="U8" s="551">
        <v>1000000000</v>
      </c>
      <c r="V8" s="334"/>
      <c r="W8" s="431">
        <v>1000000000</v>
      </c>
      <c r="X8" s="431">
        <v>688192903</v>
      </c>
      <c r="Y8" s="431">
        <f>+W8-X8</f>
        <v>311807097</v>
      </c>
      <c r="Z8" s="431">
        <v>688192903</v>
      </c>
      <c r="AA8" s="430">
        <f>+Z8/W8</f>
        <v>0.68819290300000002</v>
      </c>
      <c r="AB8" s="431">
        <f>91879295+95370708</f>
        <v>187250003</v>
      </c>
      <c r="AC8" s="432" t="s">
        <v>51</v>
      </c>
    </row>
    <row r="9" spans="1:29" s="40" customFormat="1" ht="113.25" customHeight="1" x14ac:dyDescent="0.25">
      <c r="A9" s="31" t="s">
        <v>35</v>
      </c>
      <c r="B9" s="32" t="s">
        <v>36</v>
      </c>
      <c r="C9" s="33">
        <v>2020110010169</v>
      </c>
      <c r="D9" s="31" t="s">
        <v>37</v>
      </c>
      <c r="E9" s="31" t="s">
        <v>52</v>
      </c>
      <c r="F9" s="31" t="s">
        <v>39</v>
      </c>
      <c r="G9" s="41" t="s">
        <v>53</v>
      </c>
      <c r="H9" s="34" t="s">
        <v>54</v>
      </c>
      <c r="I9" s="35" t="s">
        <v>55</v>
      </c>
      <c r="J9" s="56" t="s">
        <v>43</v>
      </c>
      <c r="K9" s="36" t="s">
        <v>43</v>
      </c>
      <c r="L9" s="56" t="s">
        <v>44</v>
      </c>
      <c r="M9" s="49" t="s">
        <v>45</v>
      </c>
      <c r="N9" s="170" t="s">
        <v>46</v>
      </c>
      <c r="O9" s="28" t="s">
        <v>47</v>
      </c>
      <c r="P9" s="42" t="s">
        <v>56</v>
      </c>
      <c r="Q9" s="552" t="s">
        <v>57</v>
      </c>
      <c r="R9" s="553" t="s">
        <v>58</v>
      </c>
      <c r="S9" s="552" t="s">
        <v>59</v>
      </c>
      <c r="T9" s="333">
        <v>360500000</v>
      </c>
      <c r="U9" s="551">
        <v>360500000</v>
      </c>
      <c r="V9" s="334"/>
      <c r="W9" s="431">
        <v>360500000</v>
      </c>
      <c r="X9" s="431">
        <v>59008248</v>
      </c>
      <c r="Y9" s="431">
        <f>+W9-X9</f>
        <v>301491752</v>
      </c>
      <c r="Z9" s="350">
        <v>53510388</v>
      </c>
      <c r="AA9" s="430">
        <f>+Z9/W9</f>
        <v>0.14843380859916783</v>
      </c>
      <c r="AB9" s="334"/>
      <c r="AC9" s="334"/>
    </row>
    <row r="10" spans="1:29" s="40" customFormat="1" ht="180" customHeight="1" x14ac:dyDescent="0.25">
      <c r="A10" s="31" t="s">
        <v>35</v>
      </c>
      <c r="B10" s="32" t="s">
        <v>36</v>
      </c>
      <c r="C10" s="33">
        <v>2020110010169</v>
      </c>
      <c r="D10" s="31" t="s">
        <v>37</v>
      </c>
      <c r="E10" s="31" t="s">
        <v>38</v>
      </c>
      <c r="F10" s="31" t="s">
        <v>39</v>
      </c>
      <c r="G10" s="41" t="s">
        <v>60</v>
      </c>
      <c r="H10" s="34" t="s">
        <v>61</v>
      </c>
      <c r="I10" s="35" t="s">
        <v>62</v>
      </c>
      <c r="J10" s="36" t="s">
        <v>43</v>
      </c>
      <c r="K10" s="36"/>
      <c r="L10" s="36" t="s">
        <v>44</v>
      </c>
      <c r="M10" s="37" t="s">
        <v>45</v>
      </c>
      <c r="N10" s="38" t="s">
        <v>63</v>
      </c>
      <c r="O10" s="59" t="s">
        <v>47</v>
      </c>
      <c r="P10" s="42" t="s">
        <v>64</v>
      </c>
      <c r="Q10" s="554" t="s">
        <v>65</v>
      </c>
      <c r="R10" s="555" t="s">
        <v>66</v>
      </c>
      <c r="S10" s="42"/>
      <c r="T10" s="333">
        <v>1030008000</v>
      </c>
      <c r="U10" s="551">
        <f>+T10</f>
        <v>1030008000</v>
      </c>
      <c r="V10" s="334"/>
      <c r="W10" s="556">
        <v>1030008000</v>
      </c>
      <c r="X10" s="437">
        <v>730797315</v>
      </c>
      <c r="Y10" s="431">
        <f>+W10-X10</f>
        <v>299210685</v>
      </c>
      <c r="Z10" s="460">
        <f>655300142+36000000</f>
        <v>691300142</v>
      </c>
      <c r="AA10" s="430">
        <f>+Z10/W10</f>
        <v>0.67115997351476886</v>
      </c>
      <c r="AB10" s="431">
        <f>15283722+37082200+69625000</f>
        <v>121990922</v>
      </c>
      <c r="AC10" s="432" t="s">
        <v>67</v>
      </c>
    </row>
    <row r="11" spans="1:29" s="40" customFormat="1" ht="113.25" customHeight="1" x14ac:dyDescent="0.25">
      <c r="A11" s="31" t="s">
        <v>35</v>
      </c>
      <c r="B11" s="32" t="s">
        <v>36</v>
      </c>
      <c r="C11" s="33">
        <v>2020110010169</v>
      </c>
      <c r="D11" s="31" t="s">
        <v>37</v>
      </c>
      <c r="E11" s="31" t="s">
        <v>52</v>
      </c>
      <c r="F11" s="31" t="s">
        <v>39</v>
      </c>
      <c r="G11" s="41" t="s">
        <v>68</v>
      </c>
      <c r="H11" s="34" t="s">
        <v>69</v>
      </c>
      <c r="I11" s="35" t="s">
        <v>70</v>
      </c>
      <c r="J11" s="36" t="s">
        <v>43</v>
      </c>
      <c r="K11" s="36" t="s">
        <v>43</v>
      </c>
      <c r="L11" s="36" t="s">
        <v>44</v>
      </c>
      <c r="M11" s="37" t="s">
        <v>45</v>
      </c>
      <c r="N11" s="31" t="s">
        <v>71</v>
      </c>
      <c r="O11" s="59" t="s">
        <v>47</v>
      </c>
      <c r="P11" s="301" t="s">
        <v>72</v>
      </c>
      <c r="Q11" s="557" t="s">
        <v>73</v>
      </c>
      <c r="R11" s="558" t="s">
        <v>74</v>
      </c>
      <c r="S11" s="559" t="s">
        <v>75</v>
      </c>
      <c r="T11" s="333">
        <v>330000000</v>
      </c>
      <c r="U11" s="551">
        <v>330000000</v>
      </c>
      <c r="V11" s="334"/>
      <c r="W11" s="431">
        <v>330000000</v>
      </c>
      <c r="X11" s="431">
        <f>304350003+19649997+6000000</f>
        <v>330000000</v>
      </c>
      <c r="Y11" s="431">
        <f>+W11-X11</f>
        <v>0</v>
      </c>
      <c r="Z11" s="431">
        <f>19649997+2129646</f>
        <v>21779643</v>
      </c>
      <c r="AA11" s="430">
        <f t="shared" ref="AA11:AA46" si="0">+Z11/W11</f>
        <v>6.5998918181818175E-2</v>
      </c>
      <c r="AB11" s="335">
        <v>2129646</v>
      </c>
      <c r="AC11" s="336" t="s">
        <v>72</v>
      </c>
    </row>
    <row r="12" spans="1:29" s="40" customFormat="1" ht="113.25" customHeight="1" x14ac:dyDescent="0.25">
      <c r="A12" s="31" t="s">
        <v>35</v>
      </c>
      <c r="B12" s="32" t="s">
        <v>36</v>
      </c>
      <c r="C12" s="33">
        <v>2020110010169</v>
      </c>
      <c r="D12" s="31" t="s">
        <v>37</v>
      </c>
      <c r="E12" s="31" t="s">
        <v>52</v>
      </c>
      <c r="F12" s="31" t="s">
        <v>39</v>
      </c>
      <c r="G12" s="41" t="s">
        <v>68</v>
      </c>
      <c r="H12" s="34" t="s">
        <v>69</v>
      </c>
      <c r="I12" s="35" t="s">
        <v>70</v>
      </c>
      <c r="J12" s="43" t="s">
        <v>76</v>
      </c>
      <c r="K12" s="43" t="s">
        <v>77</v>
      </c>
      <c r="L12" s="56" t="s">
        <v>44</v>
      </c>
      <c r="M12" s="49" t="s">
        <v>45</v>
      </c>
      <c r="N12" s="61" t="s">
        <v>71</v>
      </c>
      <c r="O12" s="28" t="s">
        <v>47</v>
      </c>
      <c r="P12" s="182" t="s">
        <v>78</v>
      </c>
      <c r="Q12" s="557" t="s">
        <v>73</v>
      </c>
      <c r="R12" s="560" t="s">
        <v>79</v>
      </c>
      <c r="S12" s="559" t="s">
        <v>80</v>
      </c>
      <c r="T12" s="337">
        <v>92359000</v>
      </c>
      <c r="U12" s="551">
        <f>T12</f>
        <v>92359000</v>
      </c>
      <c r="V12" s="561"/>
      <c r="W12" s="431">
        <v>92359000</v>
      </c>
      <c r="X12" s="431">
        <v>61499459</v>
      </c>
      <c r="Y12" s="431">
        <f>+W12-X12</f>
        <v>30859541</v>
      </c>
      <c r="Z12" s="334"/>
      <c r="AA12" s="430">
        <f t="shared" si="0"/>
        <v>0</v>
      </c>
      <c r="AB12" s="334"/>
      <c r="AC12" s="334"/>
    </row>
    <row r="13" spans="1:29" s="40" customFormat="1" ht="113.25" customHeight="1" x14ac:dyDescent="0.25">
      <c r="A13" s="31" t="s">
        <v>35</v>
      </c>
      <c r="B13" s="32" t="s">
        <v>36</v>
      </c>
      <c r="C13" s="33">
        <v>2020110010169</v>
      </c>
      <c r="D13" s="31" t="s">
        <v>37</v>
      </c>
      <c r="E13" s="31" t="s">
        <v>81</v>
      </c>
      <c r="F13" s="31" t="s">
        <v>39</v>
      </c>
      <c r="G13" s="41" t="s">
        <v>68</v>
      </c>
      <c r="H13" s="34" t="s">
        <v>69</v>
      </c>
      <c r="I13" s="35" t="s">
        <v>70</v>
      </c>
      <c r="J13" s="43" t="s">
        <v>76</v>
      </c>
      <c r="K13" s="43" t="s">
        <v>77</v>
      </c>
      <c r="L13" s="56" t="s">
        <v>44</v>
      </c>
      <c r="M13" s="49" t="s">
        <v>45</v>
      </c>
      <c r="N13" s="61" t="s">
        <v>71</v>
      </c>
      <c r="O13" s="28" t="s">
        <v>47</v>
      </c>
      <c r="P13" s="182" t="s">
        <v>78</v>
      </c>
      <c r="Q13" s="182"/>
      <c r="R13" s="182"/>
      <c r="S13" s="182"/>
      <c r="T13" s="337">
        <v>28062000</v>
      </c>
      <c r="U13" s="551">
        <v>28062000</v>
      </c>
      <c r="V13" s="334"/>
      <c r="W13" s="431">
        <v>28062000</v>
      </c>
      <c r="X13" s="431">
        <v>15565001</v>
      </c>
      <c r="Y13" s="431">
        <f>W13-X13</f>
        <v>12496999</v>
      </c>
      <c r="Z13" s="431">
        <v>15565001</v>
      </c>
      <c r="AA13" s="430">
        <f t="shared" si="0"/>
        <v>0.55466470672083246</v>
      </c>
      <c r="AB13" s="431">
        <v>14008499</v>
      </c>
      <c r="AC13" s="336" t="s">
        <v>82</v>
      </c>
    </row>
    <row r="14" spans="1:29" s="40" customFormat="1" ht="113.25" customHeight="1" x14ac:dyDescent="0.25">
      <c r="A14" s="31" t="s">
        <v>35</v>
      </c>
      <c r="B14" s="32" t="s">
        <v>36</v>
      </c>
      <c r="C14" s="33">
        <v>2020110010169</v>
      </c>
      <c r="D14" s="31" t="s">
        <v>37</v>
      </c>
      <c r="E14" s="31" t="s">
        <v>52</v>
      </c>
      <c r="F14" s="31" t="s">
        <v>39</v>
      </c>
      <c r="G14" s="41" t="s">
        <v>68</v>
      </c>
      <c r="H14" s="34" t="s">
        <v>69</v>
      </c>
      <c r="I14" s="35" t="s">
        <v>70</v>
      </c>
      <c r="J14" s="60" t="s">
        <v>83</v>
      </c>
      <c r="K14" s="60" t="s">
        <v>84</v>
      </c>
      <c r="L14" s="56" t="s">
        <v>44</v>
      </c>
      <c r="M14" s="49" t="s">
        <v>45</v>
      </c>
      <c r="N14" s="61" t="s">
        <v>71</v>
      </c>
      <c r="O14" s="28" t="s">
        <v>47</v>
      </c>
      <c r="P14" s="182" t="s">
        <v>78</v>
      </c>
      <c r="Q14" s="182"/>
      <c r="R14" s="182"/>
      <c r="S14" s="182"/>
      <c r="T14" s="337">
        <v>43792000</v>
      </c>
      <c r="U14" s="551">
        <f>T14</f>
        <v>43792000</v>
      </c>
      <c r="V14" s="334"/>
      <c r="W14" s="431">
        <f>U14</f>
        <v>43792000</v>
      </c>
      <c r="X14" s="431">
        <v>43792000</v>
      </c>
      <c r="Y14" s="431">
        <f t="shared" ref="Y14:Y21" si="1">+W14-X14</f>
        <v>0</v>
      </c>
      <c r="Z14" s="431">
        <v>43792000</v>
      </c>
      <c r="AA14" s="430">
        <f t="shared" si="0"/>
        <v>1</v>
      </c>
      <c r="AB14" s="431">
        <v>21896000</v>
      </c>
      <c r="AC14" s="338" t="s">
        <v>85</v>
      </c>
    </row>
    <row r="15" spans="1:29" s="40" customFormat="1" ht="113.25" customHeight="1" x14ac:dyDescent="0.25">
      <c r="A15" s="31" t="s">
        <v>35</v>
      </c>
      <c r="B15" s="32" t="s">
        <v>36</v>
      </c>
      <c r="C15" s="33">
        <v>2020110010169</v>
      </c>
      <c r="D15" s="31" t="s">
        <v>37</v>
      </c>
      <c r="E15" s="31" t="s">
        <v>81</v>
      </c>
      <c r="F15" s="31" t="s">
        <v>39</v>
      </c>
      <c r="G15" s="41" t="s">
        <v>68</v>
      </c>
      <c r="H15" s="34" t="s">
        <v>69</v>
      </c>
      <c r="I15" s="35" t="s">
        <v>70</v>
      </c>
      <c r="J15" s="32" t="s">
        <v>86</v>
      </c>
      <c r="K15" s="32" t="s">
        <v>87</v>
      </c>
      <c r="L15" s="36" t="s">
        <v>44</v>
      </c>
      <c r="M15" s="37" t="s">
        <v>45</v>
      </c>
      <c r="N15" s="31" t="s">
        <v>71</v>
      </c>
      <c r="O15" s="59" t="s">
        <v>47</v>
      </c>
      <c r="P15" s="182" t="s">
        <v>88</v>
      </c>
      <c r="Q15" s="562" t="s">
        <v>89</v>
      </c>
      <c r="R15" s="563" t="s">
        <v>90</v>
      </c>
      <c r="S15" s="182"/>
      <c r="T15" s="339">
        <v>1278739000</v>
      </c>
      <c r="U15" s="551">
        <v>1278739000</v>
      </c>
      <c r="V15" s="334"/>
      <c r="W15" s="431">
        <v>1278739000</v>
      </c>
      <c r="X15" s="431">
        <v>281078765</v>
      </c>
      <c r="Y15" s="431">
        <f>+W15-X15</f>
        <v>997660235</v>
      </c>
      <c r="Z15" s="431">
        <v>279541451</v>
      </c>
      <c r="AA15" s="430">
        <f t="shared" si="0"/>
        <v>0.21860712076506622</v>
      </c>
      <c r="AB15" s="334"/>
      <c r="AC15" s="336" t="s">
        <v>91</v>
      </c>
    </row>
    <row r="16" spans="1:29" s="40" customFormat="1" ht="113.25" customHeight="1" x14ac:dyDescent="0.25">
      <c r="A16" s="31" t="s">
        <v>35</v>
      </c>
      <c r="B16" s="32" t="s">
        <v>36</v>
      </c>
      <c r="C16" s="33">
        <v>2020110010169</v>
      </c>
      <c r="D16" s="31" t="s">
        <v>37</v>
      </c>
      <c r="E16" s="31" t="s">
        <v>81</v>
      </c>
      <c r="F16" s="31" t="s">
        <v>39</v>
      </c>
      <c r="G16" s="41" t="s">
        <v>68</v>
      </c>
      <c r="H16" s="34" t="s">
        <v>69</v>
      </c>
      <c r="I16" s="35" t="s">
        <v>70</v>
      </c>
      <c r="J16" s="60" t="s">
        <v>83</v>
      </c>
      <c r="K16" s="60" t="s">
        <v>84</v>
      </c>
      <c r="L16" s="36" t="s">
        <v>44</v>
      </c>
      <c r="M16" s="37" t="s">
        <v>45</v>
      </c>
      <c r="N16" s="31" t="s">
        <v>71</v>
      </c>
      <c r="O16" s="59" t="s">
        <v>47</v>
      </c>
      <c r="P16" s="182" t="s">
        <v>92</v>
      </c>
      <c r="Q16" s="182" t="s">
        <v>93</v>
      </c>
      <c r="R16" s="564" t="s">
        <v>94</v>
      </c>
      <c r="S16" s="182"/>
      <c r="T16" s="339">
        <v>1693199000</v>
      </c>
      <c r="U16" s="551">
        <v>1693199000</v>
      </c>
      <c r="V16" s="334"/>
      <c r="W16" s="431">
        <v>1693199000</v>
      </c>
      <c r="X16" s="431"/>
      <c r="Y16" s="431">
        <f t="shared" si="1"/>
        <v>1693199000</v>
      </c>
      <c r="Z16" s="334"/>
      <c r="AA16" s="430">
        <f t="shared" si="0"/>
        <v>0</v>
      </c>
      <c r="AB16" s="334"/>
      <c r="AC16" s="334"/>
    </row>
    <row r="17" spans="1:45" s="40" customFormat="1" ht="113.25" customHeight="1" x14ac:dyDescent="0.25">
      <c r="A17" s="31" t="s">
        <v>35</v>
      </c>
      <c r="B17" s="32" t="s">
        <v>36</v>
      </c>
      <c r="C17" s="33">
        <v>2020110010169</v>
      </c>
      <c r="D17" s="31" t="s">
        <v>37</v>
      </c>
      <c r="E17" s="31" t="s">
        <v>81</v>
      </c>
      <c r="F17" s="31" t="s">
        <v>39</v>
      </c>
      <c r="G17" s="45"/>
      <c r="H17" s="46"/>
      <c r="I17" s="45"/>
      <c r="J17" s="47" t="s">
        <v>95</v>
      </c>
      <c r="K17" s="47" t="s">
        <v>95</v>
      </c>
      <c r="L17" s="36" t="s">
        <v>44</v>
      </c>
      <c r="M17" s="49" t="s">
        <v>45</v>
      </c>
      <c r="N17" s="31" t="s">
        <v>71</v>
      </c>
      <c r="O17" s="59" t="s">
        <v>47</v>
      </c>
      <c r="P17" s="181" t="s">
        <v>96</v>
      </c>
      <c r="Q17" s="181" t="s">
        <v>97</v>
      </c>
      <c r="R17" s="181" t="s">
        <v>97</v>
      </c>
      <c r="S17" s="181"/>
      <c r="T17" s="340">
        <v>330711000</v>
      </c>
      <c r="U17" s="551">
        <v>330711000</v>
      </c>
      <c r="V17" s="334"/>
      <c r="W17" s="431">
        <v>330711000</v>
      </c>
      <c r="X17" s="431"/>
      <c r="Y17" s="431">
        <f t="shared" si="1"/>
        <v>330711000</v>
      </c>
      <c r="Z17" s="334"/>
      <c r="AA17" s="430">
        <f t="shared" si="0"/>
        <v>0</v>
      </c>
      <c r="AB17" s="334"/>
      <c r="AC17" s="334"/>
      <c r="AQ17" s="50">
        <v>147117947000</v>
      </c>
      <c r="AR17" s="50">
        <v>12259828916.666666</v>
      </c>
      <c r="AS17" s="50">
        <v>8.3333333333333329E-2</v>
      </c>
    </row>
    <row r="18" spans="1:45" s="40" customFormat="1" ht="113.25" customHeight="1" x14ac:dyDescent="0.25">
      <c r="A18" s="31" t="s">
        <v>35</v>
      </c>
      <c r="B18" s="32" t="s">
        <v>36</v>
      </c>
      <c r="C18" s="33">
        <v>2020110010169</v>
      </c>
      <c r="D18" s="31" t="s">
        <v>37</v>
      </c>
      <c r="E18" s="31" t="s">
        <v>81</v>
      </c>
      <c r="F18" s="31" t="s">
        <v>39</v>
      </c>
      <c r="G18" s="51"/>
      <c r="H18" s="52"/>
      <c r="I18" s="51"/>
      <c r="J18" s="47" t="s">
        <v>98</v>
      </c>
      <c r="K18" s="47" t="s">
        <v>98</v>
      </c>
      <c r="L18" s="36" t="s">
        <v>44</v>
      </c>
      <c r="M18" s="49" t="s">
        <v>45</v>
      </c>
      <c r="N18" s="31" t="s">
        <v>71</v>
      </c>
      <c r="O18" s="59" t="s">
        <v>47</v>
      </c>
      <c r="P18" s="181" t="s">
        <v>96</v>
      </c>
      <c r="Q18" s="181" t="s">
        <v>97</v>
      </c>
      <c r="R18" s="181" t="s">
        <v>97</v>
      </c>
      <c r="S18" s="181"/>
      <c r="T18" s="431">
        <v>587476000</v>
      </c>
      <c r="U18" s="431">
        <v>587476000</v>
      </c>
      <c r="V18" s="334"/>
      <c r="W18" s="431">
        <v>587476000</v>
      </c>
      <c r="X18" s="431"/>
      <c r="Y18" s="431">
        <f t="shared" si="1"/>
        <v>587476000</v>
      </c>
      <c r="Z18" s="334"/>
      <c r="AA18" s="430">
        <f t="shared" si="0"/>
        <v>0</v>
      </c>
      <c r="AB18" s="334"/>
      <c r="AC18" s="334"/>
      <c r="AQ18" s="50"/>
      <c r="AR18" s="50">
        <v>12259828916.666666</v>
      </c>
      <c r="AS18" s="50">
        <v>8.3333333333333329E-2</v>
      </c>
    </row>
    <row r="19" spans="1:45" s="40" customFormat="1" ht="113.25" customHeight="1" x14ac:dyDescent="0.25">
      <c r="A19" s="31" t="s">
        <v>35</v>
      </c>
      <c r="B19" s="32" t="s">
        <v>36</v>
      </c>
      <c r="C19" s="33">
        <v>2020110010169</v>
      </c>
      <c r="D19" s="31" t="s">
        <v>37</v>
      </c>
      <c r="E19" s="31" t="s">
        <v>81</v>
      </c>
      <c r="F19" s="31" t="s">
        <v>39</v>
      </c>
      <c r="G19" s="51"/>
      <c r="H19" s="52"/>
      <c r="I19" s="51"/>
      <c r="J19" s="47" t="s">
        <v>99</v>
      </c>
      <c r="K19" s="47" t="s">
        <v>99</v>
      </c>
      <c r="L19" s="36" t="s">
        <v>44</v>
      </c>
      <c r="M19" s="49" t="s">
        <v>45</v>
      </c>
      <c r="N19" s="31" t="s">
        <v>71</v>
      </c>
      <c r="O19" s="59" t="s">
        <v>47</v>
      </c>
      <c r="P19" s="181" t="s">
        <v>96</v>
      </c>
      <c r="Q19" s="181" t="s">
        <v>97</v>
      </c>
      <c r="R19" s="181" t="s">
        <v>97</v>
      </c>
      <c r="S19" s="181"/>
      <c r="T19" s="431">
        <v>119835000</v>
      </c>
      <c r="U19" s="431">
        <v>119835000</v>
      </c>
      <c r="V19" s="334"/>
      <c r="W19" s="431">
        <v>119835000</v>
      </c>
      <c r="X19" s="431"/>
      <c r="Y19" s="431">
        <f t="shared" si="1"/>
        <v>119835000</v>
      </c>
      <c r="Z19" s="334"/>
      <c r="AA19" s="430">
        <f t="shared" si="0"/>
        <v>0</v>
      </c>
      <c r="AB19" s="334"/>
      <c r="AC19" s="334"/>
      <c r="AQ19" s="50"/>
      <c r="AR19" s="50">
        <v>12259828916.666666</v>
      </c>
      <c r="AS19" s="50">
        <v>8.3333333333333329E-2</v>
      </c>
    </row>
    <row r="20" spans="1:45" s="40" customFormat="1" ht="113.25" customHeight="1" x14ac:dyDescent="0.25">
      <c r="A20" s="179" t="s">
        <v>100</v>
      </c>
      <c r="B20" s="179" t="s">
        <v>101</v>
      </c>
      <c r="C20" s="180">
        <v>2020110010195</v>
      </c>
      <c r="D20" s="179" t="s">
        <v>102</v>
      </c>
      <c r="E20" s="179" t="s">
        <v>103</v>
      </c>
      <c r="F20" s="179" t="s">
        <v>104</v>
      </c>
      <c r="G20" s="178" t="s">
        <v>53</v>
      </c>
      <c r="H20" s="177" t="s">
        <v>54</v>
      </c>
      <c r="I20" s="176" t="s">
        <v>105</v>
      </c>
      <c r="J20" s="175" t="s">
        <v>43</v>
      </c>
      <c r="K20" s="175" t="s">
        <v>43</v>
      </c>
      <c r="L20" s="174" t="s">
        <v>106</v>
      </c>
      <c r="M20" s="174" t="s">
        <v>107</v>
      </c>
      <c r="N20" s="173" t="s">
        <v>108</v>
      </c>
      <c r="O20" s="172" t="s">
        <v>47</v>
      </c>
      <c r="P20" s="171" t="s">
        <v>109</v>
      </c>
      <c r="Q20" s="171"/>
      <c r="R20" s="171"/>
      <c r="S20" s="171"/>
      <c r="T20" s="341">
        <v>100000000</v>
      </c>
      <c r="U20" s="565">
        <v>100000000</v>
      </c>
      <c r="V20" s="342"/>
      <c r="W20" s="433">
        <v>100000000</v>
      </c>
      <c r="X20" s="433"/>
      <c r="Y20" s="433">
        <f t="shared" si="1"/>
        <v>100000000</v>
      </c>
      <c r="Z20" s="342"/>
      <c r="AA20" s="435">
        <f t="shared" si="0"/>
        <v>0</v>
      </c>
      <c r="AB20" s="342"/>
      <c r="AC20" s="342"/>
      <c r="AR20" s="40">
        <v>12259828916.666666</v>
      </c>
      <c r="AS20" s="40">
        <v>8.3333333333333329E-2</v>
      </c>
    </row>
    <row r="21" spans="1:45" s="40" customFormat="1" ht="113.25" customHeight="1" x14ac:dyDescent="0.25">
      <c r="A21" s="61" t="s">
        <v>110</v>
      </c>
      <c r="B21" s="61" t="s">
        <v>111</v>
      </c>
      <c r="C21" s="58">
        <v>2020110010170</v>
      </c>
      <c r="D21" s="61" t="s">
        <v>112</v>
      </c>
      <c r="E21" s="61" t="s">
        <v>113</v>
      </c>
      <c r="F21" s="61" t="s">
        <v>114</v>
      </c>
      <c r="G21" s="89" t="s">
        <v>40</v>
      </c>
      <c r="H21" s="89" t="s">
        <v>41</v>
      </c>
      <c r="I21" s="90" t="s">
        <v>115</v>
      </c>
      <c r="J21" s="56" t="s">
        <v>116</v>
      </c>
      <c r="K21" s="56" t="s">
        <v>43</v>
      </c>
      <c r="L21" s="56" t="s">
        <v>44</v>
      </c>
      <c r="M21" s="49" t="s">
        <v>45</v>
      </c>
      <c r="N21" s="170" t="s">
        <v>46</v>
      </c>
      <c r="O21" s="21" t="s">
        <v>117</v>
      </c>
      <c r="P21" s="56" t="s">
        <v>118</v>
      </c>
      <c r="Q21" s="566" t="s">
        <v>119</v>
      </c>
      <c r="R21" s="553" t="s">
        <v>120</v>
      </c>
      <c r="S21" s="566" t="s">
        <v>121</v>
      </c>
      <c r="T21" s="333">
        <v>5838000000</v>
      </c>
      <c r="U21" s="551">
        <v>5838000000</v>
      </c>
      <c r="V21" s="334"/>
      <c r="W21" s="431">
        <v>5838000000</v>
      </c>
      <c r="X21" s="431">
        <v>1410000000</v>
      </c>
      <c r="Y21" s="431">
        <f t="shared" si="1"/>
        <v>4428000000</v>
      </c>
      <c r="Z21" s="431">
        <v>1410000000</v>
      </c>
      <c r="AA21" s="430">
        <f t="shared" si="0"/>
        <v>0.24152106885919836</v>
      </c>
      <c r="AB21" s="334"/>
      <c r="AC21" s="301" t="s">
        <v>122</v>
      </c>
      <c r="AR21" s="40">
        <v>12259828916.666666</v>
      </c>
      <c r="AS21" s="40">
        <v>8.3333333333333329E-2</v>
      </c>
    </row>
    <row r="22" spans="1:45" s="40" customFormat="1" ht="159" customHeight="1" x14ac:dyDescent="0.25">
      <c r="A22" s="61" t="s">
        <v>110</v>
      </c>
      <c r="B22" s="61" t="s">
        <v>111</v>
      </c>
      <c r="C22" s="58">
        <v>2020110010170</v>
      </c>
      <c r="D22" s="61" t="s">
        <v>112</v>
      </c>
      <c r="E22" s="61" t="s">
        <v>123</v>
      </c>
      <c r="F22" s="61" t="s">
        <v>114</v>
      </c>
      <c r="G22" s="169" t="s">
        <v>60</v>
      </c>
      <c r="H22" s="89" t="s">
        <v>61</v>
      </c>
      <c r="I22" s="90" t="s">
        <v>124</v>
      </c>
      <c r="J22" s="56" t="s">
        <v>116</v>
      </c>
      <c r="K22" s="56" t="s">
        <v>43</v>
      </c>
      <c r="L22" s="56" t="s">
        <v>44</v>
      </c>
      <c r="M22" s="49" t="s">
        <v>45</v>
      </c>
      <c r="N22" s="170" t="s">
        <v>63</v>
      </c>
      <c r="O22" s="21" t="s">
        <v>117</v>
      </c>
      <c r="P22" s="56" t="s">
        <v>125</v>
      </c>
      <c r="Q22" s="567" t="s">
        <v>126</v>
      </c>
      <c r="R22" s="568" t="s">
        <v>127</v>
      </c>
      <c r="S22" s="56"/>
      <c r="T22" s="333">
        <v>1505183000</v>
      </c>
      <c r="U22" s="551">
        <f>+T22</f>
        <v>1505183000</v>
      </c>
      <c r="V22" s="334"/>
      <c r="W22" s="569">
        <v>1505183000</v>
      </c>
      <c r="X22" s="541">
        <v>1143792017</v>
      </c>
      <c r="Y22" s="541">
        <f>+W22-X22</f>
        <v>361390983</v>
      </c>
      <c r="Z22" s="541">
        <f>96984000+510912333+347536000+66000000+57834666</f>
        <v>1079266999</v>
      </c>
      <c r="AA22" s="542">
        <f t="shared" si="0"/>
        <v>0.7170337420765448</v>
      </c>
      <c r="AB22" s="541">
        <f>12805111+98990330+143452332</f>
        <v>255247773</v>
      </c>
      <c r="AC22" s="570" t="s">
        <v>128</v>
      </c>
      <c r="AR22" s="40">
        <v>12259828916.666666</v>
      </c>
      <c r="AS22" s="40">
        <v>8.3333333333333329E-2</v>
      </c>
    </row>
    <row r="23" spans="1:45" s="40" customFormat="1" ht="113.25" customHeight="1" x14ac:dyDescent="0.25">
      <c r="A23" s="61" t="s">
        <v>110</v>
      </c>
      <c r="B23" s="61" t="s">
        <v>111</v>
      </c>
      <c r="C23" s="58">
        <v>2020110010170</v>
      </c>
      <c r="D23" s="61" t="s">
        <v>112</v>
      </c>
      <c r="E23" s="61" t="s">
        <v>123</v>
      </c>
      <c r="F23" s="61" t="s">
        <v>114</v>
      </c>
      <c r="G23" s="169" t="s">
        <v>68</v>
      </c>
      <c r="H23" s="89" t="s">
        <v>129</v>
      </c>
      <c r="I23" s="168" t="s">
        <v>130</v>
      </c>
      <c r="J23" s="56" t="s">
        <v>116</v>
      </c>
      <c r="K23" s="56" t="s">
        <v>43</v>
      </c>
      <c r="L23" s="56" t="s">
        <v>44</v>
      </c>
      <c r="M23" s="21" t="s">
        <v>131</v>
      </c>
      <c r="N23" s="100" t="s">
        <v>132</v>
      </c>
      <c r="O23" s="21" t="s">
        <v>117</v>
      </c>
      <c r="P23" s="61" t="s">
        <v>133</v>
      </c>
      <c r="Q23" s="61" t="s">
        <v>134</v>
      </c>
      <c r="R23" s="571" t="s">
        <v>135</v>
      </c>
      <c r="S23" s="61"/>
      <c r="T23" s="333">
        <v>583329000</v>
      </c>
      <c r="U23" s="551">
        <v>583329000</v>
      </c>
      <c r="V23" s="334"/>
      <c r="W23" s="431">
        <v>583329000</v>
      </c>
      <c r="X23" s="431"/>
      <c r="Y23" s="431">
        <f t="shared" ref="Y23:Y49" si="2">+W23-X23</f>
        <v>583329000</v>
      </c>
      <c r="Z23" s="334"/>
      <c r="AA23" s="430">
        <f t="shared" si="0"/>
        <v>0</v>
      </c>
      <c r="AB23" s="334"/>
      <c r="AC23" s="334"/>
      <c r="AR23" s="40">
        <v>12259828916.666666</v>
      </c>
      <c r="AS23" s="40">
        <v>8.3333333333333329E-2</v>
      </c>
    </row>
    <row r="24" spans="1:45" s="40" customFormat="1" ht="108" customHeight="1" thickBot="1" x14ac:dyDescent="0.3">
      <c r="A24" s="56" t="s">
        <v>136</v>
      </c>
      <c r="B24" s="56" t="s">
        <v>137</v>
      </c>
      <c r="C24" s="79">
        <v>2020110010168</v>
      </c>
      <c r="D24" s="167" t="s">
        <v>138</v>
      </c>
      <c r="E24" s="166" t="s">
        <v>139</v>
      </c>
      <c r="F24" s="165" t="s">
        <v>140</v>
      </c>
      <c r="G24" s="164" t="s">
        <v>60</v>
      </c>
      <c r="H24" s="163" t="s">
        <v>61</v>
      </c>
      <c r="I24" s="162" t="s">
        <v>141</v>
      </c>
      <c r="J24" s="161" t="s">
        <v>116</v>
      </c>
      <c r="K24" s="66" t="s">
        <v>43</v>
      </c>
      <c r="L24" s="160" t="s">
        <v>44</v>
      </c>
      <c r="M24" s="159" t="s">
        <v>45</v>
      </c>
      <c r="N24" s="158" t="s">
        <v>142</v>
      </c>
      <c r="O24" s="157" t="s">
        <v>143</v>
      </c>
      <c r="P24" s="156" t="s">
        <v>144</v>
      </c>
      <c r="Q24" s="572" t="s">
        <v>145</v>
      </c>
      <c r="R24" s="573" t="s">
        <v>146</v>
      </c>
      <c r="S24" s="574"/>
      <c r="T24" s="343">
        <v>800000000</v>
      </c>
      <c r="U24" s="575">
        <v>800000000</v>
      </c>
      <c r="V24" s="576"/>
      <c r="W24" s="434">
        <v>800000000</v>
      </c>
      <c r="X24" s="434">
        <v>697618056</v>
      </c>
      <c r="Y24" s="434">
        <f t="shared" si="2"/>
        <v>102381944</v>
      </c>
      <c r="Z24" s="434">
        <v>635318056</v>
      </c>
      <c r="AA24" s="436">
        <f t="shared" si="0"/>
        <v>0.79414757000000002</v>
      </c>
      <c r="AB24" s="434">
        <f>7366666+29983332+59645513+62178846</f>
        <v>159174357</v>
      </c>
      <c r="AC24" s="429" t="s">
        <v>67</v>
      </c>
    </row>
    <row r="25" spans="1:45" s="40" customFormat="1" ht="70.349999999999994" customHeight="1" thickBot="1" x14ac:dyDescent="0.3">
      <c r="A25" s="56" t="s">
        <v>136</v>
      </c>
      <c r="B25" s="56" t="s">
        <v>137</v>
      </c>
      <c r="C25" s="79">
        <v>2020110010168</v>
      </c>
      <c r="D25" s="62" t="s">
        <v>138</v>
      </c>
      <c r="E25" s="63" t="s">
        <v>139</v>
      </c>
      <c r="F25" s="64" t="s">
        <v>140</v>
      </c>
      <c r="G25" s="65" t="s">
        <v>60</v>
      </c>
      <c r="H25" s="68" t="s">
        <v>147</v>
      </c>
      <c r="I25" s="69" t="s">
        <v>148</v>
      </c>
      <c r="J25" s="70" t="s">
        <v>116</v>
      </c>
      <c r="K25" s="71" t="s">
        <v>43</v>
      </c>
      <c r="L25" s="39" t="s">
        <v>149</v>
      </c>
      <c r="M25" s="39" t="s">
        <v>150</v>
      </c>
      <c r="N25" s="72" t="s">
        <v>151</v>
      </c>
      <c r="O25" s="73" t="s">
        <v>143</v>
      </c>
      <c r="P25" s="74" t="s">
        <v>152</v>
      </c>
      <c r="Q25" s="577" t="s">
        <v>153</v>
      </c>
      <c r="R25" s="578" t="s">
        <v>154</v>
      </c>
      <c r="S25" s="577"/>
      <c r="T25" s="333">
        <v>743050000</v>
      </c>
      <c r="U25" s="551">
        <v>743050000</v>
      </c>
      <c r="V25" s="334"/>
      <c r="W25" s="431">
        <v>743050000</v>
      </c>
      <c r="X25" s="431"/>
      <c r="Y25" s="431">
        <f t="shared" si="2"/>
        <v>743050000</v>
      </c>
      <c r="Z25" s="334"/>
      <c r="AA25" s="430">
        <f t="shared" si="0"/>
        <v>0</v>
      </c>
      <c r="AB25" s="334"/>
      <c r="AC25" s="334"/>
    </row>
    <row r="26" spans="1:45" s="40" customFormat="1" ht="70.349999999999994" customHeight="1" thickBot="1" x14ac:dyDescent="0.3">
      <c r="A26" s="56" t="s">
        <v>136</v>
      </c>
      <c r="B26" s="56" t="s">
        <v>137</v>
      </c>
      <c r="C26" s="79">
        <v>2020110010168</v>
      </c>
      <c r="D26" s="62" t="s">
        <v>138</v>
      </c>
      <c r="E26" s="63" t="s">
        <v>139</v>
      </c>
      <c r="F26" s="64" t="s">
        <v>140</v>
      </c>
      <c r="G26" s="65" t="s">
        <v>53</v>
      </c>
      <c r="H26" s="68" t="s">
        <v>155</v>
      </c>
      <c r="I26" s="69" t="s">
        <v>156</v>
      </c>
      <c r="J26" s="70" t="s">
        <v>116</v>
      </c>
      <c r="K26" s="75" t="s">
        <v>43</v>
      </c>
      <c r="L26" s="75" t="s">
        <v>149</v>
      </c>
      <c r="M26" s="75" t="s">
        <v>157</v>
      </c>
      <c r="N26" s="76" t="s">
        <v>158</v>
      </c>
      <c r="O26" s="73" t="s">
        <v>143</v>
      </c>
      <c r="P26" s="77" t="s">
        <v>159</v>
      </c>
      <c r="Q26" s="579"/>
      <c r="R26" s="579"/>
      <c r="S26" s="579"/>
      <c r="T26" s="333">
        <v>7000000</v>
      </c>
      <c r="U26" s="551">
        <v>7000000</v>
      </c>
      <c r="V26" s="334"/>
      <c r="W26" s="431">
        <v>7000000</v>
      </c>
      <c r="X26" s="431"/>
      <c r="Y26" s="431">
        <f t="shared" si="2"/>
        <v>7000000</v>
      </c>
      <c r="Z26" s="334"/>
      <c r="AA26" s="430">
        <f t="shared" si="0"/>
        <v>0</v>
      </c>
      <c r="AB26" s="334"/>
      <c r="AC26" s="334"/>
      <c r="AS26" s="40">
        <v>4.0399999999999998E-2</v>
      </c>
    </row>
    <row r="27" spans="1:45" s="40" customFormat="1" ht="79.5" thickBot="1" x14ac:dyDescent="0.3">
      <c r="A27" s="56" t="s">
        <v>136</v>
      </c>
      <c r="B27" s="56" t="s">
        <v>137</v>
      </c>
      <c r="C27" s="79">
        <v>2020110010168</v>
      </c>
      <c r="D27" s="56" t="s">
        <v>138</v>
      </c>
      <c r="E27" s="56" t="s">
        <v>160</v>
      </c>
      <c r="F27" s="64" t="s">
        <v>140</v>
      </c>
      <c r="G27" s="155" t="s">
        <v>68</v>
      </c>
      <c r="H27" s="154" t="s">
        <v>161</v>
      </c>
      <c r="I27" s="153" t="s">
        <v>162</v>
      </c>
      <c r="J27" s="152" t="s">
        <v>116</v>
      </c>
      <c r="K27" s="151" t="s">
        <v>43</v>
      </c>
      <c r="L27" s="150" t="s">
        <v>44</v>
      </c>
      <c r="M27" s="149" t="s">
        <v>45</v>
      </c>
      <c r="N27" s="148" t="s">
        <v>163</v>
      </c>
      <c r="O27" s="147" t="s">
        <v>164</v>
      </c>
      <c r="P27" s="580" t="s">
        <v>165</v>
      </c>
      <c r="Q27" s="581" t="s">
        <v>166</v>
      </c>
      <c r="R27" s="582" t="s">
        <v>167</v>
      </c>
      <c r="S27" s="581"/>
      <c r="T27" s="333">
        <v>255910000</v>
      </c>
      <c r="U27" s="551">
        <v>255910000</v>
      </c>
      <c r="V27" s="334"/>
      <c r="W27" s="431">
        <v>255910000</v>
      </c>
      <c r="X27" s="431">
        <v>42269772</v>
      </c>
      <c r="Y27" s="431">
        <f>+W27-X27</f>
        <v>213640228</v>
      </c>
      <c r="Z27" s="431">
        <v>5097384</v>
      </c>
      <c r="AA27" s="344">
        <f t="shared" si="0"/>
        <v>1.9918658903520767E-2</v>
      </c>
      <c r="AB27" s="431">
        <v>1622584</v>
      </c>
      <c r="AC27" s="345" t="s">
        <v>168</v>
      </c>
    </row>
    <row r="28" spans="1:45" s="40" customFormat="1" ht="70.349999999999994" customHeight="1" thickBot="1" x14ac:dyDescent="0.3">
      <c r="A28" s="56" t="s">
        <v>136</v>
      </c>
      <c r="B28" s="56" t="s">
        <v>137</v>
      </c>
      <c r="C28" s="79">
        <v>2020110010168</v>
      </c>
      <c r="D28" s="62" t="s">
        <v>138</v>
      </c>
      <c r="E28" s="62" t="s">
        <v>139</v>
      </c>
      <c r="F28" s="64" t="s">
        <v>140</v>
      </c>
      <c r="G28" s="65" t="s">
        <v>53</v>
      </c>
      <c r="H28" s="68" t="s">
        <v>54</v>
      </c>
      <c r="I28" s="69" t="s">
        <v>55</v>
      </c>
      <c r="J28" s="70" t="s">
        <v>116</v>
      </c>
      <c r="K28" s="71" t="s">
        <v>43</v>
      </c>
      <c r="L28" s="36" t="s">
        <v>44</v>
      </c>
      <c r="M28" s="49" t="s">
        <v>45</v>
      </c>
      <c r="N28" s="67" t="s">
        <v>142</v>
      </c>
      <c r="O28" s="73" t="s">
        <v>164</v>
      </c>
      <c r="P28" s="145" t="s">
        <v>169</v>
      </c>
      <c r="Q28" s="583" t="s">
        <v>170</v>
      </c>
      <c r="R28" s="584" t="s">
        <v>171</v>
      </c>
      <c r="S28" s="585" t="s">
        <v>172</v>
      </c>
      <c r="T28" s="333">
        <v>525000000</v>
      </c>
      <c r="U28" s="551">
        <v>525000000</v>
      </c>
      <c r="V28" s="334"/>
      <c r="W28" s="431">
        <v>525000000</v>
      </c>
      <c r="X28" s="431"/>
      <c r="Y28" s="431">
        <f t="shared" si="2"/>
        <v>525000000</v>
      </c>
      <c r="Z28" s="334"/>
      <c r="AA28" s="430">
        <f t="shared" si="0"/>
        <v>0</v>
      </c>
      <c r="AB28" s="334"/>
      <c r="AC28" s="334"/>
    </row>
    <row r="29" spans="1:45" s="40" customFormat="1" ht="70.349999999999994" customHeight="1" thickBot="1" x14ac:dyDescent="0.3">
      <c r="A29" s="56" t="s">
        <v>136</v>
      </c>
      <c r="B29" s="56" t="s">
        <v>137</v>
      </c>
      <c r="C29" s="79">
        <v>2020110010168</v>
      </c>
      <c r="D29" s="62" t="s">
        <v>138</v>
      </c>
      <c r="E29" s="62" t="s">
        <v>139</v>
      </c>
      <c r="F29" s="64" t="s">
        <v>140</v>
      </c>
      <c r="G29" s="65" t="s">
        <v>53</v>
      </c>
      <c r="H29" s="68" t="s">
        <v>54</v>
      </c>
      <c r="I29" s="69" t="s">
        <v>173</v>
      </c>
      <c r="J29" s="70" t="s">
        <v>116</v>
      </c>
      <c r="K29" s="71" t="s">
        <v>43</v>
      </c>
      <c r="L29" s="36" t="s">
        <v>44</v>
      </c>
      <c r="M29" s="49" t="s">
        <v>45</v>
      </c>
      <c r="N29" s="67" t="s">
        <v>142</v>
      </c>
      <c r="O29" s="73" t="s">
        <v>164</v>
      </c>
      <c r="P29" s="81" t="s">
        <v>174</v>
      </c>
      <c r="Q29" s="586" t="s">
        <v>175</v>
      </c>
      <c r="R29" s="587" t="s">
        <v>176</v>
      </c>
      <c r="S29" s="588"/>
      <c r="T29" s="333">
        <v>309400000</v>
      </c>
      <c r="U29" s="551">
        <v>309400000</v>
      </c>
      <c r="V29" s="334"/>
      <c r="W29" s="431">
        <v>309400000</v>
      </c>
      <c r="X29" s="431">
        <v>105000000</v>
      </c>
      <c r="Y29" s="431">
        <f t="shared" si="2"/>
        <v>204400000</v>
      </c>
      <c r="Z29" s="431">
        <v>105000000</v>
      </c>
      <c r="AA29" s="430">
        <f t="shared" si="0"/>
        <v>0.33936651583710409</v>
      </c>
      <c r="AB29" s="431">
        <v>10493743</v>
      </c>
      <c r="AC29" s="432" t="s">
        <v>177</v>
      </c>
    </row>
    <row r="30" spans="1:45" s="40" customFormat="1" ht="392.25" customHeight="1" thickBot="1" x14ac:dyDescent="0.3">
      <c r="A30" s="56" t="s">
        <v>136</v>
      </c>
      <c r="B30" s="56" t="s">
        <v>137</v>
      </c>
      <c r="C30" s="79">
        <v>2020110010168</v>
      </c>
      <c r="D30" s="62" t="s">
        <v>138</v>
      </c>
      <c r="E30" s="62" t="s">
        <v>139</v>
      </c>
      <c r="F30" s="64" t="s">
        <v>140</v>
      </c>
      <c r="G30" s="65" t="s">
        <v>60</v>
      </c>
      <c r="H30" s="68" t="s">
        <v>61</v>
      </c>
      <c r="I30" s="69" t="s">
        <v>141</v>
      </c>
      <c r="J30" s="70" t="s">
        <v>116</v>
      </c>
      <c r="K30" s="71" t="s">
        <v>43</v>
      </c>
      <c r="L30" s="36" t="s">
        <v>44</v>
      </c>
      <c r="M30" s="49" t="s">
        <v>45</v>
      </c>
      <c r="N30" s="67" t="s">
        <v>142</v>
      </c>
      <c r="O30" s="73" t="s">
        <v>164</v>
      </c>
      <c r="P30" s="145" t="s">
        <v>178</v>
      </c>
      <c r="Q30" s="589" t="s">
        <v>179</v>
      </c>
      <c r="R30" s="590" t="s">
        <v>180</v>
      </c>
      <c r="S30" s="585"/>
      <c r="T30" s="333">
        <v>3450000000</v>
      </c>
      <c r="U30" s="551">
        <v>3450000000</v>
      </c>
      <c r="V30" s="551"/>
      <c r="W30" s="431">
        <v>3450000000</v>
      </c>
      <c r="X30" s="431">
        <v>2716837347</v>
      </c>
      <c r="Y30" s="431">
        <f t="shared" si="2"/>
        <v>733162653</v>
      </c>
      <c r="Z30" s="431">
        <v>2605566551</v>
      </c>
      <c r="AA30" s="430">
        <f t="shared" si="0"/>
        <v>0.75523668144927536</v>
      </c>
      <c r="AB30" s="431">
        <f>34275718+112477810+138521964+269458670</f>
        <v>554734162</v>
      </c>
      <c r="AC30" s="432" t="s">
        <v>67</v>
      </c>
    </row>
    <row r="31" spans="1:45" s="40" customFormat="1" ht="174" customHeight="1" thickBot="1" x14ac:dyDescent="0.3">
      <c r="A31" s="56" t="s">
        <v>136</v>
      </c>
      <c r="B31" s="56" t="s">
        <v>137</v>
      </c>
      <c r="C31" s="79">
        <v>2020110010168</v>
      </c>
      <c r="D31" s="56" t="s">
        <v>138</v>
      </c>
      <c r="E31" s="144" t="s">
        <v>181</v>
      </c>
      <c r="F31" s="64" t="s">
        <v>140</v>
      </c>
      <c r="G31" s="82" t="s">
        <v>53</v>
      </c>
      <c r="H31" s="83" t="s">
        <v>182</v>
      </c>
      <c r="I31" s="84" t="s">
        <v>183</v>
      </c>
      <c r="J31" s="70" t="s">
        <v>116</v>
      </c>
      <c r="K31" s="71" t="s">
        <v>43</v>
      </c>
      <c r="L31" s="75" t="s">
        <v>149</v>
      </c>
      <c r="M31" s="75" t="s">
        <v>157</v>
      </c>
      <c r="N31" s="76" t="s">
        <v>158</v>
      </c>
      <c r="O31" s="73" t="s">
        <v>184</v>
      </c>
      <c r="P31" s="145" t="s">
        <v>185</v>
      </c>
      <c r="Q31" s="591" t="s">
        <v>186</v>
      </c>
      <c r="R31" s="592" t="s">
        <v>187</v>
      </c>
      <c r="S31" s="593"/>
      <c r="T31" s="333">
        <v>1268888000</v>
      </c>
      <c r="U31" s="551">
        <v>1268888000</v>
      </c>
      <c r="V31" s="334"/>
      <c r="W31" s="431">
        <v>1268888000</v>
      </c>
      <c r="X31" s="431">
        <v>427584011</v>
      </c>
      <c r="Y31" s="431">
        <f t="shared" si="2"/>
        <v>841303989</v>
      </c>
      <c r="Z31" s="431">
        <v>75829903</v>
      </c>
      <c r="AA31" s="430">
        <f t="shared" si="0"/>
        <v>5.9760911128484154E-2</v>
      </c>
      <c r="AB31" s="431">
        <f>2884090+2114184</f>
        <v>4998274</v>
      </c>
      <c r="AC31" s="345" t="s">
        <v>188</v>
      </c>
    </row>
    <row r="32" spans="1:45" s="40" customFormat="1" ht="70.349999999999994" customHeight="1" thickBot="1" x14ac:dyDescent="0.3">
      <c r="A32" s="56" t="s">
        <v>136</v>
      </c>
      <c r="B32" s="56" t="s">
        <v>137</v>
      </c>
      <c r="C32" s="79">
        <v>2020110010168</v>
      </c>
      <c r="D32" s="62" t="s">
        <v>138</v>
      </c>
      <c r="E32" s="63" t="s">
        <v>181</v>
      </c>
      <c r="F32" s="64" t="s">
        <v>140</v>
      </c>
      <c r="G32" s="82" t="s">
        <v>53</v>
      </c>
      <c r="H32" s="83" t="s">
        <v>155</v>
      </c>
      <c r="I32" s="84" t="s">
        <v>156</v>
      </c>
      <c r="J32" s="70" t="s">
        <v>116</v>
      </c>
      <c r="K32" s="71" t="s">
        <v>43</v>
      </c>
      <c r="L32" s="36" t="s">
        <v>44</v>
      </c>
      <c r="M32" s="49" t="s">
        <v>45</v>
      </c>
      <c r="N32" s="76" t="s">
        <v>189</v>
      </c>
      <c r="O32" s="73" t="s">
        <v>184</v>
      </c>
      <c r="P32" s="80" t="s">
        <v>190</v>
      </c>
      <c r="Q32" s="585" t="s">
        <v>191</v>
      </c>
      <c r="R32" s="594" t="s">
        <v>192</v>
      </c>
      <c r="S32" s="585"/>
      <c r="T32" s="333">
        <v>35000000</v>
      </c>
      <c r="U32" s="551">
        <v>35000000</v>
      </c>
      <c r="V32" s="334"/>
      <c r="W32" s="431">
        <v>35000000</v>
      </c>
      <c r="X32" s="431"/>
      <c r="Y32" s="431">
        <f t="shared" si="2"/>
        <v>35000000</v>
      </c>
      <c r="Z32" s="334"/>
      <c r="AA32" s="430">
        <f t="shared" si="0"/>
        <v>0</v>
      </c>
      <c r="AB32" s="334"/>
      <c r="AC32" s="334"/>
    </row>
    <row r="33" spans="1:29" s="40" customFormat="1" ht="94.5" customHeight="1" thickBot="1" x14ac:dyDescent="0.3">
      <c r="A33" s="56" t="s">
        <v>136</v>
      </c>
      <c r="B33" s="56" t="s">
        <v>137</v>
      </c>
      <c r="C33" s="79">
        <v>2020110010168</v>
      </c>
      <c r="D33" s="56" t="s">
        <v>138</v>
      </c>
      <c r="E33" s="144" t="s">
        <v>181</v>
      </c>
      <c r="F33" s="64" t="s">
        <v>140</v>
      </c>
      <c r="G33" s="82" t="s">
        <v>53</v>
      </c>
      <c r="H33" s="83" t="s">
        <v>155</v>
      </c>
      <c r="I33" s="84" t="s">
        <v>193</v>
      </c>
      <c r="J33" s="70" t="s">
        <v>116</v>
      </c>
      <c r="K33" s="71" t="s">
        <v>43</v>
      </c>
      <c r="L33" s="36" t="s">
        <v>44</v>
      </c>
      <c r="M33" s="49" t="s">
        <v>45</v>
      </c>
      <c r="N33" s="61" t="s">
        <v>194</v>
      </c>
      <c r="O33" s="85" t="s">
        <v>184</v>
      </c>
      <c r="P33" s="80" t="s">
        <v>195</v>
      </c>
      <c r="Q33" s="589" t="s">
        <v>196</v>
      </c>
      <c r="R33" s="590" t="s">
        <v>197</v>
      </c>
      <c r="S33" s="585"/>
      <c r="T33" s="333">
        <v>908558000</v>
      </c>
      <c r="U33" s="551">
        <v>908558000</v>
      </c>
      <c r="V33" s="334"/>
      <c r="W33" s="431">
        <v>908558000</v>
      </c>
      <c r="X33" s="431">
        <v>248809008</v>
      </c>
      <c r="Y33" s="431">
        <f>+W33-X33</f>
        <v>659748992</v>
      </c>
      <c r="Z33" s="431">
        <v>248809008</v>
      </c>
      <c r="AA33" s="430">
        <f t="shared" si="0"/>
        <v>0.27385043992788571</v>
      </c>
      <c r="AB33" s="334"/>
      <c r="AC33" s="336" t="s">
        <v>198</v>
      </c>
    </row>
    <row r="34" spans="1:29" s="40" customFormat="1" ht="131.25" customHeight="1" thickBot="1" x14ac:dyDescent="0.3">
      <c r="A34" s="56" t="s">
        <v>136</v>
      </c>
      <c r="B34" s="56" t="s">
        <v>137</v>
      </c>
      <c r="C34" s="79">
        <v>2020110010168</v>
      </c>
      <c r="D34" s="56" t="s">
        <v>138</v>
      </c>
      <c r="E34" s="63" t="s">
        <v>181</v>
      </c>
      <c r="F34" s="64" t="s">
        <v>140</v>
      </c>
      <c r="G34" s="82" t="s">
        <v>60</v>
      </c>
      <c r="H34" s="83" t="s">
        <v>61</v>
      </c>
      <c r="I34" s="84" t="s">
        <v>141</v>
      </c>
      <c r="J34" s="70" t="s">
        <v>116</v>
      </c>
      <c r="K34" s="71" t="s">
        <v>43</v>
      </c>
      <c r="L34" s="36" t="s">
        <v>44</v>
      </c>
      <c r="M34" s="49" t="s">
        <v>45</v>
      </c>
      <c r="N34" s="67" t="s">
        <v>142</v>
      </c>
      <c r="O34" s="73" t="s">
        <v>184</v>
      </c>
      <c r="P34" s="80" t="s">
        <v>199</v>
      </c>
      <c r="Q34" s="589" t="s">
        <v>200</v>
      </c>
      <c r="R34" s="590" t="s">
        <v>201</v>
      </c>
      <c r="S34" s="585"/>
      <c r="T34" s="333">
        <v>800000000</v>
      </c>
      <c r="U34" s="333">
        <v>800000000</v>
      </c>
      <c r="V34" s="334"/>
      <c r="W34" s="333">
        <v>800000000</v>
      </c>
      <c r="X34" s="431">
        <v>763550435</v>
      </c>
      <c r="Y34" s="431">
        <f t="shared" si="2"/>
        <v>36449565</v>
      </c>
      <c r="Z34" s="431">
        <v>763550435</v>
      </c>
      <c r="AA34" s="430">
        <f t="shared" si="0"/>
        <v>0.95443804374999996</v>
      </c>
      <c r="AB34" s="431">
        <f>345000+38071202+76761411+96755611</f>
        <v>211933224</v>
      </c>
      <c r="AC34" s="432" t="s">
        <v>67</v>
      </c>
    </row>
    <row r="35" spans="1:29" s="40" customFormat="1" ht="81" customHeight="1" thickBot="1" x14ac:dyDescent="0.3">
      <c r="A35" s="56" t="s">
        <v>136</v>
      </c>
      <c r="B35" s="56" t="s">
        <v>137</v>
      </c>
      <c r="C35" s="79">
        <v>2020110010168</v>
      </c>
      <c r="D35" s="56" t="s">
        <v>138</v>
      </c>
      <c r="E35" s="62" t="s">
        <v>202</v>
      </c>
      <c r="F35" s="64" t="s">
        <v>140</v>
      </c>
      <c r="G35" s="65" t="s">
        <v>53</v>
      </c>
      <c r="H35" s="68" t="s">
        <v>155</v>
      </c>
      <c r="I35" s="69" t="s">
        <v>156</v>
      </c>
      <c r="J35" s="70" t="s">
        <v>116</v>
      </c>
      <c r="K35" s="71" t="s">
        <v>43</v>
      </c>
      <c r="L35" s="36" t="s">
        <v>44</v>
      </c>
      <c r="M35" s="49" t="s">
        <v>45</v>
      </c>
      <c r="N35" s="76" t="s">
        <v>189</v>
      </c>
      <c r="O35" s="73" t="s">
        <v>164</v>
      </c>
      <c r="P35" s="595" t="s">
        <v>203</v>
      </c>
      <c r="Q35" s="596" t="s">
        <v>204</v>
      </c>
      <c r="R35" s="597" t="s">
        <v>205</v>
      </c>
      <c r="S35" s="579"/>
      <c r="T35" s="333">
        <v>167160000</v>
      </c>
      <c r="U35" s="551">
        <v>167160000</v>
      </c>
      <c r="V35" s="334"/>
      <c r="W35" s="431">
        <v>167160000</v>
      </c>
      <c r="X35" s="431"/>
      <c r="Y35" s="431">
        <f t="shared" si="2"/>
        <v>167160000</v>
      </c>
      <c r="Z35" s="334"/>
      <c r="AA35" s="430">
        <f t="shared" si="0"/>
        <v>0</v>
      </c>
      <c r="AB35" s="334"/>
      <c r="AC35" s="334"/>
    </row>
    <row r="36" spans="1:29" s="40" customFormat="1" ht="70.349999999999994" customHeight="1" thickBot="1" x14ac:dyDescent="0.3">
      <c r="A36" s="56" t="s">
        <v>136</v>
      </c>
      <c r="B36" s="56" t="s">
        <v>137</v>
      </c>
      <c r="C36" s="79">
        <v>2020110010168</v>
      </c>
      <c r="D36" s="62" t="s">
        <v>138</v>
      </c>
      <c r="E36" s="62" t="s">
        <v>139</v>
      </c>
      <c r="F36" s="64" t="s">
        <v>140</v>
      </c>
      <c r="G36" s="86" t="s">
        <v>60</v>
      </c>
      <c r="H36" s="87" t="s">
        <v>61</v>
      </c>
      <c r="I36" s="88" t="s">
        <v>141</v>
      </c>
      <c r="J36" s="70" t="s">
        <v>116</v>
      </c>
      <c r="K36" s="71" t="s">
        <v>43</v>
      </c>
      <c r="L36" s="36" t="s">
        <v>44</v>
      </c>
      <c r="M36" s="49" t="s">
        <v>45</v>
      </c>
      <c r="N36" s="67" t="s">
        <v>142</v>
      </c>
      <c r="O36" s="73" t="s">
        <v>206</v>
      </c>
      <c r="P36" s="80" t="s">
        <v>207</v>
      </c>
      <c r="Q36" s="598" t="s">
        <v>208</v>
      </c>
      <c r="R36" s="599" t="s">
        <v>209</v>
      </c>
      <c r="S36" s="585"/>
      <c r="T36" s="333">
        <v>125000000</v>
      </c>
      <c r="U36" s="551">
        <v>125000000</v>
      </c>
      <c r="V36" s="334"/>
      <c r="W36" s="431">
        <v>125000000</v>
      </c>
      <c r="X36" s="431">
        <v>92500000</v>
      </c>
      <c r="Y36" s="431">
        <f t="shared" si="2"/>
        <v>32500000</v>
      </c>
      <c r="Z36" s="431">
        <f>60000000+32500000</f>
        <v>92500000</v>
      </c>
      <c r="AA36" s="430">
        <f t="shared" si="0"/>
        <v>0.74</v>
      </c>
      <c r="AB36" s="350">
        <v>18216667</v>
      </c>
      <c r="AC36" s="334"/>
    </row>
    <row r="37" spans="1:29" s="40" customFormat="1" ht="164.25" customHeight="1" thickBot="1" x14ac:dyDescent="0.3">
      <c r="A37" s="56" t="s">
        <v>136</v>
      </c>
      <c r="B37" s="56" t="s">
        <v>137</v>
      </c>
      <c r="C37" s="79">
        <v>2020110010168</v>
      </c>
      <c r="D37" s="62" t="s">
        <v>138</v>
      </c>
      <c r="E37" s="62" t="s">
        <v>139</v>
      </c>
      <c r="F37" s="64" t="s">
        <v>140</v>
      </c>
      <c r="G37" s="57" t="s">
        <v>60</v>
      </c>
      <c r="H37" s="89" t="s">
        <v>61</v>
      </c>
      <c r="I37" s="90" t="s">
        <v>141</v>
      </c>
      <c r="J37" s="70" t="s">
        <v>116</v>
      </c>
      <c r="K37" s="71" t="s">
        <v>43</v>
      </c>
      <c r="L37" s="36" t="s">
        <v>44</v>
      </c>
      <c r="M37" s="49" t="s">
        <v>45</v>
      </c>
      <c r="N37" s="67" t="s">
        <v>142</v>
      </c>
      <c r="O37" s="73" t="s">
        <v>210</v>
      </c>
      <c r="P37" s="91" t="s">
        <v>211</v>
      </c>
      <c r="Q37" s="600" t="s">
        <v>212</v>
      </c>
      <c r="R37" s="592" t="s">
        <v>213</v>
      </c>
      <c r="S37" s="601"/>
      <c r="T37" s="333">
        <f>787000000+100000000</f>
        <v>887000000</v>
      </c>
      <c r="U37" s="602">
        <v>787000000</v>
      </c>
      <c r="V37" s="603"/>
      <c r="W37" s="346">
        <v>787000000</v>
      </c>
      <c r="X37" s="431">
        <v>509096910</v>
      </c>
      <c r="Y37" s="431">
        <f t="shared" si="2"/>
        <v>277903090</v>
      </c>
      <c r="Z37" s="431">
        <v>391441025</v>
      </c>
      <c r="AA37" s="430">
        <f t="shared" si="0"/>
        <v>0.49738376747141044</v>
      </c>
      <c r="AB37" s="431">
        <f>18321502+30822547+71550219</f>
        <v>120694268</v>
      </c>
      <c r="AC37" s="432" t="s">
        <v>67</v>
      </c>
    </row>
    <row r="38" spans="1:29" s="40" customFormat="1" ht="144.75" customHeight="1" thickBot="1" x14ac:dyDescent="0.3">
      <c r="A38" s="56" t="s">
        <v>136</v>
      </c>
      <c r="B38" s="56" t="s">
        <v>137</v>
      </c>
      <c r="C38" s="79">
        <v>2020110010168</v>
      </c>
      <c r="D38" s="56" t="s">
        <v>138</v>
      </c>
      <c r="E38" s="56" t="s">
        <v>139</v>
      </c>
      <c r="F38" s="64" t="s">
        <v>140</v>
      </c>
      <c r="G38" s="92" t="s">
        <v>60</v>
      </c>
      <c r="H38" s="93" t="s">
        <v>61</v>
      </c>
      <c r="I38" s="94" t="s">
        <v>141</v>
      </c>
      <c r="J38" s="70" t="s">
        <v>116</v>
      </c>
      <c r="K38" s="71" t="s">
        <v>43</v>
      </c>
      <c r="L38" s="36" t="s">
        <v>44</v>
      </c>
      <c r="M38" s="49" t="s">
        <v>45</v>
      </c>
      <c r="N38" s="67" t="s">
        <v>142</v>
      </c>
      <c r="O38" s="73" t="s">
        <v>214</v>
      </c>
      <c r="P38" s="143" t="s">
        <v>215</v>
      </c>
      <c r="Q38" s="604" t="s">
        <v>216</v>
      </c>
      <c r="R38" s="605" t="s">
        <v>217</v>
      </c>
      <c r="S38" s="606"/>
      <c r="T38" s="333">
        <v>2300000000</v>
      </c>
      <c r="U38" s="551">
        <v>2300000000</v>
      </c>
      <c r="V38" s="333"/>
      <c r="W38" s="431">
        <v>2300000000</v>
      </c>
      <c r="X38" s="431">
        <v>1801977737</v>
      </c>
      <c r="Y38" s="431">
        <f t="shared" si="2"/>
        <v>498022263</v>
      </c>
      <c r="Z38" s="431">
        <v>1518277056</v>
      </c>
      <c r="AA38" s="430">
        <f t="shared" si="0"/>
        <v>0.66012045913043482</v>
      </c>
      <c r="AB38" s="431">
        <f>4646667+29933334+40945457+140408710</f>
        <v>215934168</v>
      </c>
      <c r="AC38" s="432" t="s">
        <v>67</v>
      </c>
    </row>
    <row r="39" spans="1:29" s="40" customFormat="1" ht="70.349999999999994" customHeight="1" thickBot="1" x14ac:dyDescent="0.3">
      <c r="A39" s="56" t="s">
        <v>136</v>
      </c>
      <c r="B39" s="56" t="s">
        <v>137</v>
      </c>
      <c r="C39" s="79">
        <v>2020110010168</v>
      </c>
      <c r="D39" s="62" t="s">
        <v>138</v>
      </c>
      <c r="E39" s="62" t="s">
        <v>202</v>
      </c>
      <c r="F39" s="64" t="s">
        <v>140</v>
      </c>
      <c r="G39" s="65" t="s">
        <v>53</v>
      </c>
      <c r="H39" s="95" t="s">
        <v>54</v>
      </c>
      <c r="I39" s="96" t="s">
        <v>218</v>
      </c>
      <c r="J39" s="97" t="s">
        <v>116</v>
      </c>
      <c r="K39" s="71" t="s">
        <v>43</v>
      </c>
      <c r="L39" s="36" t="s">
        <v>44</v>
      </c>
      <c r="M39" s="49" t="s">
        <v>45</v>
      </c>
      <c r="N39" s="142" t="s">
        <v>219</v>
      </c>
      <c r="O39" s="98" t="s">
        <v>164</v>
      </c>
      <c r="P39" s="607" t="s">
        <v>220</v>
      </c>
      <c r="Q39" s="170"/>
      <c r="R39" s="170"/>
      <c r="S39" s="170"/>
      <c r="T39" s="333">
        <v>10000000</v>
      </c>
      <c r="U39" s="551">
        <v>10000000</v>
      </c>
      <c r="V39" s="334"/>
      <c r="W39" s="431">
        <v>10000000</v>
      </c>
      <c r="X39" s="431"/>
      <c r="Y39" s="431">
        <f t="shared" si="2"/>
        <v>10000000</v>
      </c>
      <c r="Z39" s="334"/>
      <c r="AA39" s="430">
        <f t="shared" si="0"/>
        <v>0</v>
      </c>
      <c r="AB39" s="334"/>
      <c r="AC39" s="334"/>
    </row>
    <row r="40" spans="1:29" s="40" customFormat="1" ht="122.25" customHeight="1" x14ac:dyDescent="0.25">
      <c r="A40" s="100" t="s">
        <v>221</v>
      </c>
      <c r="B40" s="21" t="s">
        <v>222</v>
      </c>
      <c r="C40" s="101">
        <v>2020110010206</v>
      </c>
      <c r="D40" s="43" t="s">
        <v>223</v>
      </c>
      <c r="E40" s="43" t="s">
        <v>224</v>
      </c>
      <c r="F40" s="72" t="s">
        <v>225</v>
      </c>
      <c r="G40" s="55" t="s">
        <v>40</v>
      </c>
      <c r="H40" s="55" t="s">
        <v>226</v>
      </c>
      <c r="I40" s="102" t="s">
        <v>227</v>
      </c>
      <c r="J40" s="39" t="s">
        <v>116</v>
      </c>
      <c r="K40" s="39" t="s">
        <v>43</v>
      </c>
      <c r="L40" s="36" t="s">
        <v>44</v>
      </c>
      <c r="M40" s="37" t="s">
        <v>45</v>
      </c>
      <c r="N40" s="38" t="s">
        <v>63</v>
      </c>
      <c r="O40" s="39" t="s">
        <v>228</v>
      </c>
      <c r="P40" s="32" t="s">
        <v>229</v>
      </c>
      <c r="Q40" s="608" t="s">
        <v>230</v>
      </c>
      <c r="R40" s="609" t="s">
        <v>231</v>
      </c>
      <c r="S40" s="61"/>
      <c r="T40" s="333">
        <v>684000000</v>
      </c>
      <c r="U40" s="551">
        <v>684000000</v>
      </c>
      <c r="V40" s="673">
        <f>695695200+1133400000</f>
        <v>1829095200</v>
      </c>
      <c r="W40" s="431">
        <f>+U40+V40</f>
        <v>2513095200</v>
      </c>
      <c r="X40" s="431">
        <v>1474007880</v>
      </c>
      <c r="Y40" s="437">
        <f t="shared" si="2"/>
        <v>1039087320</v>
      </c>
      <c r="Z40" s="431">
        <f>486995484+135660000</f>
        <v>622655484</v>
      </c>
      <c r="AA40" s="430">
        <f t="shared" si="0"/>
        <v>0.24776438393579359</v>
      </c>
      <c r="AB40" s="431">
        <v>40582957</v>
      </c>
      <c r="AC40" s="358" t="s">
        <v>232</v>
      </c>
    </row>
    <row r="41" spans="1:29" s="40" customFormat="1" ht="122.25" customHeight="1" x14ac:dyDescent="0.25">
      <c r="A41" s="100" t="s">
        <v>221</v>
      </c>
      <c r="B41" s="21" t="s">
        <v>222</v>
      </c>
      <c r="C41" s="101">
        <v>2020110010206</v>
      </c>
      <c r="D41" s="106" t="s">
        <v>223</v>
      </c>
      <c r="E41" s="43" t="s">
        <v>233</v>
      </c>
      <c r="F41" s="72" t="s">
        <v>225</v>
      </c>
      <c r="G41" s="55"/>
      <c r="H41" s="55"/>
      <c r="I41" s="102"/>
      <c r="J41" s="39"/>
      <c r="K41" s="39" t="s">
        <v>234</v>
      </c>
      <c r="L41" s="36" t="s">
        <v>44</v>
      </c>
      <c r="M41" s="37" t="s">
        <v>45</v>
      </c>
      <c r="N41" s="38" t="s">
        <v>63</v>
      </c>
      <c r="O41" s="39" t="s">
        <v>228</v>
      </c>
      <c r="P41" s="32" t="s">
        <v>235</v>
      </c>
      <c r="Q41" s="608"/>
      <c r="R41" s="609"/>
      <c r="S41" s="613"/>
      <c r="T41" s="333"/>
      <c r="U41" s="551"/>
      <c r="V41" s="610">
        <v>60460372</v>
      </c>
      <c r="W41" s="664">
        <f>+V41</f>
        <v>60460372</v>
      </c>
      <c r="X41" s="664">
        <v>60460372</v>
      </c>
      <c r="Y41" s="431">
        <f>+W41-X41</f>
        <v>0</v>
      </c>
      <c r="Z41" s="431"/>
      <c r="AA41" s="430"/>
      <c r="AB41" s="431"/>
      <c r="AC41" s="358"/>
    </row>
    <row r="42" spans="1:29" s="40" customFormat="1" ht="126" customHeight="1" x14ac:dyDescent="0.25">
      <c r="A42" s="100" t="s">
        <v>221</v>
      </c>
      <c r="B42" s="21" t="s">
        <v>222</v>
      </c>
      <c r="C42" s="103">
        <v>2020110010206</v>
      </c>
      <c r="D42" s="43" t="s">
        <v>223</v>
      </c>
      <c r="E42" s="43" t="s">
        <v>236</v>
      </c>
      <c r="F42" s="72" t="s">
        <v>225</v>
      </c>
      <c r="G42" s="55" t="s">
        <v>40</v>
      </c>
      <c r="H42" s="55" t="s">
        <v>226</v>
      </c>
      <c r="I42" s="102" t="s">
        <v>227</v>
      </c>
      <c r="J42" s="39" t="s">
        <v>116</v>
      </c>
      <c r="K42" s="39" t="s">
        <v>43</v>
      </c>
      <c r="L42" s="36" t="s">
        <v>44</v>
      </c>
      <c r="M42" s="37" t="s">
        <v>45</v>
      </c>
      <c r="N42" s="38" t="s">
        <v>63</v>
      </c>
      <c r="O42" s="39" t="s">
        <v>228</v>
      </c>
      <c r="P42" s="32" t="s">
        <v>237</v>
      </c>
      <c r="Q42" s="611" t="s">
        <v>238</v>
      </c>
      <c r="R42" s="612" t="s">
        <v>239</v>
      </c>
      <c r="S42" s="613"/>
      <c r="T42" s="333">
        <v>756000000</v>
      </c>
      <c r="U42" s="551">
        <v>756000000</v>
      </c>
      <c r="V42" s="614"/>
      <c r="W42" s="431">
        <v>756000000</v>
      </c>
      <c r="X42" s="664">
        <v>234240000</v>
      </c>
      <c r="Y42" s="431">
        <f t="shared" si="2"/>
        <v>521760000</v>
      </c>
      <c r="Z42" s="664">
        <v>114240000</v>
      </c>
      <c r="AA42" s="430">
        <f t="shared" si="0"/>
        <v>0.15111111111111111</v>
      </c>
      <c r="AB42" s="334"/>
      <c r="AC42" s="345" t="s">
        <v>240</v>
      </c>
    </row>
    <row r="43" spans="1:29" s="40" customFormat="1" ht="119.25" customHeight="1" x14ac:dyDescent="0.25">
      <c r="A43" s="100" t="s">
        <v>221</v>
      </c>
      <c r="B43" s="21" t="s">
        <v>222</v>
      </c>
      <c r="C43" s="103">
        <v>2020110010206</v>
      </c>
      <c r="D43" s="43" t="s">
        <v>223</v>
      </c>
      <c r="E43" s="43" t="s">
        <v>224</v>
      </c>
      <c r="F43" s="72" t="s">
        <v>225</v>
      </c>
      <c r="G43" s="55" t="s">
        <v>40</v>
      </c>
      <c r="H43" s="104" t="s">
        <v>226</v>
      </c>
      <c r="I43" s="102" t="s">
        <v>227</v>
      </c>
      <c r="J43" s="59" t="s">
        <v>241</v>
      </c>
      <c r="K43" s="59" t="s">
        <v>242</v>
      </c>
      <c r="L43" s="36" t="s">
        <v>44</v>
      </c>
      <c r="M43" s="59" t="s">
        <v>131</v>
      </c>
      <c r="N43" s="60" t="s">
        <v>132</v>
      </c>
      <c r="O43" s="39" t="s">
        <v>228</v>
      </c>
      <c r="P43" s="31" t="s">
        <v>243</v>
      </c>
      <c r="Q43" s="615" t="s">
        <v>244</v>
      </c>
      <c r="R43" s="616" t="s">
        <v>245</v>
      </c>
      <c r="S43" s="613"/>
      <c r="T43" s="333">
        <v>8600000000</v>
      </c>
      <c r="U43" s="551">
        <v>8600000000</v>
      </c>
      <c r="V43" s="614"/>
      <c r="W43" s="664">
        <v>8600000000</v>
      </c>
      <c r="X43" s="431"/>
      <c r="Y43" s="664">
        <f t="shared" si="2"/>
        <v>8600000000</v>
      </c>
      <c r="Z43" s="334"/>
      <c r="AA43" s="430">
        <f t="shared" si="0"/>
        <v>0</v>
      </c>
      <c r="AB43" s="334"/>
      <c r="AC43" s="334"/>
    </row>
    <row r="44" spans="1:29" s="40" customFormat="1" ht="70.349999999999994" customHeight="1" x14ac:dyDescent="0.25">
      <c r="A44" s="100" t="s">
        <v>221</v>
      </c>
      <c r="B44" s="21" t="s">
        <v>222</v>
      </c>
      <c r="C44" s="103">
        <v>2020110010206</v>
      </c>
      <c r="D44" s="43" t="s">
        <v>223</v>
      </c>
      <c r="E44" s="43" t="s">
        <v>224</v>
      </c>
      <c r="F44" s="72" t="s">
        <v>225</v>
      </c>
      <c r="G44" s="54" t="s">
        <v>68</v>
      </c>
      <c r="H44" s="104" t="s">
        <v>246</v>
      </c>
      <c r="I44" s="105" t="s">
        <v>247</v>
      </c>
      <c r="J44" s="59" t="s">
        <v>241</v>
      </c>
      <c r="K44" s="59" t="s">
        <v>242</v>
      </c>
      <c r="L44" s="36" t="s">
        <v>44</v>
      </c>
      <c r="M44" s="59" t="s">
        <v>131</v>
      </c>
      <c r="N44" s="60" t="s">
        <v>132</v>
      </c>
      <c r="O44" s="39" t="s">
        <v>228</v>
      </c>
      <c r="P44" s="31" t="s">
        <v>248</v>
      </c>
      <c r="Q44" s="613"/>
      <c r="R44" s="613"/>
      <c r="S44" s="613"/>
      <c r="T44" s="333">
        <v>7108000000</v>
      </c>
      <c r="U44" s="551">
        <v>7108000000</v>
      </c>
      <c r="V44" s="614"/>
      <c r="W44" s="664">
        <v>7108000000</v>
      </c>
      <c r="X44" s="664">
        <v>4054230820</v>
      </c>
      <c r="Y44" s="664">
        <f t="shared" si="2"/>
        <v>3053769180</v>
      </c>
      <c r="Z44" s="334"/>
      <c r="AA44" s="430">
        <f t="shared" si="0"/>
        <v>0</v>
      </c>
      <c r="AB44" s="334"/>
      <c r="AC44" s="334"/>
    </row>
    <row r="45" spans="1:29" s="40" customFormat="1" ht="70.349999999999994" customHeight="1" x14ac:dyDescent="0.25">
      <c r="A45" s="100" t="s">
        <v>221</v>
      </c>
      <c r="B45" s="21" t="s">
        <v>222</v>
      </c>
      <c r="C45" s="103">
        <v>2020110010206</v>
      </c>
      <c r="D45" s="43" t="s">
        <v>223</v>
      </c>
      <c r="E45" s="43" t="s">
        <v>224</v>
      </c>
      <c r="F45" s="100" t="s">
        <v>225</v>
      </c>
      <c r="G45" s="111" t="s">
        <v>68</v>
      </c>
      <c r="H45" s="112" t="s">
        <v>246</v>
      </c>
      <c r="I45" s="105" t="s">
        <v>247</v>
      </c>
      <c r="J45" s="21" t="s">
        <v>116</v>
      </c>
      <c r="K45" s="39" t="s">
        <v>43</v>
      </c>
      <c r="L45" s="56" t="s">
        <v>44</v>
      </c>
      <c r="M45" s="21" t="s">
        <v>131</v>
      </c>
      <c r="N45" s="100" t="s">
        <v>132</v>
      </c>
      <c r="O45" s="21" t="s">
        <v>228</v>
      </c>
      <c r="P45" s="100" t="s">
        <v>249</v>
      </c>
      <c r="Q45" s="100"/>
      <c r="R45" s="100"/>
      <c r="S45" s="100"/>
      <c r="T45" s="333">
        <v>1150000000</v>
      </c>
      <c r="U45" s="551">
        <v>1150000000</v>
      </c>
      <c r="V45" s="617">
        <v>-292893954</v>
      </c>
      <c r="W45" s="664">
        <f>+U45+V45</f>
        <v>857106046</v>
      </c>
      <c r="X45" s="664">
        <v>30000000</v>
      </c>
      <c r="Y45" s="431">
        <f t="shared" si="2"/>
        <v>827106046</v>
      </c>
      <c r="Z45" s="334"/>
      <c r="AA45" s="430">
        <f t="shared" si="0"/>
        <v>0</v>
      </c>
      <c r="AB45" s="334"/>
      <c r="AC45" s="334"/>
    </row>
    <row r="46" spans="1:29" s="40" customFormat="1" ht="70.349999999999994" customHeight="1" x14ac:dyDescent="0.25">
      <c r="A46" s="100" t="s">
        <v>221</v>
      </c>
      <c r="B46" s="21" t="s">
        <v>222</v>
      </c>
      <c r="C46" s="103">
        <v>2020110010206</v>
      </c>
      <c r="D46" s="43" t="s">
        <v>223</v>
      </c>
      <c r="E46" s="43" t="s">
        <v>224</v>
      </c>
      <c r="F46" s="72" t="s">
        <v>225</v>
      </c>
      <c r="G46" s="55" t="s">
        <v>40</v>
      </c>
      <c r="H46" s="104" t="s">
        <v>250</v>
      </c>
      <c r="I46" s="102" t="s">
        <v>227</v>
      </c>
      <c r="J46" s="39" t="s">
        <v>116</v>
      </c>
      <c r="K46" s="39" t="s">
        <v>43</v>
      </c>
      <c r="L46" s="39" t="s">
        <v>149</v>
      </c>
      <c r="M46" s="39" t="s">
        <v>150</v>
      </c>
      <c r="N46" s="72" t="s">
        <v>251</v>
      </c>
      <c r="O46" s="39" t="s">
        <v>228</v>
      </c>
      <c r="P46" s="61" t="s">
        <v>252</v>
      </c>
      <c r="Q46" s="618" t="s">
        <v>97</v>
      </c>
      <c r="R46" s="618" t="s">
        <v>97</v>
      </c>
      <c r="S46" s="61"/>
      <c r="T46" s="333">
        <v>108000000</v>
      </c>
      <c r="U46" s="551">
        <v>108000000</v>
      </c>
      <c r="V46" s="617">
        <v>-13400000</v>
      </c>
      <c r="W46" s="664">
        <f>+U46+V46</f>
        <v>94600000</v>
      </c>
      <c r="X46" s="664">
        <v>94600000</v>
      </c>
      <c r="Y46" s="431">
        <f t="shared" si="2"/>
        <v>0</v>
      </c>
      <c r="Z46" s="431">
        <v>94600000</v>
      </c>
      <c r="AA46" s="430">
        <f t="shared" si="0"/>
        <v>1</v>
      </c>
      <c r="AB46" s="431">
        <f>2842060+13893730+18666130+508608</f>
        <v>35910528</v>
      </c>
      <c r="AC46" s="347" t="s">
        <v>253</v>
      </c>
    </row>
    <row r="47" spans="1:29" s="40" customFormat="1" ht="91.5" customHeight="1" x14ac:dyDescent="0.25">
      <c r="A47" s="100" t="s">
        <v>221</v>
      </c>
      <c r="B47" s="21" t="s">
        <v>222</v>
      </c>
      <c r="C47" s="103">
        <v>2020110010206</v>
      </c>
      <c r="D47" s="43" t="s">
        <v>223</v>
      </c>
      <c r="E47" s="43" t="s">
        <v>254</v>
      </c>
      <c r="F47" s="72" t="s">
        <v>225</v>
      </c>
      <c r="G47" s="55" t="s">
        <v>40</v>
      </c>
      <c r="H47" s="104" t="s">
        <v>250</v>
      </c>
      <c r="I47" s="102" t="s">
        <v>227</v>
      </c>
      <c r="J47" s="39" t="s">
        <v>116</v>
      </c>
      <c r="K47" s="39" t="s">
        <v>43</v>
      </c>
      <c r="L47" s="36" t="s">
        <v>44</v>
      </c>
      <c r="M47" s="59" t="s">
        <v>131</v>
      </c>
      <c r="N47" s="72" t="s">
        <v>255</v>
      </c>
      <c r="O47" s="39" t="s">
        <v>228</v>
      </c>
      <c r="P47" s="67" t="s">
        <v>256</v>
      </c>
      <c r="Q47" s="67"/>
      <c r="R47" s="67"/>
      <c r="S47" s="67"/>
      <c r="T47" s="333">
        <v>168000000</v>
      </c>
      <c r="U47" s="551">
        <v>168000000</v>
      </c>
      <c r="V47" s="551">
        <v>-110000000</v>
      </c>
      <c r="W47" s="664">
        <f>+U47+V47</f>
        <v>58000000</v>
      </c>
      <c r="X47" s="431"/>
      <c r="Y47" s="431">
        <f t="shared" si="2"/>
        <v>58000000</v>
      </c>
      <c r="Z47" s="334"/>
      <c r="AA47" s="430">
        <f>+Z47/W47</f>
        <v>0</v>
      </c>
      <c r="AB47" s="334"/>
      <c r="AC47" s="334"/>
    </row>
    <row r="48" spans="1:29" s="40" customFormat="1" ht="92.25" customHeight="1" x14ac:dyDescent="0.25">
      <c r="A48" s="100" t="s">
        <v>221</v>
      </c>
      <c r="B48" s="21" t="s">
        <v>222</v>
      </c>
      <c r="C48" s="103">
        <v>2020110010206</v>
      </c>
      <c r="D48" s="106" t="s">
        <v>223</v>
      </c>
      <c r="E48" s="43" t="s">
        <v>257</v>
      </c>
      <c r="F48" s="72" t="s">
        <v>225</v>
      </c>
      <c r="G48" s="54" t="s">
        <v>53</v>
      </c>
      <c r="H48" s="104" t="s">
        <v>258</v>
      </c>
      <c r="I48" s="107" t="s">
        <v>259</v>
      </c>
      <c r="J48" s="39" t="s">
        <v>116</v>
      </c>
      <c r="K48" s="39" t="s">
        <v>43</v>
      </c>
      <c r="L48" s="298" t="s">
        <v>44</v>
      </c>
      <c r="M48" s="299" t="s">
        <v>131</v>
      </c>
      <c r="N48" s="110" t="s">
        <v>255</v>
      </c>
      <c r="O48" s="39" t="s">
        <v>228</v>
      </c>
      <c r="P48" s="31" t="s">
        <v>260</v>
      </c>
      <c r="Q48" s="615" t="s">
        <v>261</v>
      </c>
      <c r="R48" s="616" t="s">
        <v>262</v>
      </c>
      <c r="S48" s="613"/>
      <c r="T48" s="333">
        <v>480000000</v>
      </c>
      <c r="U48" s="551">
        <v>480000000</v>
      </c>
      <c r="V48" s="551">
        <f>-370000000-110000000</f>
        <v>-480000000</v>
      </c>
      <c r="W48" s="664">
        <f>+U48+V48</f>
        <v>0</v>
      </c>
      <c r="X48" s="431"/>
      <c r="Y48" s="348">
        <f t="shared" si="2"/>
        <v>0</v>
      </c>
      <c r="Z48" s="334"/>
      <c r="AA48" s="430" t="e">
        <f>+Z48/W48</f>
        <v>#DIV/0!</v>
      </c>
      <c r="AB48" s="334"/>
      <c r="AC48" s="336" t="s">
        <v>263</v>
      </c>
    </row>
    <row r="49" spans="1:29" s="40" customFormat="1" ht="70.349999999999994" customHeight="1" x14ac:dyDescent="0.25">
      <c r="A49" s="100" t="s">
        <v>221</v>
      </c>
      <c r="B49" s="21" t="s">
        <v>222</v>
      </c>
      <c r="C49" s="103">
        <v>2020110010206</v>
      </c>
      <c r="D49" s="43" t="s">
        <v>223</v>
      </c>
      <c r="E49" s="43" t="s">
        <v>236</v>
      </c>
      <c r="F49" s="72" t="s">
        <v>225</v>
      </c>
      <c r="G49" s="54" t="s">
        <v>53</v>
      </c>
      <c r="H49" s="104" t="s">
        <v>264</v>
      </c>
      <c r="I49" s="107" t="s">
        <v>218</v>
      </c>
      <c r="J49" s="39" t="s">
        <v>116</v>
      </c>
      <c r="K49" s="39" t="s">
        <v>43</v>
      </c>
      <c r="L49" s="36" t="s">
        <v>44</v>
      </c>
      <c r="M49" s="37" t="s">
        <v>45</v>
      </c>
      <c r="N49" s="72" t="s">
        <v>265</v>
      </c>
      <c r="O49" s="39" t="s">
        <v>228</v>
      </c>
      <c r="P49" s="32" t="s">
        <v>266</v>
      </c>
      <c r="Q49" s="619" t="s">
        <v>267</v>
      </c>
      <c r="R49" s="620">
        <v>460700000</v>
      </c>
      <c r="S49" s="61"/>
      <c r="T49" s="333">
        <f>825000000-114229680</f>
        <v>710770320</v>
      </c>
      <c r="U49" s="551">
        <v>710770320</v>
      </c>
      <c r="V49" s="621">
        <v>150000000</v>
      </c>
      <c r="W49" s="664">
        <f>710770320+150000000</f>
        <v>860770320</v>
      </c>
      <c r="X49" s="664">
        <f>310700000+150000000</f>
        <v>460700000</v>
      </c>
      <c r="Y49" s="431">
        <f t="shared" si="2"/>
        <v>400070320</v>
      </c>
      <c r="Z49" s="664">
        <v>251850622</v>
      </c>
      <c r="AA49" s="430">
        <f>+Z49/W49</f>
        <v>0.29258748373201343</v>
      </c>
      <c r="AB49" s="334"/>
      <c r="AC49" s="334"/>
    </row>
    <row r="50" spans="1:29" s="40" customFormat="1" ht="70.349999999999994" customHeight="1" x14ac:dyDescent="0.25">
      <c r="A50" s="100" t="s">
        <v>221</v>
      </c>
      <c r="B50" s="21" t="s">
        <v>222</v>
      </c>
      <c r="C50" s="103">
        <v>2020110010206</v>
      </c>
      <c r="D50" s="43" t="s">
        <v>223</v>
      </c>
      <c r="E50" s="43" t="s">
        <v>224</v>
      </c>
      <c r="F50" s="72" t="s">
        <v>225</v>
      </c>
      <c r="G50" s="54" t="s">
        <v>53</v>
      </c>
      <c r="H50" s="104" t="s">
        <v>264</v>
      </c>
      <c r="I50" s="107" t="s">
        <v>218</v>
      </c>
      <c r="J50" s="39" t="s">
        <v>116</v>
      </c>
      <c r="K50" s="39" t="s">
        <v>43</v>
      </c>
      <c r="L50" s="36" t="s">
        <v>44</v>
      </c>
      <c r="M50" s="37" t="s">
        <v>45</v>
      </c>
      <c r="N50" s="72" t="s">
        <v>265</v>
      </c>
      <c r="O50" s="39" t="s">
        <v>228</v>
      </c>
      <c r="P50" s="31" t="s">
        <v>266</v>
      </c>
      <c r="Q50" s="613"/>
      <c r="R50" s="613"/>
      <c r="S50" s="613"/>
      <c r="T50" s="333">
        <v>114229680</v>
      </c>
      <c r="U50" s="551">
        <v>114229680</v>
      </c>
      <c r="V50" s="614"/>
      <c r="W50" s="664">
        <v>114229680</v>
      </c>
      <c r="X50" s="664">
        <v>114229680</v>
      </c>
      <c r="Y50" s="431"/>
      <c r="Z50" s="664">
        <v>114229680</v>
      </c>
      <c r="AA50" s="430">
        <f t="shared" ref="AA50:AA97" si="3">+Z50/W50</f>
        <v>1</v>
      </c>
      <c r="AB50" s="348">
        <v>90773982</v>
      </c>
      <c r="AC50" s="334" t="s">
        <v>268</v>
      </c>
    </row>
    <row r="51" spans="1:29" s="40" customFormat="1" ht="70.349999999999994" customHeight="1" x14ac:dyDescent="0.25">
      <c r="A51" s="100" t="s">
        <v>221</v>
      </c>
      <c r="B51" s="21" t="s">
        <v>222</v>
      </c>
      <c r="C51" s="103">
        <v>2020110010206</v>
      </c>
      <c r="D51" s="106" t="s">
        <v>223</v>
      </c>
      <c r="E51" s="43" t="s">
        <v>269</v>
      </c>
      <c r="F51" s="72" t="s">
        <v>225</v>
      </c>
      <c r="G51" s="54" t="s">
        <v>60</v>
      </c>
      <c r="H51" s="104" t="s">
        <v>270</v>
      </c>
      <c r="I51" s="107" t="s">
        <v>141</v>
      </c>
      <c r="J51" s="39" t="s">
        <v>116</v>
      </c>
      <c r="K51" s="39" t="s">
        <v>43</v>
      </c>
      <c r="L51" s="36" t="s">
        <v>44</v>
      </c>
      <c r="M51" s="37" t="s">
        <v>45</v>
      </c>
      <c r="N51" s="38" t="s">
        <v>63</v>
      </c>
      <c r="O51" s="39" t="s">
        <v>228</v>
      </c>
      <c r="P51" s="622" t="s">
        <v>271</v>
      </c>
      <c r="Q51" s="623" t="s">
        <v>272</v>
      </c>
      <c r="R51" s="623" t="s">
        <v>273</v>
      </c>
      <c r="S51" s="67"/>
      <c r="T51" s="333">
        <v>569088000</v>
      </c>
      <c r="U51" s="551">
        <v>569088000</v>
      </c>
      <c r="V51" s="614"/>
      <c r="W51" s="431">
        <v>569088000</v>
      </c>
      <c r="X51" s="664">
        <v>544600000</v>
      </c>
      <c r="Y51" s="431">
        <f t="shared" ref="Y51:Y79" si="4">+W51-X51</f>
        <v>24488000</v>
      </c>
      <c r="Z51" s="664">
        <v>544600000</v>
      </c>
      <c r="AA51" s="430">
        <f t="shared" si="3"/>
        <v>0.95696974808816915</v>
      </c>
      <c r="AB51" s="348">
        <f>2666666+30010000+52266667+51840000</f>
        <v>136783333</v>
      </c>
      <c r="AC51" s="347" t="s">
        <v>274</v>
      </c>
    </row>
    <row r="52" spans="1:29" s="40" customFormat="1" ht="132" customHeight="1" x14ac:dyDescent="0.25">
      <c r="A52" s="100" t="s">
        <v>221</v>
      </c>
      <c r="B52" s="21" t="s">
        <v>222</v>
      </c>
      <c r="C52" s="103">
        <v>2020110010206</v>
      </c>
      <c r="D52" s="43" t="s">
        <v>223</v>
      </c>
      <c r="E52" s="43" t="s">
        <v>254</v>
      </c>
      <c r="F52" s="72" t="s">
        <v>225</v>
      </c>
      <c r="G52" s="54" t="s">
        <v>60</v>
      </c>
      <c r="H52" s="104" t="s">
        <v>270</v>
      </c>
      <c r="I52" s="107" t="s">
        <v>141</v>
      </c>
      <c r="J52" s="39" t="s">
        <v>116</v>
      </c>
      <c r="K52" s="39" t="s">
        <v>43</v>
      </c>
      <c r="L52" s="36" t="s">
        <v>44</v>
      </c>
      <c r="M52" s="37" t="s">
        <v>45</v>
      </c>
      <c r="N52" s="38" t="s">
        <v>63</v>
      </c>
      <c r="O52" s="39" t="s">
        <v>228</v>
      </c>
      <c r="P52" s="622" t="s">
        <v>275</v>
      </c>
      <c r="Q52" s="624" t="s">
        <v>276</v>
      </c>
      <c r="R52" s="625" t="s">
        <v>277</v>
      </c>
      <c r="S52" s="626"/>
      <c r="T52" s="333">
        <v>624000000</v>
      </c>
      <c r="U52" s="551">
        <v>624000000</v>
      </c>
      <c r="V52" s="614"/>
      <c r="W52" s="664">
        <v>624000000</v>
      </c>
      <c r="X52" s="664">
        <v>619783333</v>
      </c>
      <c r="Y52" s="431">
        <f t="shared" si="4"/>
        <v>4216667</v>
      </c>
      <c r="Z52" s="664">
        <v>590533333</v>
      </c>
      <c r="AA52" s="430">
        <f t="shared" si="3"/>
        <v>0.94636752083333331</v>
      </c>
      <c r="AB52" s="348">
        <f>15103333+30953333+46966667</f>
        <v>93023333</v>
      </c>
      <c r="AC52" s="349" t="s">
        <v>278</v>
      </c>
    </row>
    <row r="53" spans="1:29" s="40" customFormat="1" ht="110.25" x14ac:dyDescent="0.25">
      <c r="A53" s="100" t="s">
        <v>221</v>
      </c>
      <c r="B53" s="21" t="s">
        <v>222</v>
      </c>
      <c r="C53" s="103">
        <v>2020110010206</v>
      </c>
      <c r="D53" s="106" t="s">
        <v>223</v>
      </c>
      <c r="E53" s="43" t="s">
        <v>233</v>
      </c>
      <c r="F53" s="72" t="s">
        <v>225</v>
      </c>
      <c r="G53" s="54" t="s">
        <v>60</v>
      </c>
      <c r="H53" s="104" t="s">
        <v>270</v>
      </c>
      <c r="I53" s="107" t="s">
        <v>141</v>
      </c>
      <c r="J53" s="39" t="s">
        <v>116</v>
      </c>
      <c r="K53" s="39" t="s">
        <v>43</v>
      </c>
      <c r="L53" s="36" t="s">
        <v>44</v>
      </c>
      <c r="M53" s="37" t="s">
        <v>45</v>
      </c>
      <c r="N53" s="38" t="s">
        <v>63</v>
      </c>
      <c r="O53" s="39" t="s">
        <v>228</v>
      </c>
      <c r="P53" s="622" t="s">
        <v>279</v>
      </c>
      <c r="Q53" s="627" t="s">
        <v>280</v>
      </c>
      <c r="R53" s="628" t="s">
        <v>281</v>
      </c>
      <c r="S53" s="67"/>
      <c r="T53" s="333">
        <v>900000000</v>
      </c>
      <c r="U53" s="551">
        <v>900000000</v>
      </c>
      <c r="V53" s="551">
        <v>-60460372</v>
      </c>
      <c r="W53" s="431">
        <f>+U53+V53</f>
        <v>839539628</v>
      </c>
      <c r="X53" s="664">
        <v>778840372</v>
      </c>
      <c r="Y53" s="431">
        <f t="shared" si="4"/>
        <v>60699256</v>
      </c>
      <c r="Z53" s="664">
        <f>297880000+216600000+112100000+41650000</f>
        <v>668230000</v>
      </c>
      <c r="AA53" s="430">
        <f t="shared" si="3"/>
        <v>0.79594813361210393</v>
      </c>
      <c r="AB53" s="667">
        <f>102739999+61286667</f>
        <v>164026666</v>
      </c>
      <c r="AC53" s="347" t="s">
        <v>282</v>
      </c>
    </row>
    <row r="54" spans="1:29" s="40" customFormat="1" ht="110.25" x14ac:dyDescent="0.25">
      <c r="A54" s="100" t="s">
        <v>221</v>
      </c>
      <c r="B54" s="21" t="s">
        <v>222</v>
      </c>
      <c r="C54" s="103">
        <v>2020110010206</v>
      </c>
      <c r="D54" s="106" t="s">
        <v>223</v>
      </c>
      <c r="E54" s="43" t="s">
        <v>283</v>
      </c>
      <c r="F54" s="72" t="s">
        <v>225</v>
      </c>
      <c r="G54" s="54" t="s">
        <v>60</v>
      </c>
      <c r="H54" s="104" t="s">
        <v>270</v>
      </c>
      <c r="I54" s="107" t="s">
        <v>141</v>
      </c>
      <c r="J54" s="39" t="s">
        <v>116</v>
      </c>
      <c r="K54" s="39" t="s">
        <v>43</v>
      </c>
      <c r="L54" s="36" t="s">
        <v>44</v>
      </c>
      <c r="M54" s="37" t="s">
        <v>45</v>
      </c>
      <c r="N54" s="38" t="s">
        <v>63</v>
      </c>
      <c r="O54" s="39" t="s">
        <v>228</v>
      </c>
      <c r="P54" s="622" t="s">
        <v>284</v>
      </c>
      <c r="Q54" s="623" t="s">
        <v>285</v>
      </c>
      <c r="R54" s="623" t="s">
        <v>286</v>
      </c>
      <c r="S54" s="67"/>
      <c r="T54" s="333">
        <v>500000000</v>
      </c>
      <c r="U54" s="551">
        <v>500000000</v>
      </c>
      <c r="V54" s="614"/>
      <c r="W54" s="431">
        <v>500000000</v>
      </c>
      <c r="X54" s="664">
        <v>475761333</v>
      </c>
      <c r="Y54" s="431">
        <f>+W54-X54</f>
        <v>24238667</v>
      </c>
      <c r="Z54" s="665">
        <v>473111333</v>
      </c>
      <c r="AA54" s="430">
        <f t="shared" si="3"/>
        <v>0.94622266600000005</v>
      </c>
      <c r="AB54" s="348">
        <f>4585267+19011333+17821333+24501333</f>
        <v>65919266</v>
      </c>
      <c r="AC54" s="351" t="s">
        <v>287</v>
      </c>
    </row>
    <row r="55" spans="1:29" s="40" customFormat="1" ht="117" customHeight="1" x14ac:dyDescent="0.25">
      <c r="A55" s="100" t="s">
        <v>221</v>
      </c>
      <c r="B55" s="21" t="s">
        <v>222</v>
      </c>
      <c r="C55" s="103">
        <v>2020110010206</v>
      </c>
      <c r="D55" s="106" t="s">
        <v>288</v>
      </c>
      <c r="E55" s="106" t="s">
        <v>289</v>
      </c>
      <c r="F55" s="72" t="s">
        <v>225</v>
      </c>
      <c r="G55" s="54" t="s">
        <v>60</v>
      </c>
      <c r="H55" s="104" t="s">
        <v>270</v>
      </c>
      <c r="I55" s="107" t="s">
        <v>141</v>
      </c>
      <c r="J55" s="39" t="s">
        <v>116</v>
      </c>
      <c r="K55" s="39" t="s">
        <v>43</v>
      </c>
      <c r="L55" s="36" t="s">
        <v>44</v>
      </c>
      <c r="M55" s="37" t="s">
        <v>45</v>
      </c>
      <c r="N55" s="38" t="s">
        <v>63</v>
      </c>
      <c r="O55" s="39" t="s">
        <v>228</v>
      </c>
      <c r="P55" s="622" t="s">
        <v>290</v>
      </c>
      <c r="Q55" s="624" t="s">
        <v>291</v>
      </c>
      <c r="R55" s="625" t="s">
        <v>292</v>
      </c>
      <c r="S55" s="626"/>
      <c r="T55" s="333">
        <v>1000000000</v>
      </c>
      <c r="U55" s="551">
        <v>1000000000</v>
      </c>
      <c r="V55" s="614"/>
      <c r="W55" s="431">
        <v>1000000000</v>
      </c>
      <c r="X55" s="664">
        <v>793180000</v>
      </c>
      <c r="Y55" s="431">
        <f t="shared" si="4"/>
        <v>206820000</v>
      </c>
      <c r="Z55" s="664">
        <f>294300000+355180000+72750000</f>
        <v>722230000</v>
      </c>
      <c r="AA55" s="430">
        <f t="shared" si="3"/>
        <v>0.72223000000000004</v>
      </c>
      <c r="AB55" s="431">
        <f>17253333+53960001</f>
        <v>71213334</v>
      </c>
      <c r="AC55" s="301" t="s">
        <v>293</v>
      </c>
    </row>
    <row r="56" spans="1:29" s="40" customFormat="1" ht="126" x14ac:dyDescent="0.25">
      <c r="A56" s="100" t="s">
        <v>221</v>
      </c>
      <c r="B56" s="21" t="s">
        <v>222</v>
      </c>
      <c r="C56" s="103">
        <v>2020110010206</v>
      </c>
      <c r="D56" s="106" t="s">
        <v>288</v>
      </c>
      <c r="E56" s="106" t="s">
        <v>294</v>
      </c>
      <c r="F56" s="72" t="s">
        <v>225</v>
      </c>
      <c r="G56" s="54" t="s">
        <v>60</v>
      </c>
      <c r="H56" s="104" t="s">
        <v>270</v>
      </c>
      <c r="I56" s="107" t="s">
        <v>141</v>
      </c>
      <c r="J56" s="39" t="s">
        <v>116</v>
      </c>
      <c r="K56" s="39" t="s">
        <v>43</v>
      </c>
      <c r="L56" s="36" t="s">
        <v>44</v>
      </c>
      <c r="M56" s="37" t="s">
        <v>45</v>
      </c>
      <c r="N56" s="38" t="s">
        <v>63</v>
      </c>
      <c r="O56" s="39" t="s">
        <v>228</v>
      </c>
      <c r="P56" s="622" t="s">
        <v>295</v>
      </c>
      <c r="Q56" s="629" t="s">
        <v>296</v>
      </c>
      <c r="R56" s="630" t="s">
        <v>297</v>
      </c>
      <c r="S56" s="626"/>
      <c r="T56" s="333">
        <v>200000000</v>
      </c>
      <c r="U56" s="551">
        <v>200000000</v>
      </c>
      <c r="V56" s="614"/>
      <c r="W56" s="431">
        <v>200000000</v>
      </c>
      <c r="X56" s="664">
        <v>168120000</v>
      </c>
      <c r="Y56" s="431">
        <f t="shared" si="4"/>
        <v>31880000</v>
      </c>
      <c r="Z56" s="664">
        <f>48300000+119820000</f>
        <v>168120000</v>
      </c>
      <c r="AA56" s="430">
        <f t="shared" si="3"/>
        <v>0.84060000000000001</v>
      </c>
      <c r="AB56" s="348">
        <f>13191867+20342000+19942000</f>
        <v>53475867</v>
      </c>
      <c r="AC56" s="631" t="s">
        <v>298</v>
      </c>
    </row>
    <row r="57" spans="1:29" s="40" customFormat="1" ht="70.349999999999994" customHeight="1" x14ac:dyDescent="0.25">
      <c r="A57" s="100" t="s">
        <v>221</v>
      </c>
      <c r="B57" s="21" t="s">
        <v>222</v>
      </c>
      <c r="C57" s="103">
        <v>2020110010206</v>
      </c>
      <c r="D57" s="106" t="s">
        <v>288</v>
      </c>
      <c r="E57" s="106" t="s">
        <v>289</v>
      </c>
      <c r="F57" s="72" t="s">
        <v>225</v>
      </c>
      <c r="G57" s="54" t="s">
        <v>60</v>
      </c>
      <c r="H57" s="104" t="s">
        <v>299</v>
      </c>
      <c r="I57" s="107" t="s">
        <v>148</v>
      </c>
      <c r="J57" s="39" t="s">
        <v>116</v>
      </c>
      <c r="K57" s="39" t="s">
        <v>43</v>
      </c>
      <c r="L57" s="39" t="s">
        <v>149</v>
      </c>
      <c r="M57" s="39" t="s">
        <v>150</v>
      </c>
      <c r="N57" s="72" t="s">
        <v>251</v>
      </c>
      <c r="O57" s="39" t="s">
        <v>300</v>
      </c>
      <c r="P57" s="109" t="s">
        <v>301</v>
      </c>
      <c r="Q57" s="632"/>
      <c r="R57" s="632"/>
      <c r="S57" s="632"/>
      <c r="T57" s="333">
        <v>400000000</v>
      </c>
      <c r="U57" s="551">
        <v>400000000</v>
      </c>
      <c r="V57" s="614"/>
      <c r="W57" s="664">
        <v>400000000</v>
      </c>
      <c r="X57" s="664"/>
      <c r="Y57" s="431">
        <f t="shared" si="4"/>
        <v>400000000</v>
      </c>
      <c r="Z57" s="334"/>
      <c r="AA57" s="430">
        <f t="shared" si="3"/>
        <v>0</v>
      </c>
      <c r="AB57" s="334"/>
      <c r="AC57" s="334"/>
    </row>
    <row r="58" spans="1:29" s="40" customFormat="1" ht="70.349999999999994" customHeight="1" x14ac:dyDescent="0.25">
      <c r="A58" s="100" t="s">
        <v>221</v>
      </c>
      <c r="B58" s="21" t="s">
        <v>222</v>
      </c>
      <c r="C58" s="103">
        <v>2020110010206</v>
      </c>
      <c r="D58" s="106" t="s">
        <v>288</v>
      </c>
      <c r="E58" s="106" t="s">
        <v>289</v>
      </c>
      <c r="F58" s="72" t="s">
        <v>225</v>
      </c>
      <c r="G58" s="54" t="s">
        <v>60</v>
      </c>
      <c r="H58" s="104" t="s">
        <v>299</v>
      </c>
      <c r="I58" s="107" t="s">
        <v>148</v>
      </c>
      <c r="J58" s="39" t="s">
        <v>116</v>
      </c>
      <c r="K58" s="39" t="s">
        <v>43</v>
      </c>
      <c r="L58" s="39" t="s">
        <v>149</v>
      </c>
      <c r="M58" s="39" t="s">
        <v>150</v>
      </c>
      <c r="N58" s="72" t="s">
        <v>251</v>
      </c>
      <c r="O58" s="39" t="s">
        <v>228</v>
      </c>
      <c r="P58" s="31" t="s">
        <v>302</v>
      </c>
      <c r="Q58" s="552" t="s">
        <v>303</v>
      </c>
      <c r="R58" s="553" t="s">
        <v>304</v>
      </c>
      <c r="S58" s="613"/>
      <c r="T58" s="333">
        <v>300000000</v>
      </c>
      <c r="U58" s="551">
        <v>300000000</v>
      </c>
      <c r="V58" s="614"/>
      <c r="W58" s="664">
        <v>300000000</v>
      </c>
      <c r="X58" s="664"/>
      <c r="Y58" s="431">
        <f t="shared" si="4"/>
        <v>300000000</v>
      </c>
      <c r="Z58" s="334"/>
      <c r="AA58" s="430">
        <f t="shared" si="3"/>
        <v>0</v>
      </c>
      <c r="AB58" s="334"/>
      <c r="AC58" s="334"/>
    </row>
    <row r="59" spans="1:29" s="40" customFormat="1" ht="70.349999999999994" customHeight="1" x14ac:dyDescent="0.25">
      <c r="A59" s="100" t="s">
        <v>221</v>
      </c>
      <c r="B59" s="21" t="s">
        <v>222</v>
      </c>
      <c r="C59" s="103">
        <v>2020110010206</v>
      </c>
      <c r="D59" s="43" t="s">
        <v>223</v>
      </c>
      <c r="E59" s="43" t="s">
        <v>257</v>
      </c>
      <c r="F59" s="72" t="s">
        <v>225</v>
      </c>
      <c r="G59" s="55" t="s">
        <v>40</v>
      </c>
      <c r="H59" s="104" t="s">
        <v>226</v>
      </c>
      <c r="I59" s="102" t="s">
        <v>227</v>
      </c>
      <c r="J59" s="59" t="s">
        <v>241</v>
      </c>
      <c r="K59" s="59" t="s">
        <v>242</v>
      </c>
      <c r="L59" s="36" t="s">
        <v>44</v>
      </c>
      <c r="M59" s="59" t="s">
        <v>131</v>
      </c>
      <c r="N59" s="60" t="s">
        <v>132</v>
      </c>
      <c r="O59" s="39" t="s">
        <v>228</v>
      </c>
      <c r="P59" s="72" t="s">
        <v>305</v>
      </c>
      <c r="Q59" s="633" t="s">
        <v>306</v>
      </c>
      <c r="R59" s="634" t="s">
        <v>307</v>
      </c>
      <c r="S59" s="633"/>
      <c r="T59" s="333">
        <v>1500000000</v>
      </c>
      <c r="U59" s="551">
        <v>1500000000</v>
      </c>
      <c r="V59" s="614"/>
      <c r="W59" s="664">
        <v>1500000000</v>
      </c>
      <c r="X59" s="431"/>
      <c r="Y59" s="664">
        <f t="shared" si="4"/>
        <v>1500000000</v>
      </c>
      <c r="Z59" s="334"/>
      <c r="AA59" s="430">
        <f t="shared" si="3"/>
        <v>0</v>
      </c>
      <c r="AB59" s="334"/>
      <c r="AC59" s="334"/>
    </row>
    <row r="60" spans="1:29" s="40" customFormat="1" ht="70.349999999999994" customHeight="1" x14ac:dyDescent="0.25">
      <c r="A60" s="100" t="s">
        <v>221</v>
      </c>
      <c r="B60" s="21" t="s">
        <v>222</v>
      </c>
      <c r="C60" s="103">
        <v>2020110010206</v>
      </c>
      <c r="D60" s="43" t="s">
        <v>223</v>
      </c>
      <c r="E60" s="43" t="s">
        <v>224</v>
      </c>
      <c r="F60" s="72" t="s">
        <v>225</v>
      </c>
      <c r="G60" s="55"/>
      <c r="H60" s="104"/>
      <c r="I60" s="102"/>
      <c r="J60" s="59"/>
      <c r="K60" s="59" t="s">
        <v>234</v>
      </c>
      <c r="L60" s="36" t="s">
        <v>44</v>
      </c>
      <c r="M60" s="59" t="s">
        <v>131</v>
      </c>
      <c r="N60" s="60" t="s">
        <v>132</v>
      </c>
      <c r="O60" s="39" t="s">
        <v>228</v>
      </c>
      <c r="P60" s="72" t="s">
        <v>308</v>
      </c>
      <c r="Q60" s="633"/>
      <c r="R60" s="634"/>
      <c r="S60" s="633"/>
      <c r="T60" s="333"/>
      <c r="U60" s="551"/>
      <c r="V60" s="551">
        <v>292893954</v>
      </c>
      <c r="W60" s="664">
        <f>+V60</f>
        <v>292893954</v>
      </c>
      <c r="X60" s="431"/>
      <c r="Y60" s="431"/>
      <c r="Z60" s="334"/>
      <c r="AA60" s="430"/>
      <c r="AB60" s="334"/>
      <c r="AC60" s="334"/>
    </row>
    <row r="61" spans="1:29" s="40" customFormat="1" ht="70.349999999999994" customHeight="1" x14ac:dyDescent="0.25">
      <c r="A61" s="100" t="s">
        <v>221</v>
      </c>
      <c r="B61" s="21" t="s">
        <v>222</v>
      </c>
      <c r="C61" s="103">
        <v>2020110010206</v>
      </c>
      <c r="D61" s="106" t="s">
        <v>223</v>
      </c>
      <c r="E61" s="43" t="s">
        <v>257</v>
      </c>
      <c r="F61" s="72" t="s">
        <v>225</v>
      </c>
      <c r="G61" s="54" t="s">
        <v>68</v>
      </c>
      <c r="H61" s="104" t="s">
        <v>69</v>
      </c>
      <c r="I61" s="107" t="s">
        <v>309</v>
      </c>
      <c r="J61" s="59" t="s">
        <v>241</v>
      </c>
      <c r="K61" s="59" t="s">
        <v>242</v>
      </c>
      <c r="L61" s="36" t="s">
        <v>44</v>
      </c>
      <c r="M61" s="37" t="s">
        <v>45</v>
      </c>
      <c r="N61" s="60" t="s">
        <v>310</v>
      </c>
      <c r="O61" s="39" t="s">
        <v>228</v>
      </c>
      <c r="P61" s="72" t="s">
        <v>311</v>
      </c>
      <c r="Q61" s="100" t="s">
        <v>312</v>
      </c>
      <c r="R61" s="635" t="s">
        <v>313</v>
      </c>
      <c r="S61" s="100"/>
      <c r="T61" s="333">
        <v>7800000000</v>
      </c>
      <c r="U61" s="551">
        <v>7800000000</v>
      </c>
      <c r="V61" s="614"/>
      <c r="W61" s="664">
        <v>7800000000</v>
      </c>
      <c r="X61" s="431">
        <v>2500000000</v>
      </c>
      <c r="Y61" s="431">
        <f t="shared" si="4"/>
        <v>5300000000</v>
      </c>
      <c r="Z61" s="334"/>
      <c r="AA61" s="430">
        <f t="shared" si="3"/>
        <v>0</v>
      </c>
      <c r="AB61" s="334"/>
      <c r="AC61" s="336" t="s">
        <v>314</v>
      </c>
    </row>
    <row r="62" spans="1:29" s="40" customFormat="1" ht="70.349999999999994" customHeight="1" x14ac:dyDescent="0.25">
      <c r="A62" s="100" t="s">
        <v>221</v>
      </c>
      <c r="B62" s="21" t="s">
        <v>222</v>
      </c>
      <c r="C62" s="103">
        <v>2020110010206</v>
      </c>
      <c r="D62" s="106" t="s">
        <v>223</v>
      </c>
      <c r="E62" s="43" t="s">
        <v>257</v>
      </c>
      <c r="F62" s="72" t="s">
        <v>225</v>
      </c>
      <c r="G62" s="55" t="s">
        <v>315</v>
      </c>
      <c r="H62" s="55" t="s">
        <v>316</v>
      </c>
      <c r="I62" s="102" t="s">
        <v>317</v>
      </c>
      <c r="J62" s="39" t="s">
        <v>116</v>
      </c>
      <c r="K62" s="39" t="s">
        <v>43</v>
      </c>
      <c r="L62" s="36" t="s">
        <v>44</v>
      </c>
      <c r="M62" s="37" t="s">
        <v>45</v>
      </c>
      <c r="N62" s="38" t="s">
        <v>46</v>
      </c>
      <c r="O62" s="39" t="s">
        <v>228</v>
      </c>
      <c r="P62" s="72" t="s">
        <v>318</v>
      </c>
      <c r="Q62" s="636" t="s">
        <v>319</v>
      </c>
      <c r="R62" s="637" t="s">
        <v>320</v>
      </c>
      <c r="S62" s="633"/>
      <c r="T62" s="333">
        <v>1000000000</v>
      </c>
      <c r="U62" s="333">
        <v>1000000000</v>
      </c>
      <c r="V62" s="674">
        <v>-782047200</v>
      </c>
      <c r="W62" s="333">
        <f>+U62+V62</f>
        <v>217952800</v>
      </c>
      <c r="X62" s="431">
        <f>9000000</f>
        <v>9000000</v>
      </c>
      <c r="Y62" s="431">
        <f t="shared" si="4"/>
        <v>208952800</v>
      </c>
      <c r="Z62" s="431">
        <v>9000000</v>
      </c>
      <c r="AA62" s="430">
        <f t="shared" si="3"/>
        <v>4.1293344247011282E-2</v>
      </c>
      <c r="AB62" s="431">
        <v>8374800</v>
      </c>
      <c r="AC62" s="336" t="s">
        <v>321</v>
      </c>
    </row>
    <row r="63" spans="1:29" s="40" customFormat="1" ht="129.75" customHeight="1" x14ac:dyDescent="0.25">
      <c r="A63" s="100" t="s">
        <v>221</v>
      </c>
      <c r="B63" s="21" t="s">
        <v>222</v>
      </c>
      <c r="C63" s="103">
        <v>2020110010206</v>
      </c>
      <c r="D63" s="106" t="s">
        <v>223</v>
      </c>
      <c r="E63" s="43" t="s">
        <v>257</v>
      </c>
      <c r="F63" s="72" t="s">
        <v>225</v>
      </c>
      <c r="G63" s="55" t="s">
        <v>315</v>
      </c>
      <c r="H63" s="55" t="s">
        <v>316</v>
      </c>
      <c r="I63" s="102" t="s">
        <v>317</v>
      </c>
      <c r="J63" s="39" t="s">
        <v>116</v>
      </c>
      <c r="K63" s="39" t="s">
        <v>43</v>
      </c>
      <c r="L63" s="36" t="s">
        <v>44</v>
      </c>
      <c r="M63" s="37" t="s">
        <v>45</v>
      </c>
      <c r="N63" s="38" t="s">
        <v>46</v>
      </c>
      <c r="O63" s="39" t="s">
        <v>228</v>
      </c>
      <c r="P63" s="60" t="s">
        <v>322</v>
      </c>
      <c r="Q63" s="638" t="s">
        <v>323</v>
      </c>
      <c r="R63" s="639" t="s">
        <v>324</v>
      </c>
      <c r="S63" s="640"/>
      <c r="T63" s="333">
        <v>135000000</v>
      </c>
      <c r="U63" s="551">
        <v>135000000</v>
      </c>
      <c r="V63" s="614"/>
      <c r="W63" s="431">
        <v>135000000</v>
      </c>
      <c r="X63" s="431">
        <v>182717360</v>
      </c>
      <c r="Y63" s="431">
        <f t="shared" si="4"/>
        <v>-47717360</v>
      </c>
      <c r="Z63" s="350">
        <v>64764560</v>
      </c>
      <c r="AA63" s="430">
        <f t="shared" si="3"/>
        <v>0.47973748148148149</v>
      </c>
      <c r="AB63" s="350">
        <v>64764560</v>
      </c>
      <c r="AC63" s="432" t="s">
        <v>325</v>
      </c>
    </row>
    <row r="64" spans="1:29" s="40" customFormat="1" ht="147.75" customHeight="1" x14ac:dyDescent="0.25">
      <c r="A64" s="100" t="s">
        <v>221</v>
      </c>
      <c r="B64" s="21" t="s">
        <v>222</v>
      </c>
      <c r="C64" s="103">
        <v>2020110010206</v>
      </c>
      <c r="D64" s="43" t="s">
        <v>223</v>
      </c>
      <c r="E64" s="43" t="s">
        <v>236</v>
      </c>
      <c r="F64" s="72" t="s">
        <v>225</v>
      </c>
      <c r="G64" s="55" t="s">
        <v>315</v>
      </c>
      <c r="H64" s="55" t="s">
        <v>316</v>
      </c>
      <c r="I64" s="107" t="s">
        <v>141</v>
      </c>
      <c r="J64" s="39" t="s">
        <v>116</v>
      </c>
      <c r="K64" s="39" t="s">
        <v>43</v>
      </c>
      <c r="L64" s="36" t="s">
        <v>44</v>
      </c>
      <c r="M64" s="37" t="s">
        <v>45</v>
      </c>
      <c r="N64" s="38" t="s">
        <v>63</v>
      </c>
      <c r="O64" s="302" t="s">
        <v>228</v>
      </c>
      <c r="P64" s="641" t="s">
        <v>326</v>
      </c>
      <c r="Q64" s="623" t="s">
        <v>327</v>
      </c>
      <c r="R64" s="623" t="s">
        <v>328</v>
      </c>
      <c r="S64" s="642"/>
      <c r="T64" s="333">
        <v>1200000000</v>
      </c>
      <c r="U64" s="551">
        <v>1200000000</v>
      </c>
      <c r="V64" s="614"/>
      <c r="W64" s="431">
        <v>1200000000</v>
      </c>
      <c r="X64" s="664">
        <v>884520000</v>
      </c>
      <c r="Y64" s="431">
        <f t="shared" si="4"/>
        <v>315480000</v>
      </c>
      <c r="Z64" s="664">
        <v>842020000</v>
      </c>
      <c r="AA64" s="430">
        <f t="shared" si="3"/>
        <v>0.70168333333333333</v>
      </c>
      <c r="AB64" s="348">
        <f>33476667+54220000+72599999</f>
        <v>160296666</v>
      </c>
      <c r="AC64" s="345" t="s">
        <v>329</v>
      </c>
    </row>
    <row r="65" spans="1:29" s="40" customFormat="1" ht="70.349999999999994" customHeight="1" x14ac:dyDescent="0.25">
      <c r="A65" s="100" t="s">
        <v>221</v>
      </c>
      <c r="B65" s="21" t="s">
        <v>222</v>
      </c>
      <c r="C65" s="103">
        <v>2020110010206</v>
      </c>
      <c r="D65" s="106" t="s">
        <v>223</v>
      </c>
      <c r="E65" s="43" t="s">
        <v>257</v>
      </c>
      <c r="F65" s="72" t="s">
        <v>225</v>
      </c>
      <c r="G65" s="55"/>
      <c r="H65" s="55"/>
      <c r="I65" s="107"/>
      <c r="J65" s="39" t="s">
        <v>116</v>
      </c>
      <c r="K65" s="39" t="s">
        <v>43</v>
      </c>
      <c r="L65" s="36" t="s">
        <v>44</v>
      </c>
      <c r="M65" s="37" t="s">
        <v>45</v>
      </c>
      <c r="N65" s="38" t="s">
        <v>63</v>
      </c>
      <c r="O65" s="39" t="s">
        <v>228</v>
      </c>
      <c r="P65" s="31" t="s">
        <v>260</v>
      </c>
      <c r="Q65" s="552" t="s">
        <v>330</v>
      </c>
      <c r="R65" s="553" t="s">
        <v>331</v>
      </c>
      <c r="S65" s="61"/>
      <c r="T65" s="352"/>
      <c r="U65" s="551"/>
      <c r="V65" s="551">
        <f>480000000-110000000+86532000+110000000</f>
        <v>566532000</v>
      </c>
      <c r="W65" s="431">
        <f>+V65</f>
        <v>566532000</v>
      </c>
      <c r="X65" s="664">
        <v>566352000</v>
      </c>
      <c r="Y65" s="437">
        <f t="shared" si="4"/>
        <v>180000</v>
      </c>
      <c r="Z65" s="431"/>
      <c r="AA65" s="430"/>
      <c r="AB65" s="334"/>
      <c r="AC65" s="345"/>
    </row>
    <row r="66" spans="1:29" s="40" customFormat="1" ht="70.349999999999994" customHeight="1" x14ac:dyDescent="0.25">
      <c r="A66" s="100" t="s">
        <v>221</v>
      </c>
      <c r="B66" s="21" t="s">
        <v>222</v>
      </c>
      <c r="C66" s="103">
        <v>2020110010206</v>
      </c>
      <c r="D66" s="43" t="s">
        <v>223</v>
      </c>
      <c r="E66" s="43" t="s">
        <v>269</v>
      </c>
      <c r="F66" s="72" t="s">
        <v>225</v>
      </c>
      <c r="G66" s="54" t="s">
        <v>53</v>
      </c>
      <c r="H66" s="55" t="s">
        <v>332</v>
      </c>
      <c r="I66" s="102" t="s">
        <v>333</v>
      </c>
      <c r="J66" s="39" t="s">
        <v>116</v>
      </c>
      <c r="K66" s="39" t="s">
        <v>43</v>
      </c>
      <c r="L66" s="36" t="s">
        <v>44</v>
      </c>
      <c r="M66" s="59" t="s">
        <v>131</v>
      </c>
      <c r="N66" s="39" t="s">
        <v>255</v>
      </c>
      <c r="O66" s="39" t="s">
        <v>228</v>
      </c>
      <c r="P66" s="60" t="s">
        <v>334</v>
      </c>
      <c r="Q66" s="567" t="s">
        <v>335</v>
      </c>
      <c r="R66" s="643" t="s">
        <v>336</v>
      </c>
      <c r="S66" s="100"/>
      <c r="T66" s="333">
        <v>540000000</v>
      </c>
      <c r="U66" s="551">
        <v>540000000</v>
      </c>
      <c r="V66" s="614"/>
      <c r="W66" s="664">
        <v>540000000</v>
      </c>
      <c r="X66" s="664">
        <v>301405000</v>
      </c>
      <c r="Y66" s="431">
        <f t="shared" si="4"/>
        <v>238595000</v>
      </c>
      <c r="Z66" s="334"/>
      <c r="AA66" s="430">
        <f t="shared" si="3"/>
        <v>0</v>
      </c>
      <c r="AB66" s="334"/>
      <c r="AC66" s="336" t="s">
        <v>337</v>
      </c>
    </row>
    <row r="67" spans="1:29" s="40" customFormat="1" ht="70.349999999999994" customHeight="1" x14ac:dyDescent="0.25">
      <c r="A67" s="100" t="s">
        <v>221</v>
      </c>
      <c r="B67" s="21" t="s">
        <v>222</v>
      </c>
      <c r="C67" s="103">
        <v>2020110010206</v>
      </c>
      <c r="D67" s="106" t="s">
        <v>223</v>
      </c>
      <c r="E67" s="43" t="s">
        <v>224</v>
      </c>
      <c r="F67" s="72" t="s">
        <v>225</v>
      </c>
      <c r="G67" s="54" t="s">
        <v>53</v>
      </c>
      <c r="H67" s="55" t="s">
        <v>264</v>
      </c>
      <c r="I67" s="102" t="s">
        <v>338</v>
      </c>
      <c r="J67" s="39" t="s">
        <v>116</v>
      </c>
      <c r="K67" s="39" t="s">
        <v>43</v>
      </c>
      <c r="L67" s="36" t="s">
        <v>44</v>
      </c>
      <c r="M67" s="37" t="s">
        <v>45</v>
      </c>
      <c r="N67" s="38" t="s">
        <v>46</v>
      </c>
      <c r="O67" s="39" t="s">
        <v>228</v>
      </c>
      <c r="P67" s="72" t="s">
        <v>339</v>
      </c>
      <c r="Q67" s="644" t="s">
        <v>340</v>
      </c>
      <c r="R67" s="645" t="s">
        <v>341</v>
      </c>
      <c r="S67" s="633"/>
      <c r="T67" s="333">
        <v>206400000</v>
      </c>
      <c r="U67" s="551">
        <v>206400000</v>
      </c>
      <c r="V67" s="614"/>
      <c r="W67" s="431">
        <v>206400000</v>
      </c>
      <c r="X67" s="431"/>
      <c r="Y67" s="431">
        <f t="shared" si="4"/>
        <v>206400000</v>
      </c>
      <c r="Z67" s="334"/>
      <c r="AA67" s="430">
        <f t="shared" si="3"/>
        <v>0</v>
      </c>
      <c r="AB67" s="334"/>
      <c r="AC67" s="334"/>
    </row>
    <row r="68" spans="1:29" s="40" customFormat="1" ht="70.349999999999994" customHeight="1" x14ac:dyDescent="0.25">
      <c r="A68" s="100" t="s">
        <v>221</v>
      </c>
      <c r="B68" s="21" t="s">
        <v>222</v>
      </c>
      <c r="C68" s="103">
        <v>2020110010206</v>
      </c>
      <c r="D68" s="113" t="s">
        <v>342</v>
      </c>
      <c r="E68" s="113" t="s">
        <v>343</v>
      </c>
      <c r="F68" s="332" t="s">
        <v>225</v>
      </c>
      <c r="G68" s="54" t="s">
        <v>68</v>
      </c>
      <c r="H68" s="55" t="s">
        <v>69</v>
      </c>
      <c r="I68" s="102" t="s">
        <v>309</v>
      </c>
      <c r="J68" s="39" t="s">
        <v>43</v>
      </c>
      <c r="K68" s="39" t="s">
        <v>43</v>
      </c>
      <c r="L68" s="36" t="s">
        <v>44</v>
      </c>
      <c r="M68" s="37" t="s">
        <v>45</v>
      </c>
      <c r="N68" s="60" t="s">
        <v>310</v>
      </c>
      <c r="O68" s="39" t="s">
        <v>344</v>
      </c>
      <c r="P68" s="39" t="s">
        <v>345</v>
      </c>
      <c r="Q68" s="646"/>
      <c r="R68" s="646"/>
      <c r="S68" s="646"/>
      <c r="T68" s="333">
        <v>990856000</v>
      </c>
      <c r="U68" s="551">
        <v>990856000</v>
      </c>
      <c r="V68" s="617">
        <v>690856000</v>
      </c>
      <c r="W68" s="664">
        <f>+U68-V68</f>
        <v>300000000</v>
      </c>
      <c r="X68" s="664">
        <v>508043049</v>
      </c>
      <c r="Y68" s="431">
        <f t="shared" si="4"/>
        <v>-208043049</v>
      </c>
      <c r="Z68" s="664">
        <v>244249000</v>
      </c>
      <c r="AA68" s="430">
        <f t="shared" si="3"/>
        <v>0.81416333333333335</v>
      </c>
      <c r="AB68" s="667">
        <v>62451000</v>
      </c>
      <c r="AC68" s="215" t="s">
        <v>346</v>
      </c>
    </row>
    <row r="69" spans="1:29" s="40" customFormat="1" ht="70.349999999999994" customHeight="1" x14ac:dyDescent="0.25">
      <c r="A69" s="100" t="s">
        <v>221</v>
      </c>
      <c r="B69" s="21" t="s">
        <v>222</v>
      </c>
      <c r="C69" s="103">
        <v>2020110010206</v>
      </c>
      <c r="D69" s="113" t="s">
        <v>342</v>
      </c>
      <c r="E69" s="113" t="s">
        <v>343</v>
      </c>
      <c r="F69" s="332" t="s">
        <v>225</v>
      </c>
      <c r="G69" s="54" t="s">
        <v>68</v>
      </c>
      <c r="H69" s="55" t="s">
        <v>69</v>
      </c>
      <c r="I69" s="102" t="s">
        <v>309</v>
      </c>
      <c r="J69" s="39" t="s">
        <v>43</v>
      </c>
      <c r="K69" s="39" t="s">
        <v>43</v>
      </c>
      <c r="L69" s="36" t="s">
        <v>44</v>
      </c>
      <c r="M69" s="37" t="s">
        <v>45</v>
      </c>
      <c r="N69" s="60" t="s">
        <v>310</v>
      </c>
      <c r="O69" s="39" t="s">
        <v>344</v>
      </c>
      <c r="P69" s="114" t="s">
        <v>347</v>
      </c>
      <c r="Q69" s="647" t="s">
        <v>348</v>
      </c>
      <c r="R69" s="648" t="s">
        <v>349</v>
      </c>
      <c r="S69" s="649"/>
      <c r="T69" s="333">
        <v>1500000000</v>
      </c>
      <c r="U69" s="551">
        <v>1500000000</v>
      </c>
      <c r="V69" s="614"/>
      <c r="W69" s="664">
        <v>1500000000</v>
      </c>
      <c r="X69" s="665">
        <v>563008205</v>
      </c>
      <c r="Y69" s="431">
        <f t="shared" si="4"/>
        <v>936991795</v>
      </c>
      <c r="Z69" s="664">
        <v>563008205</v>
      </c>
      <c r="AA69" s="430">
        <f t="shared" si="3"/>
        <v>0.37533880333333336</v>
      </c>
      <c r="AB69" s="348">
        <v>225203282</v>
      </c>
      <c r="AC69" s="215" t="s">
        <v>350</v>
      </c>
    </row>
    <row r="70" spans="1:29" s="40" customFormat="1" ht="199.5" customHeight="1" x14ac:dyDescent="0.25">
      <c r="A70" s="100" t="s">
        <v>221</v>
      </c>
      <c r="B70" s="21" t="s">
        <v>222</v>
      </c>
      <c r="C70" s="103">
        <v>2020110010206</v>
      </c>
      <c r="D70" s="113" t="s">
        <v>342</v>
      </c>
      <c r="E70" s="113" t="s">
        <v>351</v>
      </c>
      <c r="F70" s="72" t="s">
        <v>225</v>
      </c>
      <c r="G70" s="54" t="s">
        <v>60</v>
      </c>
      <c r="H70" s="55" t="s">
        <v>352</v>
      </c>
      <c r="I70" s="102" t="s">
        <v>353</v>
      </c>
      <c r="J70" s="39" t="s">
        <v>43</v>
      </c>
      <c r="K70" s="39" t="s">
        <v>43</v>
      </c>
      <c r="L70" s="36" t="s">
        <v>44</v>
      </c>
      <c r="M70" s="37" t="s">
        <v>45</v>
      </c>
      <c r="N70" s="108" t="s">
        <v>63</v>
      </c>
      <c r="O70" s="39" t="s">
        <v>344</v>
      </c>
      <c r="P70" s="60" t="s">
        <v>354</v>
      </c>
      <c r="Q70" s="567" t="s">
        <v>355</v>
      </c>
      <c r="R70" s="643" t="s">
        <v>356</v>
      </c>
      <c r="S70" s="633"/>
      <c r="T70" s="333">
        <v>1250000000</v>
      </c>
      <c r="U70" s="551">
        <v>1250000000</v>
      </c>
      <c r="V70" s="614"/>
      <c r="W70" s="431">
        <v>1250000000</v>
      </c>
      <c r="X70" s="431">
        <v>1509622958</v>
      </c>
      <c r="Y70" s="431">
        <f t="shared" si="4"/>
        <v>-259622958</v>
      </c>
      <c r="Z70" s="334"/>
      <c r="AA70" s="430">
        <f t="shared" si="3"/>
        <v>0</v>
      </c>
      <c r="AB70" s="334"/>
      <c r="AC70" s="631" t="s">
        <v>357</v>
      </c>
    </row>
    <row r="71" spans="1:29" s="40" customFormat="1" ht="105" customHeight="1" x14ac:dyDescent="0.25">
      <c r="A71" s="100" t="s">
        <v>221</v>
      </c>
      <c r="B71" s="21" t="s">
        <v>222</v>
      </c>
      <c r="C71" s="103">
        <v>2020110010206</v>
      </c>
      <c r="D71" s="113" t="s">
        <v>358</v>
      </c>
      <c r="E71" s="113" t="s">
        <v>359</v>
      </c>
      <c r="F71" s="72" t="s">
        <v>225</v>
      </c>
      <c r="G71" s="54" t="s">
        <v>60</v>
      </c>
      <c r="H71" s="55" t="s">
        <v>61</v>
      </c>
      <c r="I71" s="102" t="s">
        <v>141</v>
      </c>
      <c r="J71" s="39" t="s">
        <v>43</v>
      </c>
      <c r="K71" s="39" t="s">
        <v>43</v>
      </c>
      <c r="L71" s="36" t="s">
        <v>44</v>
      </c>
      <c r="M71" s="37" t="s">
        <v>45</v>
      </c>
      <c r="N71" s="38" t="s">
        <v>63</v>
      </c>
      <c r="O71" s="39" t="s">
        <v>344</v>
      </c>
      <c r="P71" s="650" t="s">
        <v>360</v>
      </c>
      <c r="Q71" s="647" t="s">
        <v>361</v>
      </c>
      <c r="R71" s="648" t="s">
        <v>362</v>
      </c>
      <c r="S71" s="647" t="s">
        <v>363</v>
      </c>
      <c r="T71" s="333">
        <v>1261170350</v>
      </c>
      <c r="U71" s="651">
        <v>1261170350</v>
      </c>
      <c r="V71" s="614"/>
      <c r="W71" s="541">
        <f>+U71</f>
        <v>1261170350</v>
      </c>
      <c r="X71" s="541">
        <v>1256227574</v>
      </c>
      <c r="Y71" s="541">
        <f t="shared" si="4"/>
        <v>4942776</v>
      </c>
      <c r="Z71" s="353">
        <f>57000000+909355910+221545664+68326000</f>
        <v>1256227574</v>
      </c>
      <c r="AA71" s="354">
        <f t="shared" si="3"/>
        <v>0.99608080224848294</v>
      </c>
      <c r="AB71" s="353">
        <f>24180000+77460675+135769784+143735889</f>
        <v>381146348</v>
      </c>
      <c r="AC71" s="432" t="s">
        <v>364</v>
      </c>
    </row>
    <row r="72" spans="1:29" s="40" customFormat="1" ht="70.349999999999994" customHeight="1" x14ac:dyDescent="0.25">
      <c r="A72" s="100" t="s">
        <v>221</v>
      </c>
      <c r="B72" s="21" t="s">
        <v>222</v>
      </c>
      <c r="C72" s="103">
        <v>2020110010206</v>
      </c>
      <c r="D72" s="113" t="s">
        <v>342</v>
      </c>
      <c r="E72" s="113" t="s">
        <v>351</v>
      </c>
      <c r="F72" s="72" t="s">
        <v>225</v>
      </c>
      <c r="G72" s="55" t="s">
        <v>40</v>
      </c>
      <c r="H72" s="55" t="s">
        <v>365</v>
      </c>
      <c r="I72" s="102" t="s">
        <v>227</v>
      </c>
      <c r="J72" s="39" t="s">
        <v>43</v>
      </c>
      <c r="K72" s="39" t="s">
        <v>43</v>
      </c>
      <c r="L72" s="39" t="s">
        <v>149</v>
      </c>
      <c r="M72" s="39" t="s">
        <v>150</v>
      </c>
      <c r="N72" s="72" t="s">
        <v>251</v>
      </c>
      <c r="O72" s="39" t="s">
        <v>344</v>
      </c>
      <c r="P72" s="60" t="s">
        <v>366</v>
      </c>
      <c r="Q72" s="618" t="s">
        <v>97</v>
      </c>
      <c r="R72" s="618" t="s">
        <v>97</v>
      </c>
      <c r="S72" s="633"/>
      <c r="T72" s="333">
        <v>3000000</v>
      </c>
      <c r="U72" s="651">
        <v>3000000</v>
      </c>
      <c r="V72" s="614"/>
      <c r="W72" s="664">
        <v>3000000</v>
      </c>
      <c r="X72" s="672">
        <v>2000000</v>
      </c>
      <c r="Y72" s="348">
        <f t="shared" si="4"/>
        <v>1000000</v>
      </c>
      <c r="Z72" s="652">
        <f>196142-35446</f>
        <v>160696</v>
      </c>
      <c r="AA72" s="653">
        <f>+Z72/W72</f>
        <v>5.3565333333333333E-2</v>
      </c>
      <c r="AB72" s="652">
        <f>108350+16900+70892-35446</f>
        <v>160696</v>
      </c>
      <c r="AC72" s="432" t="s">
        <v>367</v>
      </c>
    </row>
    <row r="73" spans="1:29" s="40" customFormat="1" ht="70.349999999999994" customHeight="1" x14ac:dyDescent="0.25">
      <c r="A73" s="100" t="s">
        <v>221</v>
      </c>
      <c r="B73" s="21" t="s">
        <v>222</v>
      </c>
      <c r="C73" s="103">
        <v>2020110010206</v>
      </c>
      <c r="D73" s="113" t="s">
        <v>342</v>
      </c>
      <c r="E73" s="113" t="s">
        <v>351</v>
      </c>
      <c r="F73" s="72" t="s">
        <v>225</v>
      </c>
      <c r="G73" s="54" t="s">
        <v>68</v>
      </c>
      <c r="H73" s="55" t="s">
        <v>69</v>
      </c>
      <c r="I73" s="107" t="s">
        <v>309</v>
      </c>
      <c r="J73" s="39" t="s">
        <v>43</v>
      </c>
      <c r="K73" s="39" t="s">
        <v>43</v>
      </c>
      <c r="L73" s="36" t="s">
        <v>44</v>
      </c>
      <c r="M73" s="37" t="s">
        <v>45</v>
      </c>
      <c r="N73" s="60" t="s">
        <v>310</v>
      </c>
      <c r="O73" s="39" t="s">
        <v>344</v>
      </c>
      <c r="P73" s="60" t="s">
        <v>368</v>
      </c>
      <c r="Q73" s="640" t="s">
        <v>369</v>
      </c>
      <c r="R73" s="654" t="s">
        <v>370</v>
      </c>
      <c r="S73" s="100"/>
      <c r="T73" s="333">
        <v>1911553000</v>
      </c>
      <c r="U73" s="551">
        <v>1911553000</v>
      </c>
      <c r="V73" s="614"/>
      <c r="W73" s="664">
        <v>1911553000</v>
      </c>
      <c r="X73" s="664"/>
      <c r="Y73" s="431">
        <f t="shared" si="4"/>
        <v>1911553000</v>
      </c>
      <c r="Z73" s="666"/>
      <c r="AA73" s="430">
        <f t="shared" si="3"/>
        <v>0</v>
      </c>
      <c r="AB73" s="334"/>
      <c r="AC73" s="334"/>
    </row>
    <row r="74" spans="1:29" s="40" customFormat="1" ht="143.25" customHeight="1" x14ac:dyDescent="0.25">
      <c r="A74" s="100" t="s">
        <v>221</v>
      </c>
      <c r="B74" s="21" t="s">
        <v>222</v>
      </c>
      <c r="C74" s="103">
        <v>2020110010206</v>
      </c>
      <c r="D74" s="113" t="s">
        <v>342</v>
      </c>
      <c r="E74" s="113" t="s">
        <v>351</v>
      </c>
      <c r="F74" s="72" t="s">
        <v>225</v>
      </c>
      <c r="G74" s="54" t="s">
        <v>60</v>
      </c>
      <c r="H74" s="55" t="s">
        <v>61</v>
      </c>
      <c r="I74" s="102" t="s">
        <v>141</v>
      </c>
      <c r="J74" s="39" t="s">
        <v>43</v>
      </c>
      <c r="K74" s="39" t="s">
        <v>43</v>
      </c>
      <c r="L74" s="36" t="s">
        <v>44</v>
      </c>
      <c r="M74" s="37" t="s">
        <v>45</v>
      </c>
      <c r="N74" s="108" t="s">
        <v>63</v>
      </c>
      <c r="O74" s="39" t="s">
        <v>344</v>
      </c>
      <c r="P74" s="650" t="s">
        <v>360</v>
      </c>
      <c r="Q74" s="647" t="s">
        <v>371</v>
      </c>
      <c r="R74" s="648" t="s">
        <v>372</v>
      </c>
      <c r="S74" s="649"/>
      <c r="T74" s="333">
        <v>1120174650</v>
      </c>
      <c r="U74" s="333">
        <v>1120174650</v>
      </c>
      <c r="V74" s="350">
        <v>690856000</v>
      </c>
      <c r="W74" s="333">
        <f>+U74+V74</f>
        <v>1811030650</v>
      </c>
      <c r="X74" s="431">
        <v>1477954766</v>
      </c>
      <c r="Y74" s="541">
        <f>+W74-X74</f>
        <v>333075884</v>
      </c>
      <c r="Z74" s="541">
        <v>1244503610</v>
      </c>
      <c r="AA74" s="354">
        <f>+Z74/W74</f>
        <v>0.68717976142479975</v>
      </c>
      <c r="AB74" s="541">
        <f>12988491+90417581</f>
        <v>103406072</v>
      </c>
      <c r="AC74" s="336" t="s">
        <v>373</v>
      </c>
    </row>
    <row r="75" spans="1:29" s="40" customFormat="1" ht="70.349999999999994" customHeight="1" x14ac:dyDescent="0.25">
      <c r="A75" s="100" t="s">
        <v>221</v>
      </c>
      <c r="B75" s="21" t="s">
        <v>222</v>
      </c>
      <c r="C75" s="103">
        <v>2020110010206</v>
      </c>
      <c r="D75" s="113" t="s">
        <v>358</v>
      </c>
      <c r="E75" s="113" t="s">
        <v>374</v>
      </c>
      <c r="F75" s="72" t="s">
        <v>225</v>
      </c>
      <c r="G75" s="54" t="s">
        <v>68</v>
      </c>
      <c r="H75" s="55" t="s">
        <v>69</v>
      </c>
      <c r="I75" s="102" t="s">
        <v>309</v>
      </c>
      <c r="J75" s="39" t="s">
        <v>43</v>
      </c>
      <c r="K75" s="39" t="s">
        <v>43</v>
      </c>
      <c r="L75" s="36" t="s">
        <v>44</v>
      </c>
      <c r="M75" s="37" t="s">
        <v>45</v>
      </c>
      <c r="N75" s="60" t="s">
        <v>310</v>
      </c>
      <c r="O75" s="39" t="s">
        <v>344</v>
      </c>
      <c r="P75" s="655" t="s">
        <v>375</v>
      </c>
      <c r="Q75" s="656" t="s">
        <v>376</v>
      </c>
      <c r="R75" s="657" t="s">
        <v>377</v>
      </c>
      <c r="S75" s="658"/>
      <c r="T75" s="333">
        <v>450000000</v>
      </c>
      <c r="U75" s="551">
        <v>450000000</v>
      </c>
      <c r="V75" s="614"/>
      <c r="W75" s="664">
        <v>450000000</v>
      </c>
      <c r="X75" s="664">
        <v>200000000</v>
      </c>
      <c r="Y75" s="431">
        <f t="shared" si="4"/>
        <v>250000000</v>
      </c>
      <c r="Z75" s="664"/>
      <c r="AA75" s="430">
        <f t="shared" si="3"/>
        <v>0</v>
      </c>
      <c r="AB75" s="334"/>
      <c r="AC75" s="334"/>
    </row>
    <row r="76" spans="1:29" s="40" customFormat="1" ht="70.349999999999994" customHeight="1" x14ac:dyDescent="0.25">
      <c r="A76" s="100" t="s">
        <v>221</v>
      </c>
      <c r="B76" s="21" t="s">
        <v>222</v>
      </c>
      <c r="C76" s="103">
        <v>2020110010206</v>
      </c>
      <c r="D76" s="113" t="s">
        <v>378</v>
      </c>
      <c r="E76" s="140" t="s">
        <v>379</v>
      </c>
      <c r="F76" s="72" t="s">
        <v>225</v>
      </c>
      <c r="G76" s="54" t="s">
        <v>68</v>
      </c>
      <c r="H76" s="55" t="s">
        <v>69</v>
      </c>
      <c r="I76" s="102" t="s">
        <v>309</v>
      </c>
      <c r="J76" s="39" t="s">
        <v>43</v>
      </c>
      <c r="K76" s="39" t="s">
        <v>43</v>
      </c>
      <c r="L76" s="36" t="s">
        <v>44</v>
      </c>
      <c r="M76" s="37" t="s">
        <v>45</v>
      </c>
      <c r="N76" s="60" t="s">
        <v>310</v>
      </c>
      <c r="O76" s="39" t="s">
        <v>344</v>
      </c>
      <c r="P76" s="39" t="s">
        <v>380</v>
      </c>
      <c r="Q76" s="644" t="s">
        <v>381</v>
      </c>
      <c r="R76" s="645" t="s">
        <v>382</v>
      </c>
      <c r="S76" s="21"/>
      <c r="T76" s="333">
        <v>300000000</v>
      </c>
      <c r="U76" s="551">
        <v>300000000</v>
      </c>
      <c r="V76" s="614"/>
      <c r="W76" s="664">
        <v>300000000</v>
      </c>
      <c r="X76" s="664"/>
      <c r="Y76" s="431">
        <f t="shared" si="4"/>
        <v>300000000</v>
      </c>
      <c r="Z76" s="666"/>
      <c r="AA76" s="430">
        <f t="shared" si="3"/>
        <v>0</v>
      </c>
      <c r="AB76" s="334"/>
      <c r="AC76" s="334"/>
    </row>
    <row r="77" spans="1:29" s="40" customFormat="1" ht="70.349999999999994" customHeight="1" x14ac:dyDescent="0.25">
      <c r="A77" s="100" t="s">
        <v>221</v>
      </c>
      <c r="B77" s="21" t="s">
        <v>222</v>
      </c>
      <c r="C77" s="103">
        <v>2020110010206</v>
      </c>
      <c r="D77" s="113" t="s">
        <v>342</v>
      </c>
      <c r="E77" s="113" t="s">
        <v>351</v>
      </c>
      <c r="F77" s="72" t="s">
        <v>225</v>
      </c>
      <c r="G77" s="54" t="s">
        <v>68</v>
      </c>
      <c r="H77" s="55" t="s">
        <v>69</v>
      </c>
      <c r="I77" s="102" t="s">
        <v>309</v>
      </c>
      <c r="J77" s="39" t="s">
        <v>43</v>
      </c>
      <c r="K77" s="39" t="s">
        <v>43</v>
      </c>
      <c r="L77" s="36" t="s">
        <v>44</v>
      </c>
      <c r="M77" s="37" t="s">
        <v>45</v>
      </c>
      <c r="N77" s="60" t="s">
        <v>310</v>
      </c>
      <c r="O77" s="39" t="s">
        <v>344</v>
      </c>
      <c r="P77" s="114" t="s">
        <v>383</v>
      </c>
      <c r="Q77" s="640" t="s">
        <v>384</v>
      </c>
      <c r="R77" s="654" t="s">
        <v>385</v>
      </c>
      <c r="S77" s="640"/>
      <c r="T77" s="333">
        <v>8000000000</v>
      </c>
      <c r="U77" s="551">
        <v>8000000000</v>
      </c>
      <c r="V77" s="614"/>
      <c r="W77" s="664">
        <v>8000000000</v>
      </c>
      <c r="X77" s="664"/>
      <c r="Y77" s="431">
        <f t="shared" si="4"/>
        <v>8000000000</v>
      </c>
      <c r="Z77" s="666"/>
      <c r="AA77" s="430">
        <f t="shared" si="3"/>
        <v>0</v>
      </c>
      <c r="AB77" s="334"/>
      <c r="AC77" s="334"/>
    </row>
    <row r="78" spans="1:29" s="40" customFormat="1" ht="70.349999999999994" customHeight="1" x14ac:dyDescent="0.25">
      <c r="A78" s="100" t="s">
        <v>221</v>
      </c>
      <c r="B78" s="21" t="s">
        <v>222</v>
      </c>
      <c r="C78" s="103">
        <v>2020110010206</v>
      </c>
      <c r="D78" s="113" t="s">
        <v>342</v>
      </c>
      <c r="E78" s="113" t="s">
        <v>351</v>
      </c>
      <c r="F78" s="72" t="s">
        <v>225</v>
      </c>
      <c r="G78" s="54" t="s">
        <v>60</v>
      </c>
      <c r="H78" s="55" t="s">
        <v>352</v>
      </c>
      <c r="I78" s="102" t="s">
        <v>353</v>
      </c>
      <c r="J78" s="32" t="s">
        <v>86</v>
      </c>
      <c r="K78" s="32" t="s">
        <v>386</v>
      </c>
      <c r="L78" s="36" t="s">
        <v>44</v>
      </c>
      <c r="M78" s="37" t="s">
        <v>45</v>
      </c>
      <c r="N78" s="108" t="s">
        <v>63</v>
      </c>
      <c r="O78" s="39" t="s">
        <v>344</v>
      </c>
      <c r="P78" s="114" t="s">
        <v>387</v>
      </c>
      <c r="Q78" s="659" t="s">
        <v>388</v>
      </c>
      <c r="R78" s="660" t="s">
        <v>304</v>
      </c>
      <c r="S78" s="649"/>
      <c r="T78" s="355">
        <v>459795000</v>
      </c>
      <c r="U78" s="551">
        <v>459795000</v>
      </c>
      <c r="V78" s="614"/>
      <c r="W78" s="664">
        <v>459795000</v>
      </c>
      <c r="X78" s="664">
        <v>200000000</v>
      </c>
      <c r="Y78" s="431">
        <f t="shared" si="4"/>
        <v>259795000</v>
      </c>
      <c r="Z78" s="334"/>
      <c r="AA78" s="430">
        <f t="shared" si="3"/>
        <v>0</v>
      </c>
      <c r="AB78" s="334"/>
      <c r="AC78" s="334"/>
    </row>
    <row r="79" spans="1:29" s="40" customFormat="1" ht="178.5" x14ac:dyDescent="0.25">
      <c r="A79" s="100" t="s">
        <v>221</v>
      </c>
      <c r="B79" s="21" t="s">
        <v>222</v>
      </c>
      <c r="C79" s="103">
        <v>2020110010206</v>
      </c>
      <c r="D79" s="100" t="s">
        <v>389</v>
      </c>
      <c r="E79" s="43" t="s">
        <v>390</v>
      </c>
      <c r="F79" s="72" t="s">
        <v>225</v>
      </c>
      <c r="G79" s="54" t="s">
        <v>60</v>
      </c>
      <c r="H79" s="55" t="s">
        <v>61</v>
      </c>
      <c r="I79" s="102" t="s">
        <v>141</v>
      </c>
      <c r="J79" s="39" t="s">
        <v>116</v>
      </c>
      <c r="K79" s="39" t="s">
        <v>43</v>
      </c>
      <c r="L79" s="36" t="s">
        <v>44</v>
      </c>
      <c r="M79" s="37" t="s">
        <v>45</v>
      </c>
      <c r="N79" s="38" t="s">
        <v>63</v>
      </c>
      <c r="O79" s="39" t="s">
        <v>391</v>
      </c>
      <c r="P79" s="100" t="s">
        <v>392</v>
      </c>
      <c r="Q79" s="624" t="s">
        <v>393</v>
      </c>
      <c r="R79" s="625" t="s">
        <v>394</v>
      </c>
      <c r="S79" s="100"/>
      <c r="T79" s="333">
        <v>3810540000</v>
      </c>
      <c r="U79" s="551">
        <v>3810540000</v>
      </c>
      <c r="V79" s="551">
        <f>1028930701-150000000</f>
        <v>878930701</v>
      </c>
      <c r="W79" s="431">
        <f>+U79+V79</f>
        <v>4689470701</v>
      </c>
      <c r="X79" s="431">
        <v>2931782850</v>
      </c>
      <c r="Y79" s="431">
        <f t="shared" si="4"/>
        <v>1757687851</v>
      </c>
      <c r="Z79" s="431">
        <v>2819450350</v>
      </c>
      <c r="AA79" s="430">
        <f t="shared" si="3"/>
        <v>0.60122997450410987</v>
      </c>
      <c r="AB79" s="431">
        <f>54291606+195164568+234156729</f>
        <v>483612903</v>
      </c>
      <c r="AC79" s="432" t="s">
        <v>395</v>
      </c>
    </row>
    <row r="80" spans="1:29" s="40" customFormat="1" ht="87" customHeight="1" x14ac:dyDescent="0.25">
      <c r="A80" s="100" t="s">
        <v>221</v>
      </c>
      <c r="B80" s="21" t="s">
        <v>222</v>
      </c>
      <c r="C80" s="103">
        <v>2020110010206</v>
      </c>
      <c r="D80" s="100" t="s">
        <v>396</v>
      </c>
      <c r="E80" s="43" t="s">
        <v>397</v>
      </c>
      <c r="F80" s="72" t="s">
        <v>225</v>
      </c>
      <c r="G80" s="54" t="s">
        <v>60</v>
      </c>
      <c r="H80" s="55" t="s">
        <v>61</v>
      </c>
      <c r="I80" s="102" t="s">
        <v>141</v>
      </c>
      <c r="J80" s="39" t="s">
        <v>116</v>
      </c>
      <c r="K80" s="39" t="s">
        <v>43</v>
      </c>
      <c r="L80" s="36" t="s">
        <v>44</v>
      </c>
      <c r="M80" s="37" t="s">
        <v>45</v>
      </c>
      <c r="N80" s="38" t="s">
        <v>63</v>
      </c>
      <c r="O80" s="39" t="s">
        <v>391</v>
      </c>
      <c r="P80" s="100" t="s">
        <v>398</v>
      </c>
      <c r="Q80" s="624" t="s">
        <v>399</v>
      </c>
      <c r="R80" s="625" t="s">
        <v>400</v>
      </c>
      <c r="S80" s="100"/>
      <c r="T80" s="333">
        <v>294780000</v>
      </c>
      <c r="U80" s="356">
        <v>294780000</v>
      </c>
      <c r="V80" s="614"/>
      <c r="W80" s="431">
        <v>294780000</v>
      </c>
      <c r="X80" s="541">
        <v>251940000</v>
      </c>
      <c r="Y80" s="541">
        <f>+U80-X80</f>
        <v>42840000</v>
      </c>
      <c r="Z80" s="541">
        <f>28050000+167280000+22950000</f>
        <v>218280000</v>
      </c>
      <c r="AA80" s="430">
        <f t="shared" si="3"/>
        <v>0.74048442906574397</v>
      </c>
      <c r="AB80" s="541">
        <v>16685000</v>
      </c>
      <c r="AC80" s="336" t="s">
        <v>401</v>
      </c>
    </row>
    <row r="81" spans="1:45" s="40" customFormat="1" ht="70.349999999999994" customHeight="1" x14ac:dyDescent="0.25">
      <c r="A81" s="100" t="s">
        <v>221</v>
      </c>
      <c r="B81" s="21" t="s">
        <v>222</v>
      </c>
      <c r="C81" s="103">
        <v>2020110010206</v>
      </c>
      <c r="D81" s="21" t="s">
        <v>342</v>
      </c>
      <c r="E81" s="113" t="s">
        <v>351</v>
      </c>
      <c r="F81" s="72" t="s">
        <v>225</v>
      </c>
      <c r="G81" s="54" t="s">
        <v>60</v>
      </c>
      <c r="H81" s="55" t="s">
        <v>352</v>
      </c>
      <c r="I81" s="102" t="s">
        <v>353</v>
      </c>
      <c r="J81" s="60" t="s">
        <v>83</v>
      </c>
      <c r="K81" s="60" t="s">
        <v>84</v>
      </c>
      <c r="L81" s="36" t="s">
        <v>44</v>
      </c>
      <c r="M81" s="37" t="s">
        <v>45</v>
      </c>
      <c r="N81" s="108" t="s">
        <v>63</v>
      </c>
      <c r="O81" s="39" t="s">
        <v>344</v>
      </c>
      <c r="P81" s="100" t="s">
        <v>402</v>
      </c>
      <c r="Q81" s="567" t="s">
        <v>403</v>
      </c>
      <c r="R81" s="643" t="s">
        <v>404</v>
      </c>
      <c r="S81" s="100"/>
      <c r="T81" s="355">
        <v>190160000</v>
      </c>
      <c r="U81" s="551">
        <v>190160000</v>
      </c>
      <c r="V81" s="614"/>
      <c r="W81" s="664">
        <v>190160000</v>
      </c>
      <c r="X81" s="664">
        <v>120000000</v>
      </c>
      <c r="Y81" s="431">
        <f t="shared" ref="Y81:Y96" si="5">+W81-X81</f>
        <v>70160000</v>
      </c>
      <c r="Z81" s="334"/>
      <c r="AA81" s="430">
        <f t="shared" si="3"/>
        <v>0</v>
      </c>
      <c r="AB81" s="334"/>
      <c r="AC81" s="334"/>
    </row>
    <row r="82" spans="1:45" s="40" customFormat="1" ht="70.349999999999994" customHeight="1" x14ac:dyDescent="0.25">
      <c r="A82" s="100" t="s">
        <v>221</v>
      </c>
      <c r="B82" s="21" t="s">
        <v>222</v>
      </c>
      <c r="C82" s="103">
        <v>2020110010206</v>
      </c>
      <c r="D82" s="21" t="s">
        <v>342</v>
      </c>
      <c r="E82" s="113" t="s">
        <v>351</v>
      </c>
      <c r="F82" s="72" t="s">
        <v>225</v>
      </c>
      <c r="G82" s="54"/>
      <c r="H82" s="55"/>
      <c r="I82" s="102"/>
      <c r="J82" s="39" t="s">
        <v>116</v>
      </c>
      <c r="K82" s="39" t="s">
        <v>43</v>
      </c>
      <c r="L82" s="36" t="s">
        <v>44</v>
      </c>
      <c r="M82" s="37" t="s">
        <v>45</v>
      </c>
      <c r="N82" s="38" t="s">
        <v>46</v>
      </c>
      <c r="O82" s="39" t="s">
        <v>344</v>
      </c>
      <c r="P82" s="100" t="s">
        <v>405</v>
      </c>
      <c r="Q82" s="567"/>
      <c r="R82" s="643"/>
      <c r="S82" s="100"/>
      <c r="T82" s="355"/>
      <c r="V82" s="551">
        <v>2000000000</v>
      </c>
      <c r="W82" s="431">
        <f>+V82</f>
        <v>2000000000</v>
      </c>
      <c r="X82" s="431"/>
      <c r="Y82" s="431"/>
      <c r="Z82" s="334"/>
      <c r="AA82" s="430"/>
      <c r="AB82" s="334"/>
      <c r="AC82" s="334"/>
    </row>
    <row r="83" spans="1:45" s="40" customFormat="1" ht="70.349999999999994" customHeight="1" x14ac:dyDescent="0.25">
      <c r="A83" s="100" t="s">
        <v>221</v>
      </c>
      <c r="B83" s="21" t="s">
        <v>222</v>
      </c>
      <c r="C83" s="103">
        <v>2020110010206</v>
      </c>
      <c r="D83" s="21" t="s">
        <v>342</v>
      </c>
      <c r="E83" s="113" t="s">
        <v>351</v>
      </c>
      <c r="F83" s="72" t="s">
        <v>225</v>
      </c>
      <c r="G83" s="54" t="s">
        <v>60</v>
      </c>
      <c r="H83" s="55" t="s">
        <v>352</v>
      </c>
      <c r="I83" s="102" t="s">
        <v>353</v>
      </c>
      <c r="J83" s="43" t="s">
        <v>76</v>
      </c>
      <c r="K83" s="44" t="s">
        <v>77</v>
      </c>
      <c r="L83" s="36" t="s">
        <v>44</v>
      </c>
      <c r="M83" s="37" t="s">
        <v>45</v>
      </c>
      <c r="N83" s="108" t="s">
        <v>63</v>
      </c>
      <c r="O83" s="39" t="s">
        <v>344</v>
      </c>
      <c r="P83" s="100" t="s">
        <v>402</v>
      </c>
      <c r="Q83" s="100"/>
      <c r="R83" s="100"/>
      <c r="S83" s="100"/>
      <c r="T83" s="355">
        <v>131579000</v>
      </c>
      <c r="U83" s="551">
        <v>131579000</v>
      </c>
      <c r="V83" s="614"/>
      <c r="W83" s="664">
        <v>131579000</v>
      </c>
      <c r="X83" s="431"/>
      <c r="Y83" s="431">
        <f t="shared" si="5"/>
        <v>131579000</v>
      </c>
      <c r="Z83" s="334"/>
      <c r="AA83" s="430">
        <f t="shared" si="3"/>
        <v>0</v>
      </c>
      <c r="AB83" s="334"/>
      <c r="AC83" s="334"/>
    </row>
    <row r="84" spans="1:45" s="40" customFormat="1" ht="141" customHeight="1" x14ac:dyDescent="0.25">
      <c r="A84" s="100" t="s">
        <v>221</v>
      </c>
      <c r="B84" s="21" t="s">
        <v>222</v>
      </c>
      <c r="C84" s="103">
        <v>2020110010206</v>
      </c>
      <c r="D84" s="21" t="s">
        <v>342</v>
      </c>
      <c r="E84" s="113" t="s">
        <v>351</v>
      </c>
      <c r="F84" s="72" t="s">
        <v>225</v>
      </c>
      <c r="G84" s="54" t="s">
        <v>60</v>
      </c>
      <c r="H84" s="55" t="s">
        <v>352</v>
      </c>
      <c r="I84" s="102" t="s">
        <v>353</v>
      </c>
      <c r="J84" s="139" t="s">
        <v>406</v>
      </c>
      <c r="K84" s="60" t="s">
        <v>407</v>
      </c>
      <c r="L84" s="36" t="s">
        <v>44</v>
      </c>
      <c r="M84" s="37" t="s">
        <v>45</v>
      </c>
      <c r="N84" s="108" t="s">
        <v>63</v>
      </c>
      <c r="O84" s="39" t="s">
        <v>344</v>
      </c>
      <c r="P84" s="100" t="s">
        <v>402</v>
      </c>
      <c r="Q84" s="567" t="s">
        <v>408</v>
      </c>
      <c r="R84" s="661" t="s">
        <v>409</v>
      </c>
      <c r="S84" s="100"/>
      <c r="T84" s="355">
        <v>2641000000</v>
      </c>
      <c r="U84" s="551">
        <v>2641000000</v>
      </c>
      <c r="V84" s="614"/>
      <c r="W84" s="664">
        <v>2641000000</v>
      </c>
      <c r="X84" s="431">
        <v>939581220</v>
      </c>
      <c r="Y84" s="431">
        <f t="shared" si="5"/>
        <v>1701418780</v>
      </c>
      <c r="Z84" s="334"/>
      <c r="AA84" s="430">
        <f t="shared" si="3"/>
        <v>0</v>
      </c>
      <c r="AB84" s="334"/>
      <c r="AC84" s="334"/>
    </row>
    <row r="85" spans="1:45" s="40" customFormat="1" ht="70.349999999999994" customHeight="1" x14ac:dyDescent="0.25">
      <c r="A85" s="100" t="s">
        <v>221</v>
      </c>
      <c r="B85" s="21" t="s">
        <v>222</v>
      </c>
      <c r="C85" s="103">
        <v>2020110010206</v>
      </c>
      <c r="D85" s="100" t="s">
        <v>389</v>
      </c>
      <c r="E85" s="100" t="s">
        <v>410</v>
      </c>
      <c r="F85" s="72" t="s">
        <v>225</v>
      </c>
      <c r="G85" s="54" t="s">
        <v>68</v>
      </c>
      <c r="H85" s="104" t="s">
        <v>411</v>
      </c>
      <c r="I85" s="102" t="s">
        <v>412</v>
      </c>
      <c r="J85" s="32" t="s">
        <v>86</v>
      </c>
      <c r="K85" s="32" t="s">
        <v>386</v>
      </c>
      <c r="L85" s="36" t="s">
        <v>44</v>
      </c>
      <c r="M85" s="59" t="s">
        <v>131</v>
      </c>
      <c r="N85" s="60" t="s">
        <v>413</v>
      </c>
      <c r="O85" s="39" t="s">
        <v>391</v>
      </c>
      <c r="P85" s="100" t="s">
        <v>414</v>
      </c>
      <c r="Q85" s="618" t="s">
        <v>97</v>
      </c>
      <c r="R85" s="618" t="s">
        <v>97</v>
      </c>
      <c r="S85" s="100"/>
      <c r="T85" s="333">
        <v>17836621000</v>
      </c>
      <c r="U85" s="551">
        <v>17836621000</v>
      </c>
      <c r="V85" s="614"/>
      <c r="W85" s="664">
        <v>17836621000</v>
      </c>
      <c r="X85" s="431"/>
      <c r="Y85" s="431">
        <f t="shared" si="5"/>
        <v>17836621000</v>
      </c>
      <c r="Z85" s="334"/>
      <c r="AA85" s="430">
        <f t="shared" si="3"/>
        <v>0</v>
      </c>
      <c r="AB85" s="334"/>
      <c r="AC85" s="334"/>
    </row>
    <row r="86" spans="1:45" s="40" customFormat="1" ht="70.349999999999994" customHeight="1" x14ac:dyDescent="0.25">
      <c r="A86" s="100" t="s">
        <v>221</v>
      </c>
      <c r="B86" s="21" t="s">
        <v>222</v>
      </c>
      <c r="C86" s="103">
        <v>2020110010206</v>
      </c>
      <c r="D86" s="100" t="s">
        <v>389</v>
      </c>
      <c r="E86" s="100" t="s">
        <v>410</v>
      </c>
      <c r="F86" s="72" t="s">
        <v>225</v>
      </c>
      <c r="G86" s="54" t="s">
        <v>53</v>
      </c>
      <c r="H86" s="55" t="s">
        <v>155</v>
      </c>
      <c r="I86" s="102" t="s">
        <v>415</v>
      </c>
      <c r="J86" s="78" t="s">
        <v>86</v>
      </c>
      <c r="K86" s="78" t="s">
        <v>386</v>
      </c>
      <c r="L86" s="36" t="s">
        <v>44</v>
      </c>
      <c r="M86" s="60" t="s">
        <v>131</v>
      </c>
      <c r="N86" s="39" t="s">
        <v>416</v>
      </c>
      <c r="O86" s="39" t="s">
        <v>391</v>
      </c>
      <c r="P86" s="100" t="s">
        <v>417</v>
      </c>
      <c r="Q86" s="618" t="s">
        <v>97</v>
      </c>
      <c r="R86" s="618" t="s">
        <v>97</v>
      </c>
      <c r="S86" s="100"/>
      <c r="T86" s="333">
        <v>4000000000</v>
      </c>
      <c r="U86" s="551">
        <v>4000000000</v>
      </c>
      <c r="V86" s="614"/>
      <c r="W86" s="664">
        <v>4000000000</v>
      </c>
      <c r="X86" s="431"/>
      <c r="Y86" s="431">
        <f t="shared" si="5"/>
        <v>4000000000</v>
      </c>
      <c r="Z86" s="334"/>
      <c r="AA86" s="430">
        <f t="shared" si="3"/>
        <v>0</v>
      </c>
      <c r="AB86" s="334"/>
      <c r="AC86" s="334"/>
    </row>
    <row r="87" spans="1:45" s="40" customFormat="1" ht="70.349999999999994" customHeight="1" x14ac:dyDescent="0.25">
      <c r="A87" s="100" t="s">
        <v>221</v>
      </c>
      <c r="B87" s="21" t="s">
        <v>222</v>
      </c>
      <c r="C87" s="103">
        <v>2020110010206</v>
      </c>
      <c r="D87" s="100" t="s">
        <v>389</v>
      </c>
      <c r="E87" s="100" t="s">
        <v>410</v>
      </c>
      <c r="F87" s="72" t="s">
        <v>225</v>
      </c>
      <c r="G87" s="55" t="s">
        <v>40</v>
      </c>
      <c r="H87" s="55" t="s">
        <v>41</v>
      </c>
      <c r="I87" s="102" t="s">
        <v>418</v>
      </c>
      <c r="J87" s="78" t="s">
        <v>86</v>
      </c>
      <c r="K87" s="32" t="s">
        <v>386</v>
      </c>
      <c r="L87" s="36" t="s">
        <v>44</v>
      </c>
      <c r="M87" s="37" t="s">
        <v>45</v>
      </c>
      <c r="N87" s="38" t="s">
        <v>419</v>
      </c>
      <c r="O87" s="39" t="s">
        <v>391</v>
      </c>
      <c r="P87" s="100" t="s">
        <v>420</v>
      </c>
      <c r="Q87" s="618" t="s">
        <v>97</v>
      </c>
      <c r="R87" s="618" t="s">
        <v>97</v>
      </c>
      <c r="S87" s="100"/>
      <c r="T87" s="333">
        <v>500000000</v>
      </c>
      <c r="U87" s="551">
        <v>500000000</v>
      </c>
      <c r="V87" s="614"/>
      <c r="W87" s="431">
        <v>500000000</v>
      </c>
      <c r="X87" s="431"/>
      <c r="Y87" s="431">
        <f t="shared" si="5"/>
        <v>500000000</v>
      </c>
      <c r="Z87" s="334"/>
      <c r="AA87" s="430">
        <f t="shared" si="3"/>
        <v>0</v>
      </c>
      <c r="AB87" s="334"/>
      <c r="AC87" s="334"/>
    </row>
    <row r="88" spans="1:45" s="40" customFormat="1" ht="70.349999999999994" customHeight="1" x14ac:dyDescent="0.25">
      <c r="A88" s="100" t="s">
        <v>221</v>
      </c>
      <c r="B88" s="21" t="s">
        <v>222</v>
      </c>
      <c r="C88" s="103">
        <v>2020110010206</v>
      </c>
      <c r="D88" s="100" t="s">
        <v>389</v>
      </c>
      <c r="E88" s="100" t="s">
        <v>410</v>
      </c>
      <c r="F88" s="72" t="s">
        <v>225</v>
      </c>
      <c r="G88" s="55" t="s">
        <v>40</v>
      </c>
      <c r="H88" s="55" t="s">
        <v>41</v>
      </c>
      <c r="I88" s="102" t="s">
        <v>418</v>
      </c>
      <c r="J88" s="59" t="s">
        <v>83</v>
      </c>
      <c r="K88" s="60" t="s">
        <v>84</v>
      </c>
      <c r="L88" s="36" t="s">
        <v>44</v>
      </c>
      <c r="M88" s="37" t="s">
        <v>45</v>
      </c>
      <c r="N88" s="38" t="s">
        <v>419</v>
      </c>
      <c r="O88" s="39" t="s">
        <v>391</v>
      </c>
      <c r="P88" s="100" t="s">
        <v>420</v>
      </c>
      <c r="Q88" s="618" t="s">
        <v>97</v>
      </c>
      <c r="R88" s="618" t="s">
        <v>97</v>
      </c>
      <c r="S88" s="100"/>
      <c r="T88" s="333">
        <v>3500000000</v>
      </c>
      <c r="U88" s="551">
        <v>3500000000</v>
      </c>
      <c r="V88" s="614"/>
      <c r="W88" s="431">
        <v>3500000000</v>
      </c>
      <c r="X88" s="431"/>
      <c r="Y88" s="431">
        <f t="shared" si="5"/>
        <v>3500000000</v>
      </c>
      <c r="Z88" s="334"/>
      <c r="AA88" s="430">
        <f t="shared" si="3"/>
        <v>0</v>
      </c>
      <c r="AB88" s="334"/>
      <c r="AC88" s="334"/>
    </row>
    <row r="89" spans="1:45" s="40" customFormat="1" ht="70.349999999999994" customHeight="1" x14ac:dyDescent="0.25">
      <c r="A89" s="100" t="s">
        <v>221</v>
      </c>
      <c r="B89" s="21" t="s">
        <v>222</v>
      </c>
      <c r="C89" s="103">
        <v>2020110010206</v>
      </c>
      <c r="D89" s="100" t="s">
        <v>389</v>
      </c>
      <c r="E89" s="100" t="s">
        <v>421</v>
      </c>
      <c r="F89" s="72" t="s">
        <v>225</v>
      </c>
      <c r="G89" s="55" t="s">
        <v>40</v>
      </c>
      <c r="H89" s="55" t="s">
        <v>41</v>
      </c>
      <c r="I89" s="102" t="s">
        <v>422</v>
      </c>
      <c r="J89" s="39" t="s">
        <v>116</v>
      </c>
      <c r="K89" s="39" t="s">
        <v>43</v>
      </c>
      <c r="L89" s="36" t="s">
        <v>44</v>
      </c>
      <c r="M89" s="37" t="s">
        <v>45</v>
      </c>
      <c r="N89" s="38" t="s">
        <v>46</v>
      </c>
      <c r="O89" s="39" t="s">
        <v>391</v>
      </c>
      <c r="P89" s="100" t="s">
        <v>423</v>
      </c>
      <c r="Q89" s="100" t="s">
        <v>424</v>
      </c>
      <c r="R89" s="662">
        <v>33333584000</v>
      </c>
      <c r="S89" s="100"/>
      <c r="T89" s="333">
        <v>3333584000.3999996</v>
      </c>
      <c r="U89" s="551">
        <v>3333584000.3999996</v>
      </c>
      <c r="V89" s="617">
        <v>-1028930701</v>
      </c>
      <c r="W89" s="431">
        <f>+U89+V89</f>
        <v>2304653299.3999996</v>
      </c>
      <c r="X89" s="431">
        <v>2304653299</v>
      </c>
      <c r="Y89" s="431">
        <f t="shared" si="5"/>
        <v>0.39999961853027344</v>
      </c>
      <c r="Z89" s="431">
        <v>2304653299</v>
      </c>
      <c r="AA89" s="430">
        <f t="shared" si="3"/>
        <v>0.99999999982643828</v>
      </c>
      <c r="AB89" s="334"/>
      <c r="AC89" s="432" t="s">
        <v>425</v>
      </c>
    </row>
    <row r="90" spans="1:45" s="40" customFormat="1" ht="70.349999999999994" customHeight="1" x14ac:dyDescent="0.25">
      <c r="A90" s="100" t="s">
        <v>221</v>
      </c>
      <c r="B90" s="21" t="s">
        <v>222</v>
      </c>
      <c r="C90" s="103">
        <v>2020110010206</v>
      </c>
      <c r="D90" s="100" t="s">
        <v>426</v>
      </c>
      <c r="E90" s="100" t="s">
        <v>427</v>
      </c>
      <c r="F90" s="72" t="s">
        <v>225</v>
      </c>
      <c r="G90" s="55" t="s">
        <v>40</v>
      </c>
      <c r="H90" s="55" t="s">
        <v>41</v>
      </c>
      <c r="I90" s="102"/>
      <c r="J90" s="39" t="s">
        <v>116</v>
      </c>
      <c r="K90" s="39" t="s">
        <v>43</v>
      </c>
      <c r="L90" s="36" t="s">
        <v>44</v>
      </c>
      <c r="M90" s="37" t="s">
        <v>45</v>
      </c>
      <c r="N90" s="38" t="s">
        <v>63</v>
      </c>
      <c r="O90" s="39" t="s">
        <v>391</v>
      </c>
      <c r="P90" s="100" t="s">
        <v>428</v>
      </c>
      <c r="Q90" s="618" t="s">
        <v>97</v>
      </c>
      <c r="R90" s="618" t="s">
        <v>97</v>
      </c>
      <c r="S90" s="100"/>
      <c r="T90" s="333">
        <f>1722000000+17608562000</f>
        <v>19330562000</v>
      </c>
      <c r="U90" s="551">
        <v>19330562000</v>
      </c>
      <c r="V90" s="617">
        <v>-2000000000</v>
      </c>
      <c r="W90" s="431">
        <f>+U90+V90</f>
        <v>17330562000</v>
      </c>
      <c r="X90" s="431">
        <v>11095003465</v>
      </c>
      <c r="Y90" s="431">
        <f>+W90-X90</f>
        <v>6235558535</v>
      </c>
      <c r="Z90" s="431">
        <f>8290139440+2804864025</f>
        <v>11095003465</v>
      </c>
      <c r="AA90" s="430">
        <f>+Z90/W90</f>
        <v>0.64019871167478581</v>
      </c>
      <c r="AB90" s="334"/>
      <c r="AC90" s="336" t="s">
        <v>429</v>
      </c>
    </row>
    <row r="91" spans="1:45" s="40" customFormat="1" ht="70.349999999999994" customHeight="1" x14ac:dyDescent="0.25">
      <c r="A91" s="100" t="s">
        <v>221</v>
      </c>
      <c r="B91" s="21" t="s">
        <v>222</v>
      </c>
      <c r="C91" s="103">
        <v>2020110010206</v>
      </c>
      <c r="D91" s="113" t="s">
        <v>342</v>
      </c>
      <c r="E91" s="113" t="s">
        <v>351</v>
      </c>
      <c r="F91" s="72" t="s">
        <v>225</v>
      </c>
      <c r="G91" s="116"/>
      <c r="H91" s="117"/>
      <c r="I91" s="117"/>
      <c r="J91" s="47" t="s">
        <v>430</v>
      </c>
      <c r="K91" s="48" t="s">
        <v>431</v>
      </c>
      <c r="L91" s="36" t="s">
        <v>44</v>
      </c>
      <c r="M91" s="53" t="s">
        <v>131</v>
      </c>
      <c r="N91" s="72" t="s">
        <v>255</v>
      </c>
      <c r="O91" s="118" t="s">
        <v>432</v>
      </c>
      <c r="P91" s="115" t="s">
        <v>433</v>
      </c>
      <c r="Q91" s="618" t="s">
        <v>97</v>
      </c>
      <c r="R91" s="618" t="s">
        <v>97</v>
      </c>
      <c r="S91" s="115"/>
      <c r="T91" s="333">
        <v>1416000</v>
      </c>
      <c r="U91" s="551">
        <v>1416000</v>
      </c>
      <c r="V91" s="614"/>
      <c r="W91" s="664">
        <v>1416000</v>
      </c>
      <c r="X91" s="664">
        <v>1416000</v>
      </c>
      <c r="Y91" s="431">
        <f t="shared" si="5"/>
        <v>0</v>
      </c>
      <c r="Z91" s="664">
        <v>1416000</v>
      </c>
      <c r="AA91" s="430">
        <f t="shared" si="3"/>
        <v>1</v>
      </c>
      <c r="AB91" s="664">
        <v>1416000</v>
      </c>
      <c r="AC91" s="357" t="s">
        <v>434</v>
      </c>
      <c r="AQ91" s="50"/>
      <c r="AR91" s="50"/>
      <c r="AS91" s="50"/>
    </row>
    <row r="92" spans="1:45" s="40" customFormat="1" ht="70.349999999999994" customHeight="1" x14ac:dyDescent="0.25">
      <c r="A92" s="100" t="s">
        <v>221</v>
      </c>
      <c r="B92" s="21" t="s">
        <v>222</v>
      </c>
      <c r="C92" s="103">
        <v>2020110010206</v>
      </c>
      <c r="D92" s="113" t="s">
        <v>342</v>
      </c>
      <c r="E92" s="113" t="s">
        <v>351</v>
      </c>
      <c r="F92" s="72" t="s">
        <v>225</v>
      </c>
      <c r="G92" s="116"/>
      <c r="H92" s="117"/>
      <c r="I92" s="117"/>
      <c r="J92" s="119" t="s">
        <v>435</v>
      </c>
      <c r="K92" s="120" t="s">
        <v>436</v>
      </c>
      <c r="L92" s="36" t="s">
        <v>44</v>
      </c>
      <c r="M92" s="53" t="s">
        <v>131</v>
      </c>
      <c r="N92" s="72" t="s">
        <v>255</v>
      </c>
      <c r="O92" s="118" t="s">
        <v>432</v>
      </c>
      <c r="P92" s="115" t="s">
        <v>437</v>
      </c>
      <c r="Q92" s="618" t="s">
        <v>97</v>
      </c>
      <c r="R92" s="618" t="s">
        <v>97</v>
      </c>
      <c r="S92" s="115"/>
      <c r="T92" s="333">
        <v>90888000</v>
      </c>
      <c r="U92" s="551">
        <v>90888000</v>
      </c>
      <c r="V92" s="614"/>
      <c r="W92" s="664">
        <v>90888000</v>
      </c>
      <c r="X92" s="431">
        <v>90888000</v>
      </c>
      <c r="Y92" s="431">
        <f t="shared" si="5"/>
        <v>0</v>
      </c>
      <c r="Z92" s="664">
        <v>90888000</v>
      </c>
      <c r="AA92" s="430">
        <f t="shared" si="3"/>
        <v>1</v>
      </c>
      <c r="AB92" s="664">
        <v>90888000</v>
      </c>
      <c r="AC92" s="357" t="s">
        <v>434</v>
      </c>
      <c r="AQ92" s="50"/>
      <c r="AR92" s="50"/>
      <c r="AS92" s="50"/>
    </row>
    <row r="93" spans="1:45" s="40" customFormat="1" ht="140.25" customHeight="1" x14ac:dyDescent="0.25">
      <c r="A93" s="100" t="s">
        <v>221</v>
      </c>
      <c r="B93" s="21" t="s">
        <v>222</v>
      </c>
      <c r="C93" s="103">
        <v>2020110010206</v>
      </c>
      <c r="D93" s="100" t="s">
        <v>389</v>
      </c>
      <c r="E93" s="100" t="s">
        <v>410</v>
      </c>
      <c r="F93" s="72" t="s">
        <v>225</v>
      </c>
      <c r="G93" s="121"/>
      <c r="H93" s="121"/>
      <c r="I93" s="105"/>
      <c r="J93" s="119" t="s">
        <v>435</v>
      </c>
      <c r="K93" s="48" t="s">
        <v>436</v>
      </c>
      <c r="L93" s="36" t="s">
        <v>44</v>
      </c>
      <c r="M93" s="53" t="s">
        <v>131</v>
      </c>
      <c r="N93" s="39" t="s">
        <v>416</v>
      </c>
      <c r="O93" s="39" t="s">
        <v>391</v>
      </c>
      <c r="P93" s="115" t="s">
        <v>96</v>
      </c>
      <c r="Q93" s="618" t="s">
        <v>97</v>
      </c>
      <c r="R93" s="618" t="s">
        <v>97</v>
      </c>
      <c r="S93" s="115"/>
      <c r="T93" s="333">
        <v>8496804000</v>
      </c>
      <c r="U93" s="551">
        <v>8496804000</v>
      </c>
      <c r="V93" s="614"/>
      <c r="W93" s="664">
        <v>8496804000</v>
      </c>
      <c r="X93" s="431">
        <f>490454490+28966366+921121770+12092439</f>
        <v>1452635065</v>
      </c>
      <c r="Y93" s="431">
        <f t="shared" si="5"/>
        <v>7044168935</v>
      </c>
      <c r="Z93" s="664">
        <v>490454490</v>
      </c>
      <c r="AA93" s="430">
        <f t="shared" si="3"/>
        <v>5.7722231794448832E-2</v>
      </c>
      <c r="AB93" s="664">
        <v>490454490</v>
      </c>
      <c r="AC93" s="336" t="s">
        <v>438</v>
      </c>
      <c r="AQ93" s="50"/>
      <c r="AR93" s="50"/>
      <c r="AS93" s="50"/>
    </row>
    <row r="94" spans="1:45" s="40" customFormat="1" ht="70.349999999999994" customHeight="1" x14ac:dyDescent="0.25">
      <c r="A94" s="100" t="s">
        <v>221</v>
      </c>
      <c r="B94" s="21" t="s">
        <v>222</v>
      </c>
      <c r="C94" s="103">
        <v>2020110010206</v>
      </c>
      <c r="D94" s="100" t="s">
        <v>389</v>
      </c>
      <c r="E94" s="100" t="s">
        <v>410</v>
      </c>
      <c r="F94" s="72" t="s">
        <v>225</v>
      </c>
      <c r="G94" s="122"/>
      <c r="H94" s="122"/>
      <c r="I94" s="123"/>
      <c r="J94" s="124" t="s">
        <v>439</v>
      </c>
      <c r="K94" s="48" t="s">
        <v>440</v>
      </c>
      <c r="L94" s="36" t="s">
        <v>44</v>
      </c>
      <c r="M94" s="125" t="s">
        <v>131</v>
      </c>
      <c r="N94" s="39" t="s">
        <v>416</v>
      </c>
      <c r="O94" s="126" t="s">
        <v>391</v>
      </c>
      <c r="P94" s="127" t="s">
        <v>96</v>
      </c>
      <c r="Q94" s="618" t="s">
        <v>97</v>
      </c>
      <c r="R94" s="618" t="s">
        <v>97</v>
      </c>
      <c r="S94" s="127"/>
      <c r="T94" s="333">
        <v>1383905000</v>
      </c>
      <c r="U94" s="551">
        <v>1383905000</v>
      </c>
      <c r="V94" s="614"/>
      <c r="W94" s="664">
        <v>1383905000</v>
      </c>
      <c r="X94" s="431"/>
      <c r="Y94" s="431">
        <f t="shared" si="5"/>
        <v>1383905000</v>
      </c>
      <c r="Z94" s="334"/>
      <c r="AA94" s="430">
        <f t="shared" si="3"/>
        <v>0</v>
      </c>
      <c r="AB94" s="334"/>
      <c r="AC94" s="334"/>
    </row>
    <row r="95" spans="1:45" s="40" customFormat="1" ht="70.349999999999994" customHeight="1" x14ac:dyDescent="0.25">
      <c r="A95" s="100" t="s">
        <v>221</v>
      </c>
      <c r="B95" s="21" t="s">
        <v>222</v>
      </c>
      <c r="C95" s="103">
        <v>2020110010206</v>
      </c>
      <c r="D95" s="106" t="s">
        <v>288</v>
      </c>
      <c r="E95" s="106" t="s">
        <v>289</v>
      </c>
      <c r="F95" s="72" t="s">
        <v>225</v>
      </c>
      <c r="G95" s="121"/>
      <c r="H95" s="121"/>
      <c r="I95" s="105"/>
      <c r="J95" s="119" t="s">
        <v>441</v>
      </c>
      <c r="K95" s="119" t="s">
        <v>99</v>
      </c>
      <c r="L95" s="36" t="s">
        <v>44</v>
      </c>
      <c r="M95" s="125" t="s">
        <v>131</v>
      </c>
      <c r="N95" s="39" t="s">
        <v>255</v>
      </c>
      <c r="O95" s="138" t="s">
        <v>442</v>
      </c>
      <c r="P95" s="115" t="s">
        <v>96</v>
      </c>
      <c r="Q95" s="618" t="s">
        <v>97</v>
      </c>
      <c r="R95" s="618" t="s">
        <v>97</v>
      </c>
      <c r="S95" s="115"/>
      <c r="T95" s="333">
        <v>25838000</v>
      </c>
      <c r="U95" s="551">
        <v>25838000</v>
      </c>
      <c r="V95" s="614"/>
      <c r="W95" s="664">
        <v>25838000</v>
      </c>
      <c r="X95" s="431"/>
      <c r="Y95" s="431">
        <f t="shared" si="5"/>
        <v>25838000</v>
      </c>
      <c r="Z95" s="334"/>
      <c r="AA95" s="430">
        <f t="shared" si="3"/>
        <v>0</v>
      </c>
      <c r="AB95" s="334"/>
      <c r="AC95" s="334"/>
    </row>
    <row r="96" spans="1:45" s="40" customFormat="1" ht="70.349999999999994" customHeight="1" x14ac:dyDescent="0.25">
      <c r="A96" s="100" t="s">
        <v>221</v>
      </c>
      <c r="B96" s="21" t="s">
        <v>222</v>
      </c>
      <c r="C96" s="103">
        <v>2020110010206</v>
      </c>
      <c r="D96" s="113" t="s">
        <v>342</v>
      </c>
      <c r="E96" s="113" t="s">
        <v>351</v>
      </c>
      <c r="F96" s="72" t="s">
        <v>225</v>
      </c>
      <c r="G96" s="121"/>
      <c r="H96" s="121"/>
      <c r="I96" s="105"/>
      <c r="J96" s="119" t="s">
        <v>441</v>
      </c>
      <c r="K96" s="119" t="s">
        <v>99</v>
      </c>
      <c r="L96" s="36" t="s">
        <v>44</v>
      </c>
      <c r="M96" s="53" t="s">
        <v>131</v>
      </c>
      <c r="N96" s="72" t="s">
        <v>255</v>
      </c>
      <c r="O96" s="118" t="s">
        <v>432</v>
      </c>
      <c r="P96" s="115" t="s">
        <v>443</v>
      </c>
      <c r="Q96" s="618" t="s">
        <v>97</v>
      </c>
      <c r="R96" s="618" t="s">
        <v>97</v>
      </c>
      <c r="S96" s="115"/>
      <c r="T96" s="333">
        <v>37074000</v>
      </c>
      <c r="U96" s="551">
        <v>37074000</v>
      </c>
      <c r="V96" s="614"/>
      <c r="W96" s="664">
        <v>37074000</v>
      </c>
      <c r="X96" s="664">
        <v>23964000</v>
      </c>
      <c r="Y96" s="431">
        <f t="shared" si="5"/>
        <v>13110000</v>
      </c>
      <c r="Z96" s="664">
        <v>23964000</v>
      </c>
      <c r="AA96" s="430">
        <f t="shared" si="3"/>
        <v>0.64638290985596369</v>
      </c>
      <c r="AB96" s="664">
        <v>23964000</v>
      </c>
      <c r="AC96" s="357" t="s">
        <v>434</v>
      </c>
    </row>
    <row r="97" spans="1:45" ht="15.75" x14ac:dyDescent="0.25">
      <c r="T97" s="137">
        <f t="shared" ref="T97:Z97" si="6">SUM(T8:T96)</f>
        <v>147117947000.39999</v>
      </c>
      <c r="U97" s="137">
        <f t="shared" si="6"/>
        <v>147017947000.39999</v>
      </c>
      <c r="V97" s="137">
        <f t="shared" si="6"/>
        <v>2391892000</v>
      </c>
      <c r="W97" s="137">
        <f t="shared" si="6"/>
        <v>148028127000.39999</v>
      </c>
      <c r="X97" s="136">
        <f t="shared" si="6"/>
        <v>51444437585</v>
      </c>
      <c r="Y97" s="136">
        <f t="shared" si="6"/>
        <v>94290795461.399994</v>
      </c>
      <c r="Z97" s="136">
        <f t="shared" si="6"/>
        <v>36356781646</v>
      </c>
      <c r="AA97" s="135">
        <f t="shared" si="3"/>
        <v>0.24560725304523889</v>
      </c>
      <c r="AB97" s="134">
        <f>SUM(AB8:AB96)</f>
        <v>4764857373</v>
      </c>
      <c r="AC97" s="133"/>
    </row>
    <row r="98" spans="1:45" s="128" customFormat="1" ht="70.349999999999994" customHeight="1" x14ac:dyDescent="0.25">
      <c r="A98"/>
      <c r="B98"/>
      <c r="C98"/>
      <c r="D98"/>
      <c r="E98"/>
      <c r="F98"/>
      <c r="G98"/>
      <c r="H98"/>
      <c r="I98"/>
      <c r="J98"/>
      <c r="K98"/>
      <c r="L98"/>
      <c r="M98"/>
      <c r="N98"/>
      <c r="O98" s="2"/>
      <c r="P98"/>
      <c r="Q98"/>
      <c r="R98"/>
      <c r="S98"/>
      <c r="T98" s="5"/>
      <c r="W98" s="4"/>
      <c r="X98" s="4"/>
      <c r="Y98" s="4"/>
      <c r="Z98" s="4">
        <f>SUBTOTAL(9,Z40:Z96)</f>
        <v>25632443701</v>
      </c>
      <c r="AA98" s="4" t="e">
        <f>SUBTOTAL(9,AA40:AA96)</f>
        <v>#DIV/0!</v>
      </c>
      <c r="AB98" s="4">
        <f>SUBTOTAL(9,AB40:AB96)</f>
        <v>2864533083</v>
      </c>
      <c r="AC98" s="129"/>
      <c r="AD98"/>
      <c r="AE98" s="131"/>
      <c r="AG98"/>
      <c r="AH98"/>
      <c r="AI98"/>
      <c r="AJ98"/>
      <c r="AK98"/>
      <c r="AL98"/>
      <c r="AM98"/>
      <c r="AN98"/>
      <c r="AO98"/>
      <c r="AP98"/>
      <c r="AQ98"/>
      <c r="AR98"/>
      <c r="AS98"/>
    </row>
    <row r="99" spans="1:45" s="128" customFormat="1" ht="39.75" customHeight="1" x14ac:dyDescent="0.25">
      <c r="A99"/>
      <c r="B99"/>
      <c r="C99"/>
      <c r="D99"/>
      <c r="E99"/>
      <c r="F99"/>
      <c r="G99"/>
      <c r="H99"/>
      <c r="I99"/>
      <c r="J99"/>
      <c r="K99"/>
      <c r="L99"/>
      <c r="M99"/>
      <c r="N99"/>
      <c r="O99" s="2"/>
      <c r="P99"/>
      <c r="Q99"/>
      <c r="R99"/>
      <c r="S99"/>
      <c r="T99" s="663"/>
      <c r="U99" s="4"/>
      <c r="V99"/>
      <c r="W99" s="4"/>
      <c r="X99" s="4"/>
      <c r="Z99" s="130">
        <v>24471518185</v>
      </c>
      <c r="AA99" s="129"/>
      <c r="AB99" s="4"/>
      <c r="AC99" s="131"/>
      <c r="AD99"/>
      <c r="AE99"/>
      <c r="AF99"/>
      <c r="AG99"/>
      <c r="AH99"/>
      <c r="AI99"/>
      <c r="AJ99"/>
      <c r="AK99"/>
      <c r="AL99"/>
      <c r="AM99"/>
      <c r="AN99"/>
      <c r="AO99"/>
      <c r="AP99"/>
      <c r="AQ99"/>
      <c r="AR99"/>
      <c r="AS99"/>
    </row>
    <row r="100" spans="1:45" s="128" customFormat="1" x14ac:dyDescent="0.25">
      <c r="A100"/>
      <c r="B100"/>
      <c r="C100"/>
      <c r="D100"/>
      <c r="E100"/>
      <c r="F100"/>
      <c r="G100"/>
      <c r="H100"/>
      <c r="I100"/>
      <c r="J100"/>
      <c r="K100"/>
      <c r="L100"/>
      <c r="M100"/>
      <c r="N100"/>
      <c r="O100" s="2"/>
      <c r="P100"/>
      <c r="Q100"/>
      <c r="R100"/>
      <c r="S100"/>
      <c r="T100"/>
      <c r="U100" s="4"/>
      <c r="V100"/>
      <c r="W100" s="4"/>
      <c r="X100" s="4"/>
      <c r="Y100" s="4"/>
      <c r="Z100" s="4">
        <f>+Z99-Z98</f>
        <v>-1160925516</v>
      </c>
      <c r="AA100" s="129"/>
      <c r="AB100"/>
      <c r="AC100" s="131"/>
      <c r="AD100"/>
      <c r="AE100"/>
      <c r="AF100"/>
      <c r="AG100"/>
      <c r="AH100"/>
      <c r="AI100"/>
      <c r="AJ100"/>
      <c r="AK100"/>
      <c r="AL100"/>
      <c r="AM100"/>
      <c r="AN100"/>
      <c r="AO100"/>
      <c r="AP100"/>
      <c r="AQ100"/>
      <c r="AR100"/>
      <c r="AS100"/>
    </row>
    <row r="101" spans="1:45" s="128" customFormat="1" x14ac:dyDescent="0.25">
      <c r="A101"/>
      <c r="B101"/>
      <c r="C101"/>
      <c r="D101"/>
      <c r="E101"/>
      <c r="F101"/>
      <c r="G101"/>
      <c r="H101"/>
      <c r="I101"/>
      <c r="J101"/>
      <c r="K101"/>
      <c r="L101"/>
      <c r="M101"/>
      <c r="N101"/>
      <c r="O101" s="2"/>
      <c r="P101"/>
      <c r="Q101"/>
      <c r="R101"/>
      <c r="S101"/>
      <c r="T101"/>
      <c r="U101" s="6"/>
      <c r="V101" s="5"/>
      <c r="W101" s="4"/>
      <c r="X101" s="441">
        <f>SUBTOTAL(9,X68:X96)</f>
        <v>24928720451</v>
      </c>
      <c r="Z101" s="442"/>
      <c r="AA101" s="129"/>
      <c r="AB101"/>
      <c r="AC101" s="131"/>
      <c r="AD101"/>
      <c r="AE101"/>
      <c r="AF101"/>
      <c r="AG101"/>
      <c r="AH101"/>
      <c r="AI101"/>
      <c r="AJ101"/>
      <c r="AK101"/>
      <c r="AL101"/>
      <c r="AM101"/>
      <c r="AN101"/>
      <c r="AO101"/>
      <c r="AP101"/>
      <c r="AQ101"/>
      <c r="AR101"/>
      <c r="AS101"/>
    </row>
    <row r="102" spans="1:45" s="128" customFormat="1" x14ac:dyDescent="0.25">
      <c r="A102"/>
      <c r="B102"/>
      <c r="C102"/>
      <c r="D102"/>
      <c r="E102"/>
      <c r="F102"/>
      <c r="G102"/>
      <c r="H102"/>
      <c r="I102"/>
      <c r="J102"/>
      <c r="K102"/>
      <c r="L102"/>
      <c r="M102"/>
      <c r="N102"/>
      <c r="O102" s="2"/>
      <c r="P102"/>
      <c r="Q102"/>
      <c r="R102" s="4"/>
      <c r="S102"/>
      <c r="T102"/>
      <c r="U102" s="4"/>
      <c r="V102"/>
      <c r="W102" s="4"/>
      <c r="X102" s="441">
        <v>6618958810</v>
      </c>
      <c r="Z102" s="442"/>
      <c r="AA102" s="129"/>
      <c r="AB102"/>
      <c r="AC102" s="131"/>
      <c r="AD102"/>
      <c r="AE102"/>
      <c r="AF102"/>
      <c r="AG102"/>
      <c r="AH102"/>
      <c r="AI102"/>
      <c r="AJ102"/>
      <c r="AK102"/>
      <c r="AL102"/>
      <c r="AM102"/>
      <c r="AN102"/>
      <c r="AO102"/>
      <c r="AP102"/>
      <c r="AQ102"/>
      <c r="AR102"/>
      <c r="AS102"/>
    </row>
    <row r="103" spans="1:45" s="128" customFormat="1" x14ac:dyDescent="0.25">
      <c r="A103"/>
      <c r="B103"/>
      <c r="C103"/>
      <c r="D103"/>
      <c r="E103"/>
      <c r="F103"/>
      <c r="G103"/>
      <c r="H103"/>
      <c r="I103"/>
      <c r="J103"/>
      <c r="K103"/>
      <c r="L103"/>
      <c r="M103"/>
      <c r="N103"/>
      <c r="O103" s="2"/>
      <c r="P103"/>
      <c r="Q103"/>
      <c r="R103" s="4"/>
      <c r="S103"/>
      <c r="T103"/>
      <c r="U103" s="4"/>
      <c r="V103" s="5"/>
      <c r="W103" s="4"/>
      <c r="X103" s="441">
        <f>+X101-X102</f>
        <v>18309761641</v>
      </c>
      <c r="Z103" s="442"/>
      <c r="AA103" s="129"/>
      <c r="AB103"/>
      <c r="AC103" s="131"/>
      <c r="AD103"/>
      <c r="AE103"/>
      <c r="AF103"/>
      <c r="AG103"/>
      <c r="AH103"/>
      <c r="AI103"/>
      <c r="AJ103"/>
      <c r="AK103"/>
      <c r="AL103"/>
      <c r="AM103"/>
      <c r="AN103"/>
      <c r="AO103"/>
      <c r="AP103"/>
      <c r="AQ103"/>
      <c r="AR103"/>
      <c r="AS103"/>
    </row>
    <row r="104" spans="1:45" s="128" customFormat="1" x14ac:dyDescent="0.25">
      <c r="A104"/>
      <c r="B104"/>
      <c r="C104"/>
      <c r="D104"/>
      <c r="E104"/>
      <c r="F104"/>
      <c r="G104"/>
      <c r="H104"/>
      <c r="I104"/>
      <c r="J104"/>
      <c r="K104"/>
      <c r="L104"/>
      <c r="M104"/>
      <c r="N104"/>
      <c r="O104" s="2"/>
      <c r="P104"/>
      <c r="Q104"/>
      <c r="R104" s="4"/>
      <c r="S104"/>
      <c r="T104" s="5"/>
      <c r="U104"/>
      <c r="V104" s="5"/>
      <c r="W104" s="4"/>
      <c r="X104" s="441"/>
      <c r="Z104" s="442"/>
      <c r="AA104" s="129"/>
      <c r="AB104"/>
      <c r="AC104" s="131"/>
      <c r="AD104"/>
      <c r="AE104"/>
      <c r="AF104"/>
      <c r="AG104"/>
      <c r="AH104"/>
      <c r="AI104"/>
      <c r="AJ104"/>
      <c r="AK104"/>
      <c r="AL104"/>
      <c r="AM104"/>
      <c r="AN104"/>
      <c r="AO104"/>
      <c r="AP104"/>
      <c r="AQ104"/>
      <c r="AR104"/>
      <c r="AS104"/>
    </row>
    <row r="105" spans="1:45" s="128" customFormat="1" x14ac:dyDescent="0.25">
      <c r="A105"/>
      <c r="B105"/>
      <c r="C105"/>
      <c r="D105"/>
      <c r="E105"/>
      <c r="F105"/>
      <c r="G105"/>
      <c r="H105"/>
      <c r="I105"/>
      <c r="J105"/>
      <c r="K105"/>
      <c r="L105"/>
      <c r="M105"/>
      <c r="N105"/>
      <c r="O105" s="2"/>
      <c r="P105"/>
      <c r="Q105"/>
      <c r="R105" s="4"/>
      <c r="S105"/>
      <c r="T105" s="5"/>
      <c r="U105" s="6"/>
      <c r="V105"/>
      <c r="W105" s="4"/>
      <c r="X105" s="441"/>
      <c r="Z105" s="442"/>
      <c r="AA105" s="129"/>
      <c r="AB105"/>
      <c r="AC105" s="131"/>
      <c r="AD105"/>
      <c r="AE105"/>
      <c r="AF105"/>
      <c r="AG105"/>
      <c r="AH105"/>
      <c r="AI105"/>
      <c r="AJ105"/>
      <c r="AK105"/>
      <c r="AL105"/>
      <c r="AM105"/>
      <c r="AN105"/>
      <c r="AO105"/>
      <c r="AP105"/>
      <c r="AQ105"/>
      <c r="AR105"/>
      <c r="AS105"/>
    </row>
    <row r="106" spans="1:45" x14ac:dyDescent="0.25">
      <c r="R106" s="4"/>
      <c r="X106" s="441"/>
      <c r="Z106" s="442"/>
      <c r="AB106" s="4"/>
    </row>
    <row r="107" spans="1:45" x14ac:dyDescent="0.25">
      <c r="R107" s="4"/>
      <c r="T107" s="5"/>
      <c r="X107" s="441"/>
      <c r="Z107" s="442"/>
      <c r="AB107" s="4"/>
    </row>
    <row r="108" spans="1:45" s="128" customFormat="1" x14ac:dyDescent="0.25">
      <c r="A108"/>
      <c r="B108"/>
      <c r="C108"/>
      <c r="D108"/>
      <c r="E108"/>
      <c r="F108"/>
      <c r="G108"/>
      <c r="H108"/>
      <c r="I108"/>
      <c r="J108"/>
      <c r="K108"/>
      <c r="L108"/>
      <c r="M108"/>
      <c r="N108"/>
      <c r="O108" s="2"/>
      <c r="P108"/>
      <c r="Q108"/>
      <c r="R108" s="4"/>
      <c r="S108"/>
      <c r="T108"/>
      <c r="U108"/>
      <c r="V108"/>
      <c r="W108" s="6"/>
      <c r="X108" s="441"/>
      <c r="Z108" s="442"/>
      <c r="AA108" s="129"/>
      <c r="AB108" s="6"/>
      <c r="AC108" s="131"/>
      <c r="AD108"/>
      <c r="AE108"/>
      <c r="AF108"/>
      <c r="AG108"/>
      <c r="AH108"/>
      <c r="AI108"/>
      <c r="AJ108"/>
      <c r="AK108"/>
      <c r="AL108"/>
      <c r="AM108"/>
      <c r="AN108"/>
      <c r="AO108"/>
      <c r="AP108"/>
      <c r="AQ108"/>
      <c r="AR108"/>
      <c r="AS108"/>
    </row>
    <row r="109" spans="1:45" x14ac:dyDescent="0.25">
      <c r="R109" s="4"/>
      <c r="X109" s="441"/>
      <c r="Z109" s="442"/>
    </row>
    <row r="110" spans="1:45" x14ac:dyDescent="0.25">
      <c r="R110" s="4"/>
      <c r="X110" s="441"/>
      <c r="Z110" s="442"/>
    </row>
    <row r="111" spans="1:45" x14ac:dyDescent="0.25">
      <c r="R111" s="4"/>
      <c r="X111" s="441"/>
      <c r="Z111" s="442"/>
    </row>
    <row r="112" spans="1:45" x14ac:dyDescent="0.25">
      <c r="R112" s="4"/>
      <c r="X112" s="441"/>
      <c r="Z112" s="442"/>
    </row>
    <row r="113" spans="1:45" x14ac:dyDescent="0.25">
      <c r="X113" s="441"/>
      <c r="Z113" s="442"/>
    </row>
    <row r="114" spans="1:45" x14ac:dyDescent="0.25">
      <c r="X114" s="441"/>
      <c r="Z114" s="442"/>
    </row>
    <row r="115" spans="1:45" x14ac:dyDescent="0.25">
      <c r="X115" s="441"/>
      <c r="Z115" s="442"/>
    </row>
    <row r="116" spans="1:45" s="129" customFormat="1" x14ac:dyDescent="0.25">
      <c r="A116"/>
      <c r="B116"/>
      <c r="C116"/>
      <c r="D116"/>
      <c r="E116"/>
      <c r="F116"/>
      <c r="G116"/>
      <c r="H116"/>
      <c r="I116"/>
      <c r="J116"/>
      <c r="K116"/>
      <c r="L116"/>
      <c r="M116"/>
      <c r="N116"/>
      <c r="O116" s="2"/>
      <c r="P116"/>
      <c r="Q116"/>
      <c r="R116"/>
      <c r="S116"/>
      <c r="T116"/>
      <c r="U116"/>
      <c r="V116"/>
      <c r="W116"/>
      <c r="X116" s="441"/>
      <c r="Y116" s="128"/>
      <c r="Z116" s="442"/>
      <c r="AB116"/>
      <c r="AC116" s="131"/>
      <c r="AD116"/>
      <c r="AE116"/>
      <c r="AF116"/>
      <c r="AG116"/>
      <c r="AH116"/>
      <c r="AI116"/>
      <c r="AJ116"/>
      <c r="AK116"/>
      <c r="AL116"/>
      <c r="AM116"/>
      <c r="AN116"/>
      <c r="AO116"/>
      <c r="AP116"/>
      <c r="AQ116"/>
      <c r="AR116"/>
      <c r="AS116"/>
    </row>
    <row r="117" spans="1:45" s="129" customFormat="1" x14ac:dyDescent="0.25">
      <c r="A117"/>
      <c r="B117"/>
      <c r="C117"/>
      <c r="D117"/>
      <c r="E117"/>
      <c r="F117"/>
      <c r="G117"/>
      <c r="H117"/>
      <c r="I117"/>
      <c r="J117"/>
      <c r="K117"/>
      <c r="L117"/>
      <c r="M117"/>
      <c r="N117"/>
      <c r="O117" s="2"/>
      <c r="P117"/>
      <c r="Q117"/>
      <c r="R117"/>
      <c r="S117"/>
      <c r="T117"/>
      <c r="U117"/>
      <c r="V117"/>
      <c r="W117"/>
      <c r="X117" s="441"/>
      <c r="Y117" s="128"/>
      <c r="Z117" s="442"/>
      <c r="AB117"/>
      <c r="AC117" s="131"/>
      <c r="AD117"/>
      <c r="AE117"/>
      <c r="AF117"/>
      <c r="AG117"/>
      <c r="AH117"/>
      <c r="AI117"/>
      <c r="AJ117"/>
      <c r="AK117"/>
      <c r="AL117"/>
      <c r="AM117"/>
      <c r="AN117"/>
      <c r="AO117"/>
      <c r="AP117"/>
      <c r="AQ117"/>
      <c r="AR117"/>
      <c r="AS117"/>
    </row>
    <row r="118" spans="1:45" s="129" customFormat="1" x14ac:dyDescent="0.25">
      <c r="A118"/>
      <c r="B118"/>
      <c r="C118"/>
      <c r="D118"/>
      <c r="E118"/>
      <c r="F118"/>
      <c r="G118"/>
      <c r="H118"/>
      <c r="I118"/>
      <c r="J118"/>
      <c r="K118"/>
      <c r="L118"/>
      <c r="M118"/>
      <c r="N118"/>
      <c r="O118" s="2"/>
      <c r="P118"/>
      <c r="Q118"/>
      <c r="R118"/>
      <c r="S118"/>
      <c r="T118"/>
      <c r="U118"/>
      <c r="V118"/>
      <c r="W118"/>
      <c r="X118" s="441"/>
      <c r="Y118" s="128"/>
      <c r="Z118" s="442"/>
      <c r="AB118"/>
      <c r="AC118" s="131"/>
      <c r="AD118"/>
      <c r="AE118"/>
      <c r="AF118"/>
      <c r="AG118"/>
      <c r="AH118"/>
      <c r="AI118"/>
      <c r="AJ118"/>
      <c r="AK118"/>
      <c r="AL118"/>
      <c r="AM118"/>
      <c r="AN118"/>
      <c r="AO118"/>
      <c r="AP118"/>
      <c r="AQ118"/>
      <c r="AR118"/>
      <c r="AS118"/>
    </row>
    <row r="130" spans="24:24" x14ac:dyDescent="0.25">
      <c r="X130" s="128">
        <v>32981688529</v>
      </c>
    </row>
    <row r="131" spans="24:24" x14ac:dyDescent="0.25">
      <c r="X131" s="128">
        <v>60460372</v>
      </c>
    </row>
    <row r="132" spans="24:24" x14ac:dyDescent="0.25">
      <c r="X132" s="128">
        <f>+X130+X131</f>
        <v>33042148901</v>
      </c>
    </row>
  </sheetData>
  <mergeCells count="2">
    <mergeCell ref="G5:I5"/>
    <mergeCell ref="L5:N5"/>
  </mergeCells>
  <dataValidations count="8">
    <dataValidation type="list" allowBlank="1" showInputMessage="1" showErrorMessage="1" sqref="D79 D85:D88" xr:uid="{00000000-0002-0000-0000-000000000000}">
      <formula1>$E$360:$E$371</formula1>
    </dataValidation>
    <dataValidation type="list" allowBlank="1" showInputMessage="1" showErrorMessage="1" sqref="D89 D93:D94" xr:uid="{00000000-0002-0000-0000-000001000000}">
      <formula1>$E$369:$E$380</formula1>
    </dataValidation>
    <dataValidation type="list" allowBlank="1" showInputMessage="1" showErrorMessage="1" sqref="D68:D73 D96 D76:D78 D91:D92 D81:D84" xr:uid="{00000000-0002-0000-0000-000002000000}">
      <formula1>$E$374:$E$385</formula1>
    </dataValidation>
    <dataValidation showDropDown="1" showInputMessage="1" showErrorMessage="1" sqref="D80" xr:uid="{00000000-0002-0000-0000-000003000000}"/>
    <dataValidation showInputMessage="1" showErrorMessage="1" sqref="D74:D75" xr:uid="{00000000-0002-0000-0000-000004000000}"/>
    <dataValidation type="list" allowBlank="1" showInputMessage="1" showErrorMessage="1" sqref="C40:C96" xr:uid="{00000000-0002-0000-0000-000005000000}">
      <formula1>$C$339:$C$343</formula1>
    </dataValidation>
    <dataValidation type="list" allowBlank="1" showInputMessage="1" showErrorMessage="1" sqref="B40:B96" xr:uid="{00000000-0002-0000-0000-000006000000}">
      <formula1>$B$339:$B$343</formula1>
    </dataValidation>
    <dataValidation type="list" allowBlank="1" showInputMessage="1" showErrorMessage="1" sqref="A40:A96" xr:uid="{00000000-0002-0000-0000-000007000000}">
      <formula1>$A$339:$A$342</formula1>
    </dataValidation>
  </dataValidation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626"/>
  <sheetViews>
    <sheetView zoomScale="70" zoomScaleNormal="70" workbookViewId="0">
      <pane ySplit="6" topLeftCell="A403" activePane="bottomLeft" state="frozen"/>
      <selection pane="bottomLeft" activeCell="D406" sqref="D406"/>
    </sheetView>
  </sheetViews>
  <sheetFormatPr baseColWidth="10" defaultColWidth="11.42578125" defaultRowHeight="15" x14ac:dyDescent="0.2"/>
  <cols>
    <col min="1" max="1" width="25.85546875" style="1295" customWidth="1"/>
    <col min="2" max="2" width="19.85546875" style="1296" bestFit="1" customWidth="1"/>
    <col min="3" max="3" width="29.42578125" style="1295" customWidth="1"/>
    <col min="4" max="4" width="18.42578125" style="1204" customWidth="1"/>
    <col min="5" max="5" width="24.7109375" style="1297" customWidth="1"/>
    <col min="6" max="6" width="67.85546875" style="1295" customWidth="1"/>
    <col min="7" max="8" width="24.5703125" style="1204" customWidth="1"/>
    <col min="9" max="9" width="19.28515625" style="1204" customWidth="1"/>
    <col min="10" max="10" width="25.5703125" style="1204" customWidth="1"/>
    <col min="11" max="11" width="22.7109375" style="1204" customWidth="1"/>
    <col min="12" max="12" width="35.85546875" style="1297" customWidth="1"/>
    <col min="13" max="13" width="21.7109375" style="1204" customWidth="1"/>
    <col min="14" max="14" width="47.28515625" style="1204" customWidth="1"/>
    <col min="15" max="15" width="49.85546875" style="1204" customWidth="1"/>
    <col min="16" max="16" width="19.42578125" style="1204" bestFit="1" customWidth="1"/>
    <col min="17" max="17" width="17.85546875" style="1204" bestFit="1" customWidth="1"/>
    <col min="18" max="18" width="14.85546875" style="1204" bestFit="1" customWidth="1"/>
    <col min="19" max="16384" width="11.42578125" style="1204"/>
  </cols>
  <sheetData>
    <row r="1" spans="1:18" s="1156" customFormat="1" x14ac:dyDescent="0.25">
      <c r="A1" s="1399" t="s">
        <v>641</v>
      </c>
      <c r="B1" s="1399"/>
      <c r="C1" s="1399"/>
      <c r="D1" s="1399"/>
      <c r="E1" s="1399"/>
      <c r="F1" s="1399"/>
      <c r="G1" s="1399"/>
      <c r="H1" s="1399"/>
      <c r="I1" s="1399"/>
      <c r="J1" s="1399"/>
      <c r="K1" s="1399"/>
      <c r="L1" s="1399"/>
      <c r="M1" s="1155"/>
      <c r="N1" s="1155"/>
      <c r="O1" s="1155"/>
    </row>
    <row r="2" spans="1:18" s="1156" customFormat="1" x14ac:dyDescent="0.25">
      <c r="A2" s="1395"/>
      <c r="B2" s="1395"/>
      <c r="C2" s="1395"/>
      <c r="D2" s="1395"/>
      <c r="E2" s="1395"/>
      <c r="F2" s="1395"/>
      <c r="G2" s="1395"/>
      <c r="H2" s="1395"/>
      <c r="I2" s="1395"/>
      <c r="J2" s="1395"/>
      <c r="K2" s="1395"/>
      <c r="L2" s="1395"/>
      <c r="M2" s="1155"/>
      <c r="N2" s="1155"/>
      <c r="O2" s="1155"/>
    </row>
    <row r="3" spans="1:18" s="1156" customFormat="1" x14ac:dyDescent="0.25">
      <c r="A3" s="1395" t="s">
        <v>1960</v>
      </c>
      <c r="B3" s="1395"/>
      <c r="C3" s="1395"/>
      <c r="D3" s="1395"/>
      <c r="E3" s="1395"/>
      <c r="F3" s="1395"/>
      <c r="G3" s="1395"/>
      <c r="H3" s="1395"/>
      <c r="I3" s="1395"/>
      <c r="J3" s="1395"/>
      <c r="K3" s="1395"/>
      <c r="L3" s="1395"/>
      <c r="M3" s="1395"/>
      <c r="N3" s="1395"/>
      <c r="O3" s="1395"/>
    </row>
    <row r="4" spans="1:18" s="1156" customFormat="1" x14ac:dyDescent="0.25">
      <c r="B4" s="1157"/>
      <c r="D4" s="1158"/>
      <c r="E4" s="1157"/>
      <c r="G4" s="1158"/>
      <c r="H4" s="1158"/>
      <c r="I4" s="1158"/>
      <c r="J4" s="1158"/>
      <c r="K4" s="1158"/>
      <c r="L4" s="1159"/>
      <c r="M4" s="1400" t="s">
        <v>1961</v>
      </c>
      <c r="N4" s="1400"/>
    </row>
    <row r="5" spans="1:18" s="1156" customFormat="1" x14ac:dyDescent="0.25">
      <c r="A5" s="1160"/>
      <c r="B5" s="1161"/>
      <c r="C5" s="1160"/>
      <c r="D5" s="1160"/>
      <c r="E5" s="1157"/>
      <c r="K5" s="1162"/>
      <c r="L5" s="1163"/>
      <c r="M5" s="1164">
        <f>+SUBTOTAL(9,M7:M625)</f>
        <v>67240064999.699997</v>
      </c>
      <c r="N5" s="1165"/>
    </row>
    <row r="6" spans="1:18" s="1156" customFormat="1" ht="90" x14ac:dyDescent="0.25">
      <c r="A6" s="1166" t="s">
        <v>651</v>
      </c>
      <c r="B6" s="1166" t="s">
        <v>644</v>
      </c>
      <c r="C6" s="1166" t="s">
        <v>652</v>
      </c>
      <c r="D6" s="1166" t="s">
        <v>653</v>
      </c>
      <c r="E6" s="1166" t="s">
        <v>654</v>
      </c>
      <c r="F6" s="1167" t="s">
        <v>1962</v>
      </c>
      <c r="G6" s="1167" t="s">
        <v>1963</v>
      </c>
      <c r="H6" s="1167" t="s">
        <v>1964</v>
      </c>
      <c r="I6" s="1166" t="s">
        <v>1965</v>
      </c>
      <c r="J6" s="1166" t="s">
        <v>659</v>
      </c>
      <c r="K6" s="1166" t="s">
        <v>660</v>
      </c>
      <c r="L6" s="1168" t="s">
        <v>661</v>
      </c>
      <c r="M6" s="1166" t="s">
        <v>662</v>
      </c>
      <c r="N6" s="1166" t="s">
        <v>663</v>
      </c>
      <c r="O6" s="1166" t="s">
        <v>1740</v>
      </c>
    </row>
    <row r="7" spans="1:18" s="1156" customFormat="1" ht="105" x14ac:dyDescent="0.25">
      <c r="A7" s="1169">
        <v>2022001</v>
      </c>
      <c r="B7" s="1169">
        <v>7637</v>
      </c>
      <c r="C7" s="1169" t="s">
        <v>645</v>
      </c>
      <c r="D7" s="1170" t="s">
        <v>674</v>
      </c>
      <c r="E7" s="1171">
        <v>80111600</v>
      </c>
      <c r="F7" s="1172" t="s">
        <v>676</v>
      </c>
      <c r="G7" s="1173" t="s">
        <v>1743</v>
      </c>
      <c r="H7" s="1173" t="s">
        <v>1743</v>
      </c>
      <c r="I7" s="1173">
        <v>11</v>
      </c>
      <c r="J7" s="1173" t="s">
        <v>1744</v>
      </c>
      <c r="K7" s="1174" t="s">
        <v>678</v>
      </c>
      <c r="L7" s="1175" t="s">
        <v>679</v>
      </c>
      <c r="M7" s="1176">
        <f>93500000-23400000</f>
        <v>70100000</v>
      </c>
      <c r="N7" s="1171" t="s">
        <v>733</v>
      </c>
      <c r="O7" s="1171" t="s">
        <v>1745</v>
      </c>
    </row>
    <row r="8" spans="1:18" s="1156" customFormat="1" ht="105" x14ac:dyDescent="0.25">
      <c r="A8" s="1169">
        <v>2022002</v>
      </c>
      <c r="B8" s="1169">
        <v>7637</v>
      </c>
      <c r="C8" s="1169" t="s">
        <v>645</v>
      </c>
      <c r="D8" s="1170" t="s">
        <v>674</v>
      </c>
      <c r="E8" s="1171">
        <v>80111600</v>
      </c>
      <c r="F8" s="1172" t="s">
        <v>685</v>
      </c>
      <c r="G8" s="1173" t="s">
        <v>1743</v>
      </c>
      <c r="H8" s="1173" t="s">
        <v>1743</v>
      </c>
      <c r="I8" s="1173">
        <v>11</v>
      </c>
      <c r="J8" s="1173" t="s">
        <v>1744</v>
      </c>
      <c r="K8" s="1174" t="s">
        <v>678</v>
      </c>
      <c r="L8" s="1175" t="s">
        <v>679</v>
      </c>
      <c r="M8" s="1176">
        <v>77000000</v>
      </c>
      <c r="N8" s="1171" t="s">
        <v>733</v>
      </c>
      <c r="O8" s="1171" t="s">
        <v>1745</v>
      </c>
    </row>
    <row r="9" spans="1:18" s="1156" customFormat="1" ht="105" x14ac:dyDescent="0.25">
      <c r="A9" s="1169">
        <v>2022003</v>
      </c>
      <c r="B9" s="1169">
        <v>7637</v>
      </c>
      <c r="C9" s="1169" t="s">
        <v>645</v>
      </c>
      <c r="D9" s="1170" t="s">
        <v>674</v>
      </c>
      <c r="E9" s="1171">
        <v>80111600</v>
      </c>
      <c r="F9" s="1172" t="s">
        <v>688</v>
      </c>
      <c r="G9" s="1173" t="s">
        <v>1743</v>
      </c>
      <c r="H9" s="1173" t="s">
        <v>1743</v>
      </c>
      <c r="I9" s="1173">
        <v>11</v>
      </c>
      <c r="J9" s="1173" t="s">
        <v>1744</v>
      </c>
      <c r="K9" s="1174" t="s">
        <v>678</v>
      </c>
      <c r="L9" s="1175" t="s">
        <v>679</v>
      </c>
      <c r="M9" s="1176">
        <v>77000000</v>
      </c>
      <c r="N9" s="1171" t="s">
        <v>739</v>
      </c>
      <c r="O9" s="1171" t="s">
        <v>1745</v>
      </c>
    </row>
    <row r="10" spans="1:18" s="1156" customFormat="1" ht="105" x14ac:dyDescent="0.25">
      <c r="A10" s="1169">
        <v>2022004</v>
      </c>
      <c r="B10" s="1169">
        <v>7637</v>
      </c>
      <c r="C10" s="1169" t="s">
        <v>645</v>
      </c>
      <c r="D10" s="1170" t="s">
        <v>674</v>
      </c>
      <c r="E10" s="1171">
        <v>80111600</v>
      </c>
      <c r="F10" s="1172" t="s">
        <v>692</v>
      </c>
      <c r="G10" s="1173" t="s">
        <v>1743</v>
      </c>
      <c r="H10" s="1173" t="s">
        <v>1743</v>
      </c>
      <c r="I10" s="1173">
        <v>11</v>
      </c>
      <c r="J10" s="1173" t="s">
        <v>1744</v>
      </c>
      <c r="K10" s="1174" t="s">
        <v>678</v>
      </c>
      <c r="L10" s="1175" t="s">
        <v>679</v>
      </c>
      <c r="M10" s="1176">
        <v>77000000</v>
      </c>
      <c r="N10" s="1171" t="s">
        <v>733</v>
      </c>
      <c r="O10" s="1171" t="s">
        <v>1745</v>
      </c>
    </row>
    <row r="11" spans="1:18" s="1156" customFormat="1" ht="105" x14ac:dyDescent="0.25">
      <c r="A11" s="1169">
        <v>2022005</v>
      </c>
      <c r="B11" s="1169">
        <v>7637</v>
      </c>
      <c r="C11" s="1169" t="s">
        <v>645</v>
      </c>
      <c r="D11" s="1170" t="s">
        <v>674</v>
      </c>
      <c r="E11" s="1171">
        <v>80111600</v>
      </c>
      <c r="F11" s="1172" t="s">
        <v>695</v>
      </c>
      <c r="G11" s="1173" t="s">
        <v>1743</v>
      </c>
      <c r="H11" s="1173" t="s">
        <v>1743</v>
      </c>
      <c r="I11" s="1173">
        <v>11</v>
      </c>
      <c r="J11" s="1173" t="s">
        <v>1744</v>
      </c>
      <c r="K11" s="1174" t="s">
        <v>678</v>
      </c>
      <c r="L11" s="1175" t="s">
        <v>679</v>
      </c>
      <c r="M11" s="1176">
        <v>77000000</v>
      </c>
      <c r="N11" s="1171" t="s">
        <v>733</v>
      </c>
      <c r="O11" s="1171" t="s">
        <v>1745</v>
      </c>
    </row>
    <row r="12" spans="1:18" s="1177" customFormat="1" ht="105" x14ac:dyDescent="0.25">
      <c r="A12" s="1169">
        <v>2022006</v>
      </c>
      <c r="B12" s="1169">
        <v>7637</v>
      </c>
      <c r="C12" s="1169" t="s">
        <v>645</v>
      </c>
      <c r="D12" s="1170" t="s">
        <v>674</v>
      </c>
      <c r="E12" s="1171">
        <v>80111600</v>
      </c>
      <c r="F12" s="1172" t="s">
        <v>698</v>
      </c>
      <c r="G12" s="1173" t="s">
        <v>1743</v>
      </c>
      <c r="H12" s="1173" t="s">
        <v>1743</v>
      </c>
      <c r="I12" s="1173">
        <v>11</v>
      </c>
      <c r="J12" s="1173" t="s">
        <v>1744</v>
      </c>
      <c r="K12" s="1174" t="s">
        <v>678</v>
      </c>
      <c r="L12" s="1175" t="s">
        <v>679</v>
      </c>
      <c r="M12" s="1176">
        <v>66000000</v>
      </c>
      <c r="N12" s="1171" t="s">
        <v>733</v>
      </c>
      <c r="O12" s="1171" t="s">
        <v>1745</v>
      </c>
      <c r="R12" s="1156"/>
    </row>
    <row r="13" spans="1:18" s="1156" customFormat="1" ht="105" x14ac:dyDescent="0.25">
      <c r="A13" s="1169">
        <v>2022007</v>
      </c>
      <c r="B13" s="1169">
        <v>7637</v>
      </c>
      <c r="C13" s="1169" t="s">
        <v>645</v>
      </c>
      <c r="D13" s="1170" t="s">
        <v>674</v>
      </c>
      <c r="E13" s="1171">
        <v>80111600</v>
      </c>
      <c r="F13" s="1172" t="s">
        <v>701</v>
      </c>
      <c r="G13" s="1173" t="s">
        <v>1743</v>
      </c>
      <c r="H13" s="1173" t="s">
        <v>1743</v>
      </c>
      <c r="I13" s="1173">
        <v>11</v>
      </c>
      <c r="J13" s="1173" t="s">
        <v>1744</v>
      </c>
      <c r="K13" s="1174" t="s">
        <v>678</v>
      </c>
      <c r="L13" s="1175" t="s">
        <v>679</v>
      </c>
      <c r="M13" s="1176">
        <v>77000000</v>
      </c>
      <c r="N13" s="1171" t="s">
        <v>733</v>
      </c>
      <c r="O13" s="1171" t="s">
        <v>1745</v>
      </c>
    </row>
    <row r="14" spans="1:18" s="1156" customFormat="1" ht="75" customHeight="1" x14ac:dyDescent="0.25">
      <c r="A14" s="1169">
        <v>2022008</v>
      </c>
      <c r="B14" s="1169">
        <v>7637</v>
      </c>
      <c r="C14" s="1169" t="s">
        <v>645</v>
      </c>
      <c r="D14" s="1170" t="s">
        <v>674</v>
      </c>
      <c r="E14" s="1171">
        <v>80111600</v>
      </c>
      <c r="F14" s="1172" t="s">
        <v>704</v>
      </c>
      <c r="G14" s="1173" t="s">
        <v>1743</v>
      </c>
      <c r="H14" s="1173" t="s">
        <v>1743</v>
      </c>
      <c r="I14" s="1173">
        <v>11</v>
      </c>
      <c r="J14" s="1173" t="s">
        <v>1744</v>
      </c>
      <c r="K14" s="1174" t="s">
        <v>678</v>
      </c>
      <c r="L14" s="1175" t="s">
        <v>679</v>
      </c>
      <c r="M14" s="1176">
        <v>77000000</v>
      </c>
      <c r="N14" s="1171" t="s">
        <v>733</v>
      </c>
      <c r="O14" s="1171" t="s">
        <v>1745</v>
      </c>
    </row>
    <row r="15" spans="1:18" s="1156" customFormat="1" ht="75" customHeight="1" x14ac:dyDescent="0.25">
      <c r="A15" s="1169">
        <v>2022009</v>
      </c>
      <c r="B15" s="1169">
        <v>7637</v>
      </c>
      <c r="C15" s="1169" t="s">
        <v>645</v>
      </c>
      <c r="D15" s="1170" t="s">
        <v>674</v>
      </c>
      <c r="E15" s="1171">
        <v>80111600</v>
      </c>
      <c r="F15" s="1172" t="s">
        <v>706</v>
      </c>
      <c r="G15" s="1173" t="s">
        <v>1743</v>
      </c>
      <c r="H15" s="1173" t="s">
        <v>1743</v>
      </c>
      <c r="I15" s="1173">
        <v>11</v>
      </c>
      <c r="J15" s="1173" t="s">
        <v>1744</v>
      </c>
      <c r="K15" s="1174" t="s">
        <v>678</v>
      </c>
      <c r="L15" s="1175" t="s">
        <v>679</v>
      </c>
      <c r="M15" s="1176">
        <v>77000000</v>
      </c>
      <c r="N15" s="1171" t="s">
        <v>735</v>
      </c>
      <c r="O15" s="1171" t="s">
        <v>1745</v>
      </c>
    </row>
    <row r="16" spans="1:18" s="1177" customFormat="1" ht="105" x14ac:dyDescent="0.25">
      <c r="A16" s="1169">
        <v>2022010</v>
      </c>
      <c r="B16" s="1169">
        <v>7637</v>
      </c>
      <c r="C16" s="1169" t="s">
        <v>645</v>
      </c>
      <c r="D16" s="1170" t="s">
        <v>674</v>
      </c>
      <c r="E16" s="1171">
        <v>80111600</v>
      </c>
      <c r="F16" s="1172" t="s">
        <v>709</v>
      </c>
      <c r="G16" s="1173" t="s">
        <v>1743</v>
      </c>
      <c r="H16" s="1173" t="s">
        <v>1743</v>
      </c>
      <c r="I16" s="1173">
        <v>11</v>
      </c>
      <c r="J16" s="1173" t="s">
        <v>1744</v>
      </c>
      <c r="K16" s="1174" t="s">
        <v>678</v>
      </c>
      <c r="L16" s="1175" t="s">
        <v>679</v>
      </c>
      <c r="M16" s="1176">
        <v>66000000</v>
      </c>
      <c r="N16" s="1171" t="s">
        <v>733</v>
      </c>
      <c r="O16" s="1171" t="s">
        <v>1745</v>
      </c>
      <c r="R16" s="1156"/>
    </row>
    <row r="17" spans="1:18" s="1156" customFormat="1" ht="135" customHeight="1" x14ac:dyDescent="0.25">
      <c r="A17" s="1169">
        <v>2022011</v>
      </c>
      <c r="B17" s="1169">
        <v>7637</v>
      </c>
      <c r="C17" s="1169" t="s">
        <v>645</v>
      </c>
      <c r="D17" s="1170" t="s">
        <v>674</v>
      </c>
      <c r="E17" s="1171">
        <v>80111600</v>
      </c>
      <c r="F17" s="1172" t="s">
        <v>711</v>
      </c>
      <c r="G17" s="1173" t="s">
        <v>1743</v>
      </c>
      <c r="H17" s="1173" t="s">
        <v>1743</v>
      </c>
      <c r="I17" s="1173">
        <v>11</v>
      </c>
      <c r="J17" s="1173" t="s">
        <v>1744</v>
      </c>
      <c r="K17" s="1174" t="s">
        <v>678</v>
      </c>
      <c r="L17" s="1175" t="s">
        <v>679</v>
      </c>
      <c r="M17" s="1176">
        <v>33000000</v>
      </c>
      <c r="N17" s="1171" t="s">
        <v>733</v>
      </c>
      <c r="O17" s="1171" t="s">
        <v>1745</v>
      </c>
    </row>
    <row r="18" spans="1:18" s="1156" customFormat="1" ht="105" x14ac:dyDescent="0.25">
      <c r="A18" s="1169">
        <v>2022012</v>
      </c>
      <c r="B18" s="1169">
        <v>7637</v>
      </c>
      <c r="C18" s="1169" t="s">
        <v>645</v>
      </c>
      <c r="D18" s="1170" t="s">
        <v>674</v>
      </c>
      <c r="E18" s="1171">
        <v>80111600</v>
      </c>
      <c r="F18" s="1172" t="s">
        <v>713</v>
      </c>
      <c r="G18" s="1173" t="s">
        <v>1743</v>
      </c>
      <c r="H18" s="1173" t="s">
        <v>1743</v>
      </c>
      <c r="I18" s="1173">
        <v>11</v>
      </c>
      <c r="J18" s="1173" t="s">
        <v>1744</v>
      </c>
      <c r="K18" s="1174" t="s">
        <v>678</v>
      </c>
      <c r="L18" s="1175" t="s">
        <v>679</v>
      </c>
      <c r="M18" s="1176">
        <v>49500000</v>
      </c>
      <c r="N18" s="1171" t="s">
        <v>733</v>
      </c>
      <c r="O18" s="1171" t="s">
        <v>1745</v>
      </c>
    </row>
    <row r="19" spans="1:18" s="1177" customFormat="1" ht="105" x14ac:dyDescent="0.25">
      <c r="A19" s="1169">
        <v>2022013</v>
      </c>
      <c r="B19" s="1169">
        <v>7637</v>
      </c>
      <c r="C19" s="1169" t="s">
        <v>645</v>
      </c>
      <c r="D19" s="1170" t="s">
        <v>674</v>
      </c>
      <c r="E19" s="1171">
        <v>80111600</v>
      </c>
      <c r="F19" s="1172" t="s">
        <v>715</v>
      </c>
      <c r="G19" s="1173" t="s">
        <v>1743</v>
      </c>
      <c r="H19" s="1173" t="s">
        <v>1743</v>
      </c>
      <c r="I19" s="1173">
        <v>11</v>
      </c>
      <c r="J19" s="1173" t="s">
        <v>1744</v>
      </c>
      <c r="K19" s="1174" t="s">
        <v>678</v>
      </c>
      <c r="L19" s="1175" t="s">
        <v>679</v>
      </c>
      <c r="M19" s="1176">
        <v>49500000</v>
      </c>
      <c r="N19" s="1171" t="s">
        <v>733</v>
      </c>
      <c r="O19" s="1171" t="s">
        <v>1745</v>
      </c>
      <c r="R19" s="1156"/>
    </row>
    <row r="20" spans="1:18" s="1156" customFormat="1" ht="105" x14ac:dyDescent="0.25">
      <c r="A20" s="1169">
        <v>2022014</v>
      </c>
      <c r="B20" s="1169">
        <v>7637</v>
      </c>
      <c r="C20" s="1169" t="s">
        <v>645</v>
      </c>
      <c r="D20" s="1170" t="s">
        <v>674</v>
      </c>
      <c r="E20" s="1171">
        <v>80111600</v>
      </c>
      <c r="F20" s="1172" t="s">
        <v>717</v>
      </c>
      <c r="G20" s="1173" t="s">
        <v>1743</v>
      </c>
      <c r="H20" s="1173" t="s">
        <v>1743</v>
      </c>
      <c r="I20" s="1173">
        <v>11</v>
      </c>
      <c r="J20" s="1173" t="s">
        <v>1744</v>
      </c>
      <c r="K20" s="1174" t="s">
        <v>678</v>
      </c>
      <c r="L20" s="1175" t="s">
        <v>679</v>
      </c>
      <c r="M20" s="1176">
        <v>77000000</v>
      </c>
      <c r="N20" s="1171" t="s">
        <v>735</v>
      </c>
      <c r="O20" s="1171" t="s">
        <v>1745</v>
      </c>
    </row>
    <row r="21" spans="1:18" s="1156" customFormat="1" ht="105" x14ac:dyDescent="0.25">
      <c r="A21" s="1169">
        <v>2022015</v>
      </c>
      <c r="B21" s="1169">
        <v>7637</v>
      </c>
      <c r="C21" s="1169" t="s">
        <v>645</v>
      </c>
      <c r="D21" s="1170" t="s">
        <v>674</v>
      </c>
      <c r="E21" s="1171">
        <v>80111600</v>
      </c>
      <c r="F21" s="1172" t="s">
        <v>719</v>
      </c>
      <c r="G21" s="1173" t="s">
        <v>1743</v>
      </c>
      <c r="H21" s="1173" t="s">
        <v>1743</v>
      </c>
      <c r="I21" s="1173">
        <v>11</v>
      </c>
      <c r="J21" s="1173" t="s">
        <v>1744</v>
      </c>
      <c r="K21" s="1174" t="s">
        <v>678</v>
      </c>
      <c r="L21" s="1175" t="s">
        <v>679</v>
      </c>
      <c r="M21" s="1176">
        <v>77000000</v>
      </c>
      <c r="N21" s="1171" t="s">
        <v>733</v>
      </c>
      <c r="O21" s="1171" t="s">
        <v>1745</v>
      </c>
    </row>
    <row r="22" spans="1:18" s="1156" customFormat="1" ht="105" x14ac:dyDescent="0.25">
      <c r="A22" s="1169">
        <v>2022016</v>
      </c>
      <c r="B22" s="1169">
        <v>7637</v>
      </c>
      <c r="C22" s="1169" t="s">
        <v>645</v>
      </c>
      <c r="D22" s="1170" t="s">
        <v>674</v>
      </c>
      <c r="E22" s="1171">
        <v>80111600</v>
      </c>
      <c r="F22" s="1172" t="s">
        <v>720</v>
      </c>
      <c r="G22" s="1173" t="s">
        <v>1743</v>
      </c>
      <c r="H22" s="1173" t="s">
        <v>1743</v>
      </c>
      <c r="I22" s="1173">
        <v>9.9</v>
      </c>
      <c r="J22" s="1173" t="s">
        <v>1744</v>
      </c>
      <c r="K22" s="1174" t="s">
        <v>678</v>
      </c>
      <c r="L22" s="1175" t="s">
        <v>679</v>
      </c>
      <c r="M22" s="1176">
        <v>49500000</v>
      </c>
      <c r="N22" s="1171" t="s">
        <v>735</v>
      </c>
      <c r="O22" s="1171" t="s">
        <v>1745</v>
      </c>
    </row>
    <row r="23" spans="1:18" s="1177" customFormat="1" ht="105" x14ac:dyDescent="0.25">
      <c r="A23" s="1169">
        <v>2022017</v>
      </c>
      <c r="B23" s="1169">
        <v>7637</v>
      </c>
      <c r="C23" s="1169" t="s">
        <v>645</v>
      </c>
      <c r="D23" s="1170" t="s">
        <v>674</v>
      </c>
      <c r="E23" s="1171">
        <v>80111600</v>
      </c>
      <c r="F23" s="1172" t="s">
        <v>722</v>
      </c>
      <c r="G23" s="1173" t="s">
        <v>1743</v>
      </c>
      <c r="H23" s="1173" t="s">
        <v>1743</v>
      </c>
      <c r="I23" s="1173">
        <v>11</v>
      </c>
      <c r="J23" s="1173" t="s">
        <v>1744</v>
      </c>
      <c r="K23" s="1174" t="s">
        <v>678</v>
      </c>
      <c r="L23" s="1175" t="s">
        <v>679</v>
      </c>
      <c r="M23" s="1176">
        <v>33000000</v>
      </c>
      <c r="N23" s="1171" t="s">
        <v>733</v>
      </c>
      <c r="O23" s="1171" t="s">
        <v>1745</v>
      </c>
      <c r="R23" s="1156"/>
    </row>
    <row r="24" spans="1:18" s="1177" customFormat="1" ht="105" x14ac:dyDescent="0.25">
      <c r="A24" s="1169">
        <v>2022018</v>
      </c>
      <c r="B24" s="1169">
        <v>7637</v>
      </c>
      <c r="C24" s="1173" t="s">
        <v>645</v>
      </c>
      <c r="D24" s="1170" t="s">
        <v>674</v>
      </c>
      <c r="E24" s="1171">
        <v>80111600</v>
      </c>
      <c r="F24" s="1172" t="s">
        <v>724</v>
      </c>
      <c r="G24" s="1173" t="s">
        <v>1743</v>
      </c>
      <c r="H24" s="1173" t="s">
        <v>1743</v>
      </c>
      <c r="I24" s="1173" t="s">
        <v>1746</v>
      </c>
      <c r="J24" s="1173" t="s">
        <v>1744</v>
      </c>
      <c r="K24" s="1173" t="s">
        <v>678</v>
      </c>
      <c r="L24" s="1173" t="s">
        <v>679</v>
      </c>
      <c r="M24" s="1176">
        <f>33000000-3500000</f>
        <v>29500000</v>
      </c>
      <c r="N24" s="1171" t="s">
        <v>733</v>
      </c>
      <c r="O24" s="1171" t="s">
        <v>1745</v>
      </c>
      <c r="R24" s="1156"/>
    </row>
    <row r="25" spans="1:18" s="1177" customFormat="1" ht="105" x14ac:dyDescent="0.25">
      <c r="A25" s="1169">
        <v>2022019</v>
      </c>
      <c r="B25" s="1169">
        <v>7637</v>
      </c>
      <c r="C25" s="1169" t="s">
        <v>645</v>
      </c>
      <c r="D25" s="1170" t="s">
        <v>674</v>
      </c>
      <c r="E25" s="1171">
        <v>80111600</v>
      </c>
      <c r="F25" s="1172" t="s">
        <v>726</v>
      </c>
      <c r="G25" s="1173" t="s">
        <v>1743</v>
      </c>
      <c r="H25" s="1173" t="s">
        <v>1743</v>
      </c>
      <c r="I25" s="1173">
        <v>11</v>
      </c>
      <c r="J25" s="1173" t="s">
        <v>1744</v>
      </c>
      <c r="K25" s="1173" t="s">
        <v>678</v>
      </c>
      <c r="L25" s="1175" t="s">
        <v>679</v>
      </c>
      <c r="M25" s="1176">
        <v>68200000</v>
      </c>
      <c r="N25" s="1171" t="s">
        <v>733</v>
      </c>
      <c r="O25" s="1171" t="s">
        <v>1745</v>
      </c>
      <c r="R25" s="1156"/>
    </row>
    <row r="26" spans="1:18" s="1177" customFormat="1" ht="105" x14ac:dyDescent="0.25">
      <c r="A26" s="1169">
        <v>2022020</v>
      </c>
      <c r="B26" s="1169">
        <v>7637</v>
      </c>
      <c r="C26" s="1169" t="s">
        <v>645</v>
      </c>
      <c r="D26" s="1170" t="s">
        <v>674</v>
      </c>
      <c r="E26" s="1171">
        <v>80111600</v>
      </c>
      <c r="F26" s="1172" t="s">
        <v>728</v>
      </c>
      <c r="G26" s="1173" t="s">
        <v>1743</v>
      </c>
      <c r="H26" s="1173" t="s">
        <v>1743</v>
      </c>
      <c r="I26" s="1173">
        <v>11</v>
      </c>
      <c r="J26" s="1173" t="s">
        <v>1744</v>
      </c>
      <c r="K26" s="1173" t="s">
        <v>678</v>
      </c>
      <c r="L26" s="1175" t="s">
        <v>679</v>
      </c>
      <c r="M26" s="1176">
        <v>49500000</v>
      </c>
      <c r="N26" s="1171" t="s">
        <v>733</v>
      </c>
      <c r="O26" s="1171" t="s">
        <v>1745</v>
      </c>
      <c r="R26" s="1156"/>
    </row>
    <row r="27" spans="1:18" s="1177" customFormat="1" ht="105" x14ac:dyDescent="0.25">
      <c r="A27" s="1169">
        <v>2022021</v>
      </c>
      <c r="B27" s="1169">
        <v>7637</v>
      </c>
      <c r="C27" s="1169" t="s">
        <v>645</v>
      </c>
      <c r="D27" s="1175" t="s">
        <v>674</v>
      </c>
      <c r="E27" s="1178" t="s">
        <v>1747</v>
      </c>
      <c r="F27" s="1172" t="s">
        <v>1748</v>
      </c>
      <c r="G27" s="1173" t="s">
        <v>1749</v>
      </c>
      <c r="H27" s="1173" t="s">
        <v>1750</v>
      </c>
      <c r="I27" s="1173">
        <v>6</v>
      </c>
      <c r="J27" s="1173" t="s">
        <v>1751</v>
      </c>
      <c r="K27" s="1173" t="s">
        <v>678</v>
      </c>
      <c r="L27" s="1175" t="s">
        <v>732</v>
      </c>
      <c r="M27" s="1176">
        <v>60000000</v>
      </c>
      <c r="N27" s="1171" t="s">
        <v>733</v>
      </c>
      <c r="O27" s="1171" t="s">
        <v>1745</v>
      </c>
      <c r="R27" s="1156"/>
    </row>
    <row r="28" spans="1:18" s="1177" customFormat="1" ht="105" x14ac:dyDescent="0.25">
      <c r="A28" s="1179">
        <v>2022022</v>
      </c>
      <c r="B28" s="1179">
        <v>7637</v>
      </c>
      <c r="C28" s="1179" t="s">
        <v>645</v>
      </c>
      <c r="D28" s="1180" t="s">
        <v>674</v>
      </c>
      <c r="E28" s="1181" t="s">
        <v>1752</v>
      </c>
      <c r="F28" s="1182" t="s">
        <v>731</v>
      </c>
      <c r="G28" s="1181" t="s">
        <v>1749</v>
      </c>
      <c r="H28" s="1181" t="s">
        <v>1866</v>
      </c>
      <c r="I28" s="1181">
        <v>1</v>
      </c>
      <c r="J28" s="1181" t="s">
        <v>1754</v>
      </c>
      <c r="K28" s="1181" t="s">
        <v>678</v>
      </c>
      <c r="L28" s="1180" t="s">
        <v>732</v>
      </c>
      <c r="M28" s="1183">
        <v>600000000</v>
      </c>
      <c r="N28" s="1184" t="s">
        <v>733</v>
      </c>
      <c r="O28" s="1184" t="s">
        <v>1745</v>
      </c>
      <c r="R28" s="1156"/>
    </row>
    <row r="29" spans="1:18" s="1177" customFormat="1" ht="105" x14ac:dyDescent="0.25">
      <c r="A29" s="1169">
        <v>2022023</v>
      </c>
      <c r="B29" s="1169">
        <v>7637</v>
      </c>
      <c r="C29" s="1169" t="s">
        <v>645</v>
      </c>
      <c r="D29" s="1175" t="s">
        <v>674</v>
      </c>
      <c r="E29" s="1173">
        <v>81112401</v>
      </c>
      <c r="F29" s="1172" t="s">
        <v>734</v>
      </c>
      <c r="G29" s="1173" t="s">
        <v>1749</v>
      </c>
      <c r="H29" s="1173" t="s">
        <v>1749</v>
      </c>
      <c r="I29" s="1173">
        <v>3</v>
      </c>
      <c r="J29" s="1173" t="s">
        <v>1754</v>
      </c>
      <c r="K29" s="1173" t="s">
        <v>678</v>
      </c>
      <c r="L29" s="1175" t="s">
        <v>732</v>
      </c>
      <c r="M29" s="1176">
        <v>195700000</v>
      </c>
      <c r="N29" s="1171" t="s">
        <v>733</v>
      </c>
      <c r="O29" s="1171" t="s">
        <v>1745</v>
      </c>
      <c r="R29" s="1156"/>
    </row>
    <row r="30" spans="1:18" s="1177" customFormat="1" ht="105" x14ac:dyDescent="0.25">
      <c r="A30" s="1179">
        <v>2022024</v>
      </c>
      <c r="B30" s="1179">
        <v>7637</v>
      </c>
      <c r="C30" s="1179" t="s">
        <v>645</v>
      </c>
      <c r="D30" s="1180" t="s">
        <v>674</v>
      </c>
      <c r="E30" s="1181">
        <v>72151605</v>
      </c>
      <c r="F30" s="1182" t="s">
        <v>1966</v>
      </c>
      <c r="G30" s="1181" t="s">
        <v>1873</v>
      </c>
      <c r="H30" s="1181" t="s">
        <v>1750</v>
      </c>
      <c r="I30" s="1181">
        <v>6</v>
      </c>
      <c r="J30" s="1181" t="s">
        <v>1766</v>
      </c>
      <c r="K30" s="1181" t="s">
        <v>678</v>
      </c>
      <c r="L30" s="1180" t="s">
        <v>679</v>
      </c>
      <c r="M30" s="1183">
        <v>114000000</v>
      </c>
      <c r="N30" s="1184" t="s">
        <v>733</v>
      </c>
      <c r="O30" s="1184" t="s">
        <v>1745</v>
      </c>
      <c r="R30" s="1156"/>
    </row>
    <row r="31" spans="1:18" s="1177" customFormat="1" ht="105" x14ac:dyDescent="0.25">
      <c r="A31" s="1169">
        <v>2022025</v>
      </c>
      <c r="B31" s="1169">
        <v>7637</v>
      </c>
      <c r="C31" s="1169" t="s">
        <v>645</v>
      </c>
      <c r="D31" s="1175" t="s">
        <v>674</v>
      </c>
      <c r="E31" s="1173">
        <v>81112217</v>
      </c>
      <c r="F31" s="1172" t="s">
        <v>740</v>
      </c>
      <c r="G31" s="1173" t="s">
        <v>1757</v>
      </c>
      <c r="H31" s="1173" t="s">
        <v>1758</v>
      </c>
      <c r="I31" s="1173">
        <v>12</v>
      </c>
      <c r="J31" s="1173" t="s">
        <v>1754</v>
      </c>
      <c r="K31" s="1173" t="s">
        <v>678</v>
      </c>
      <c r="L31" s="1175" t="s">
        <v>738</v>
      </c>
      <c r="M31" s="1176">
        <v>50000000</v>
      </c>
      <c r="N31" s="1171" t="s">
        <v>739</v>
      </c>
      <c r="O31" s="1171" t="s">
        <v>1745</v>
      </c>
      <c r="R31" s="1156"/>
    </row>
    <row r="32" spans="1:18" s="1177" customFormat="1" ht="105" x14ac:dyDescent="0.25">
      <c r="A32" s="1169">
        <v>2022026</v>
      </c>
      <c r="B32" s="1169">
        <v>7637</v>
      </c>
      <c r="C32" s="1169" t="s">
        <v>645</v>
      </c>
      <c r="D32" s="1175" t="s">
        <v>674</v>
      </c>
      <c r="E32" s="1173" t="s">
        <v>1759</v>
      </c>
      <c r="F32" s="1172" t="s">
        <v>743</v>
      </c>
      <c r="G32" s="1173" t="s">
        <v>1757</v>
      </c>
      <c r="H32" s="1173" t="s">
        <v>1758</v>
      </c>
      <c r="I32" s="1173">
        <v>12</v>
      </c>
      <c r="J32" s="1173" t="s">
        <v>1754</v>
      </c>
      <c r="K32" s="1173" t="s">
        <v>678</v>
      </c>
      <c r="L32" s="1175" t="s">
        <v>738</v>
      </c>
      <c r="M32" s="1176">
        <v>150000000</v>
      </c>
      <c r="N32" s="1171" t="s">
        <v>733</v>
      </c>
      <c r="O32" s="1171" t="s">
        <v>1745</v>
      </c>
      <c r="R32" s="1156"/>
    </row>
    <row r="33" spans="1:18" s="1177" customFormat="1" ht="105" x14ac:dyDescent="0.25">
      <c r="A33" s="1169">
        <v>2022027</v>
      </c>
      <c r="B33" s="1169">
        <v>7637</v>
      </c>
      <c r="C33" s="1169" t="s">
        <v>645</v>
      </c>
      <c r="D33" s="1175" t="s">
        <v>674</v>
      </c>
      <c r="E33" s="1173">
        <v>81161712</v>
      </c>
      <c r="F33" s="1172" t="s">
        <v>745</v>
      </c>
      <c r="G33" s="1173" t="s">
        <v>1750</v>
      </c>
      <c r="H33" s="1173" t="s">
        <v>1757</v>
      </c>
      <c r="I33" s="1173">
        <v>1</v>
      </c>
      <c r="J33" s="1173" t="s">
        <v>1760</v>
      </c>
      <c r="K33" s="1173" t="s">
        <v>678</v>
      </c>
      <c r="L33" s="1175" t="s">
        <v>746</v>
      </c>
      <c r="M33" s="1176">
        <v>10000000</v>
      </c>
      <c r="N33" s="1171" t="s">
        <v>733</v>
      </c>
      <c r="O33" s="1171" t="s">
        <v>1745</v>
      </c>
      <c r="R33" s="1156"/>
    </row>
    <row r="34" spans="1:18" s="1177" customFormat="1" ht="105" x14ac:dyDescent="0.25">
      <c r="A34" s="1169">
        <v>2022028</v>
      </c>
      <c r="B34" s="1169">
        <v>7637</v>
      </c>
      <c r="C34" s="1169" t="s">
        <v>645</v>
      </c>
      <c r="D34" s="1175" t="s">
        <v>674</v>
      </c>
      <c r="E34" s="1173" t="s">
        <v>1761</v>
      </c>
      <c r="F34" s="1172" t="s">
        <v>749</v>
      </c>
      <c r="G34" s="1173" t="s">
        <v>1749</v>
      </c>
      <c r="H34" s="1173" t="s">
        <v>1749</v>
      </c>
      <c r="I34" s="1173">
        <v>5</v>
      </c>
      <c r="J34" s="1170"/>
      <c r="K34" s="1173" t="s">
        <v>678</v>
      </c>
      <c r="L34" s="1175" t="s">
        <v>750</v>
      </c>
      <c r="M34" s="1176">
        <v>81000000</v>
      </c>
      <c r="N34" s="1171" t="s">
        <v>733</v>
      </c>
      <c r="O34" s="1171" t="s">
        <v>1745</v>
      </c>
      <c r="R34" s="1156"/>
    </row>
    <row r="35" spans="1:18" s="1177" customFormat="1" ht="105" x14ac:dyDescent="0.25">
      <c r="A35" s="1169">
        <v>2022029</v>
      </c>
      <c r="B35" s="1169">
        <v>7637</v>
      </c>
      <c r="C35" s="1169" t="s">
        <v>645</v>
      </c>
      <c r="D35" s="1175" t="s">
        <v>674</v>
      </c>
      <c r="E35" s="1173" t="s">
        <v>1761</v>
      </c>
      <c r="F35" s="1172" t="s">
        <v>754</v>
      </c>
      <c r="G35" s="1173" t="s">
        <v>1758</v>
      </c>
      <c r="H35" s="1173" t="s">
        <v>1762</v>
      </c>
      <c r="I35" s="1173">
        <v>4</v>
      </c>
      <c r="J35" s="1173" t="s">
        <v>1763</v>
      </c>
      <c r="K35" s="1173" t="s">
        <v>678</v>
      </c>
      <c r="L35" s="1175" t="s">
        <v>750</v>
      </c>
      <c r="M35" s="1176">
        <v>80000000</v>
      </c>
      <c r="N35" s="1171" t="s">
        <v>733</v>
      </c>
      <c r="O35" s="1171" t="s">
        <v>1745</v>
      </c>
      <c r="R35" s="1156"/>
    </row>
    <row r="36" spans="1:18" s="1177" customFormat="1" ht="105" x14ac:dyDescent="0.25">
      <c r="A36" s="1169">
        <v>2022030</v>
      </c>
      <c r="B36" s="1169">
        <v>7637</v>
      </c>
      <c r="C36" s="1169" t="s">
        <v>645</v>
      </c>
      <c r="D36" s="1175" t="s">
        <v>674</v>
      </c>
      <c r="E36" s="1173">
        <v>81111700</v>
      </c>
      <c r="F36" s="1172" t="s">
        <v>1764</v>
      </c>
      <c r="G36" s="1173" t="s">
        <v>1753</v>
      </c>
      <c r="H36" s="1173" t="s">
        <v>1753</v>
      </c>
      <c r="I36" s="1173">
        <v>10</v>
      </c>
      <c r="J36" s="1173" t="s">
        <v>1754</v>
      </c>
      <c r="K36" s="1173" t="s">
        <v>678</v>
      </c>
      <c r="L36" s="1175" t="s">
        <v>679</v>
      </c>
      <c r="M36" s="1176">
        <v>20000000</v>
      </c>
      <c r="N36" s="1171" t="s">
        <v>733</v>
      </c>
      <c r="O36" s="1171" t="s">
        <v>1745</v>
      </c>
      <c r="R36" s="1156"/>
    </row>
    <row r="37" spans="1:18" s="1177" customFormat="1" ht="105" x14ac:dyDescent="0.25">
      <c r="A37" s="1169">
        <v>2022031</v>
      </c>
      <c r="B37" s="1169">
        <v>7637</v>
      </c>
      <c r="C37" s="1169" t="s">
        <v>645</v>
      </c>
      <c r="D37" s="1175" t="s">
        <v>674</v>
      </c>
      <c r="E37" s="1178" t="s">
        <v>1765</v>
      </c>
      <c r="F37" s="1172" t="s">
        <v>756</v>
      </c>
      <c r="G37" s="1173" t="s">
        <v>1743</v>
      </c>
      <c r="H37" s="1173" t="s">
        <v>1753</v>
      </c>
      <c r="I37" s="1173">
        <v>1</v>
      </c>
      <c r="J37" s="1173" t="s">
        <v>1766</v>
      </c>
      <c r="K37" s="1173" t="s">
        <v>678</v>
      </c>
      <c r="L37" s="1175" t="s">
        <v>679</v>
      </c>
      <c r="M37" s="1176">
        <v>72100000</v>
      </c>
      <c r="N37" s="1171" t="s">
        <v>735</v>
      </c>
      <c r="O37" s="1171" t="s">
        <v>1745</v>
      </c>
      <c r="R37" s="1156"/>
    </row>
    <row r="38" spans="1:18" s="1177" customFormat="1" ht="105" x14ac:dyDescent="0.25">
      <c r="A38" s="1169">
        <v>2022032</v>
      </c>
      <c r="B38" s="1169">
        <v>7637</v>
      </c>
      <c r="C38" s="1169" t="s">
        <v>645</v>
      </c>
      <c r="D38" s="1175" t="s">
        <v>674</v>
      </c>
      <c r="E38" s="1173">
        <v>81112222</v>
      </c>
      <c r="F38" s="1172" t="s">
        <v>1767</v>
      </c>
      <c r="G38" s="1173" t="s">
        <v>1762</v>
      </c>
      <c r="H38" s="1173" t="s">
        <v>1768</v>
      </c>
      <c r="I38" s="1173">
        <v>12</v>
      </c>
      <c r="J38" s="1173" t="s">
        <v>1763</v>
      </c>
      <c r="K38" s="1173" t="s">
        <v>678</v>
      </c>
      <c r="L38" s="1175" t="s">
        <v>679</v>
      </c>
      <c r="M38" s="1176">
        <v>120000000</v>
      </c>
      <c r="N38" s="1171" t="s">
        <v>733</v>
      </c>
      <c r="O38" s="1171" t="s">
        <v>1745</v>
      </c>
      <c r="R38" s="1156"/>
    </row>
    <row r="39" spans="1:18" s="1177" customFormat="1" ht="105" x14ac:dyDescent="0.25">
      <c r="A39" s="1169">
        <v>2022033</v>
      </c>
      <c r="B39" s="1169">
        <v>7637</v>
      </c>
      <c r="C39" s="1169" t="s">
        <v>645</v>
      </c>
      <c r="D39" s="1175" t="s">
        <v>674</v>
      </c>
      <c r="E39" s="1173" t="s">
        <v>1769</v>
      </c>
      <c r="F39" s="1172" t="s">
        <v>1770</v>
      </c>
      <c r="G39" s="1173" t="s">
        <v>1757</v>
      </c>
      <c r="H39" s="1173" t="s">
        <v>1758</v>
      </c>
      <c r="I39" s="1173">
        <v>3</v>
      </c>
      <c r="J39" s="1173" t="s">
        <v>1763</v>
      </c>
      <c r="K39" s="1173" t="s">
        <v>678</v>
      </c>
      <c r="L39" s="1175" t="s">
        <v>738</v>
      </c>
      <c r="M39" s="1176">
        <v>50000000</v>
      </c>
      <c r="N39" s="1171" t="s">
        <v>733</v>
      </c>
      <c r="O39" s="1171" t="s">
        <v>1745</v>
      </c>
      <c r="R39" s="1156"/>
    </row>
    <row r="40" spans="1:18" s="1177" customFormat="1" ht="105" x14ac:dyDescent="0.25">
      <c r="A40" s="1169">
        <v>2022034</v>
      </c>
      <c r="B40" s="1169">
        <v>7637</v>
      </c>
      <c r="C40" s="1169" t="s">
        <v>645</v>
      </c>
      <c r="D40" s="1175" t="s">
        <v>674</v>
      </c>
      <c r="E40" s="1173">
        <v>81112217</v>
      </c>
      <c r="F40" s="1172" t="s">
        <v>1771</v>
      </c>
      <c r="G40" s="1173" t="s">
        <v>1772</v>
      </c>
      <c r="H40" s="1173" t="s">
        <v>1773</v>
      </c>
      <c r="I40" s="1173">
        <v>1</v>
      </c>
      <c r="J40" s="1173" t="s">
        <v>1766</v>
      </c>
      <c r="K40" s="1173" t="s">
        <v>678</v>
      </c>
      <c r="L40" s="1175" t="s">
        <v>679</v>
      </c>
      <c r="M40" s="1176">
        <v>35077000</v>
      </c>
      <c r="N40" s="1170" t="s">
        <v>735</v>
      </c>
      <c r="O40" s="1171" t="s">
        <v>1745</v>
      </c>
      <c r="R40" s="1156"/>
    </row>
    <row r="41" spans="1:18" s="1177" customFormat="1" ht="105" x14ac:dyDescent="0.25">
      <c r="A41" s="1169">
        <v>2022035</v>
      </c>
      <c r="B41" s="1169">
        <v>7637</v>
      </c>
      <c r="C41" s="1169" t="s">
        <v>645</v>
      </c>
      <c r="D41" s="1175" t="s">
        <v>674</v>
      </c>
      <c r="E41" s="1173" t="s">
        <v>1269</v>
      </c>
      <c r="F41" s="1172" t="s">
        <v>1774</v>
      </c>
      <c r="G41" s="1173" t="s">
        <v>1750</v>
      </c>
      <c r="H41" s="1173" t="s">
        <v>1757</v>
      </c>
      <c r="I41" s="1173">
        <v>8</v>
      </c>
      <c r="J41" s="1173" t="s">
        <v>1766</v>
      </c>
      <c r="K41" s="1173" t="s">
        <v>678</v>
      </c>
      <c r="L41" s="1175" t="s">
        <v>679</v>
      </c>
      <c r="M41" s="1176">
        <v>70000000</v>
      </c>
      <c r="N41" s="1171" t="s">
        <v>733</v>
      </c>
      <c r="O41" s="1171" t="s">
        <v>1745</v>
      </c>
      <c r="R41" s="1156"/>
    </row>
    <row r="42" spans="1:18" s="1177" customFormat="1" ht="105" x14ac:dyDescent="0.25">
      <c r="A42" s="1179">
        <v>2022036</v>
      </c>
      <c r="B42" s="1179">
        <v>7637</v>
      </c>
      <c r="C42" s="1179" t="s">
        <v>645</v>
      </c>
      <c r="D42" s="1180" t="s">
        <v>674</v>
      </c>
      <c r="E42" s="1181" t="s">
        <v>1775</v>
      </c>
      <c r="F42" s="1180" t="s">
        <v>763</v>
      </c>
      <c r="G42" s="1181" t="s">
        <v>1743</v>
      </c>
      <c r="H42" s="1181" t="s">
        <v>1743</v>
      </c>
      <c r="I42" s="1181">
        <v>11</v>
      </c>
      <c r="J42" s="1181" t="s">
        <v>1763</v>
      </c>
      <c r="K42" s="1181" t="s">
        <v>678</v>
      </c>
      <c r="L42" s="1180" t="s">
        <v>738</v>
      </c>
      <c r="M42" s="1185">
        <f>487640000-55735449-8000000</f>
        <v>423904551</v>
      </c>
      <c r="N42" s="1184" t="s">
        <v>733</v>
      </c>
      <c r="O42" s="1184" t="s">
        <v>1745</v>
      </c>
      <c r="R42" s="1156"/>
    </row>
    <row r="43" spans="1:18" s="1177" customFormat="1" ht="105" x14ac:dyDescent="0.25">
      <c r="A43" s="1179">
        <v>2022037</v>
      </c>
      <c r="B43" s="1179">
        <v>7637</v>
      </c>
      <c r="C43" s="1179" t="s">
        <v>645</v>
      </c>
      <c r="D43" s="1180" t="s">
        <v>674</v>
      </c>
      <c r="E43" s="1181" t="s">
        <v>1776</v>
      </c>
      <c r="F43" s="1182" t="s">
        <v>767</v>
      </c>
      <c r="G43" s="1181" t="s">
        <v>1743</v>
      </c>
      <c r="H43" s="1181" t="s">
        <v>1743</v>
      </c>
      <c r="I43" s="1181">
        <v>12</v>
      </c>
      <c r="J43" s="1181" t="s">
        <v>1884</v>
      </c>
      <c r="K43" s="1181" t="s">
        <v>678</v>
      </c>
      <c r="L43" s="1180" t="s">
        <v>732</v>
      </c>
      <c r="M43" s="1183">
        <v>104794000</v>
      </c>
      <c r="N43" s="1184" t="s">
        <v>733</v>
      </c>
      <c r="O43" s="1184" t="s">
        <v>1745</v>
      </c>
      <c r="R43" s="1156"/>
    </row>
    <row r="44" spans="1:18" s="1177" customFormat="1" ht="105" x14ac:dyDescent="0.25">
      <c r="A44" s="1179">
        <v>2022038</v>
      </c>
      <c r="B44" s="1179">
        <v>7637</v>
      </c>
      <c r="C44" s="1179" t="s">
        <v>645</v>
      </c>
      <c r="D44" s="1180" t="s">
        <v>674</v>
      </c>
      <c r="E44" s="1184">
        <v>43221500</v>
      </c>
      <c r="F44" s="1182" t="s">
        <v>1777</v>
      </c>
      <c r="G44" s="1181" t="s">
        <v>1892</v>
      </c>
      <c r="H44" s="1181" t="s">
        <v>1887</v>
      </c>
      <c r="I44" s="1181">
        <v>6</v>
      </c>
      <c r="J44" s="1181" t="s">
        <v>1766</v>
      </c>
      <c r="K44" s="1181" t="s">
        <v>678</v>
      </c>
      <c r="L44" s="1180" t="s">
        <v>679</v>
      </c>
      <c r="M44" s="1183">
        <v>38500000</v>
      </c>
      <c r="N44" s="1184" t="s">
        <v>733</v>
      </c>
      <c r="O44" s="1184" t="s">
        <v>1745</v>
      </c>
      <c r="R44" s="1156"/>
    </row>
    <row r="45" spans="1:18" s="1177" customFormat="1" ht="105" x14ac:dyDescent="0.25">
      <c r="A45" s="1169">
        <v>2022039</v>
      </c>
      <c r="B45" s="1169">
        <v>7637</v>
      </c>
      <c r="C45" s="1169" t="s">
        <v>645</v>
      </c>
      <c r="D45" s="1175" t="s">
        <v>674</v>
      </c>
      <c r="E45" s="1173">
        <v>43233200</v>
      </c>
      <c r="F45" s="1172" t="s">
        <v>1778</v>
      </c>
      <c r="G45" s="1173" t="s">
        <v>1757</v>
      </c>
      <c r="H45" s="1173" t="s">
        <v>1757</v>
      </c>
      <c r="I45" s="1173">
        <v>3</v>
      </c>
      <c r="J45" s="1173" t="s">
        <v>1754</v>
      </c>
      <c r="K45" s="1173" t="s">
        <v>774</v>
      </c>
      <c r="L45" s="1175" t="s">
        <v>738</v>
      </c>
      <c r="M45" s="1176">
        <v>170000000</v>
      </c>
      <c r="N45" s="1172" t="s">
        <v>735</v>
      </c>
      <c r="O45" s="1171" t="s">
        <v>1745</v>
      </c>
      <c r="R45" s="1156"/>
    </row>
    <row r="46" spans="1:18" s="1177" customFormat="1" ht="105" x14ac:dyDescent="0.25">
      <c r="A46" s="1179">
        <v>2022040</v>
      </c>
      <c r="B46" s="1179">
        <v>7637</v>
      </c>
      <c r="C46" s="1179" t="s">
        <v>645</v>
      </c>
      <c r="D46" s="1180" t="s">
        <v>674</v>
      </c>
      <c r="E46" s="1181">
        <v>43222600</v>
      </c>
      <c r="F46" s="1182" t="s">
        <v>1779</v>
      </c>
      <c r="G46" s="1181" t="s">
        <v>1750</v>
      </c>
      <c r="H46" s="1181" t="s">
        <v>1750</v>
      </c>
      <c r="I46" s="1181">
        <v>6</v>
      </c>
      <c r="J46" s="1181" t="s">
        <v>1766</v>
      </c>
      <c r="K46" s="1181" t="s">
        <v>774</v>
      </c>
      <c r="L46" s="1180" t="s">
        <v>738</v>
      </c>
      <c r="M46" s="1183">
        <v>600000000</v>
      </c>
      <c r="N46" s="1184" t="s">
        <v>733</v>
      </c>
      <c r="O46" s="1184" t="s">
        <v>1745</v>
      </c>
      <c r="R46" s="1156"/>
    </row>
    <row r="47" spans="1:18" s="1177" customFormat="1" ht="105" x14ac:dyDescent="0.25">
      <c r="A47" s="1169">
        <v>2022041</v>
      </c>
      <c r="B47" s="1169">
        <v>7637</v>
      </c>
      <c r="C47" s="1169" t="s">
        <v>645</v>
      </c>
      <c r="D47" s="1175" t="s">
        <v>674</v>
      </c>
      <c r="E47" s="1173" t="s">
        <v>1780</v>
      </c>
      <c r="F47" s="1172" t="s">
        <v>1781</v>
      </c>
      <c r="G47" s="1173" t="s">
        <v>1750</v>
      </c>
      <c r="H47" s="1173" t="s">
        <v>1757</v>
      </c>
      <c r="I47" s="1173">
        <v>3</v>
      </c>
      <c r="J47" s="1173" t="s">
        <v>1766</v>
      </c>
      <c r="K47" s="1173" t="s">
        <v>774</v>
      </c>
      <c r="L47" s="1175" t="s">
        <v>738</v>
      </c>
      <c r="M47" s="1176">
        <v>600000000</v>
      </c>
      <c r="N47" s="1171" t="s">
        <v>733</v>
      </c>
      <c r="O47" s="1171" t="s">
        <v>1745</v>
      </c>
      <c r="R47" s="1156"/>
    </row>
    <row r="48" spans="1:18" s="1177" customFormat="1" ht="105" x14ac:dyDescent="0.25">
      <c r="A48" s="1169">
        <v>2022042</v>
      </c>
      <c r="B48" s="1169">
        <v>7637</v>
      </c>
      <c r="C48" s="1169" t="s">
        <v>645</v>
      </c>
      <c r="D48" s="1175" t="s">
        <v>674</v>
      </c>
      <c r="E48" s="1171"/>
      <c r="F48" s="1172" t="s">
        <v>779</v>
      </c>
      <c r="G48" s="1173"/>
      <c r="H48" s="1173"/>
      <c r="I48" s="1173"/>
      <c r="J48" s="1173"/>
      <c r="K48" s="1173" t="s">
        <v>678</v>
      </c>
      <c r="L48" s="1175" t="s">
        <v>679</v>
      </c>
      <c r="M48" s="1176">
        <v>22500000</v>
      </c>
      <c r="N48" s="1186" t="s">
        <v>733</v>
      </c>
      <c r="O48" s="1186" t="s">
        <v>1745</v>
      </c>
      <c r="R48" s="1156"/>
    </row>
    <row r="49" spans="1:15" s="1156" customFormat="1" ht="75" x14ac:dyDescent="0.25">
      <c r="A49" s="1169">
        <v>2022043</v>
      </c>
      <c r="B49" s="1169">
        <v>7655</v>
      </c>
      <c r="C49" s="1169" t="s">
        <v>648</v>
      </c>
      <c r="D49" s="1187" t="s">
        <v>690</v>
      </c>
      <c r="E49" s="1188" t="s">
        <v>781</v>
      </c>
      <c r="F49" s="1189" t="s">
        <v>782</v>
      </c>
      <c r="G49" s="1190">
        <v>44575</v>
      </c>
      <c r="H49" s="1190">
        <v>44575</v>
      </c>
      <c r="I49" s="1191" t="s">
        <v>1782</v>
      </c>
      <c r="J49" s="1192" t="s">
        <v>1783</v>
      </c>
      <c r="K49" s="1173" t="s">
        <v>678</v>
      </c>
      <c r="L49" s="1175" t="s">
        <v>783</v>
      </c>
      <c r="M49" s="1193">
        <v>92000000</v>
      </c>
      <c r="N49" s="1194" t="s">
        <v>729</v>
      </c>
      <c r="O49" s="1194" t="s">
        <v>1784</v>
      </c>
    </row>
    <row r="50" spans="1:15" s="1156" customFormat="1" ht="60" x14ac:dyDescent="0.25">
      <c r="A50" s="1169">
        <v>2022044</v>
      </c>
      <c r="B50" s="1169">
        <v>7655</v>
      </c>
      <c r="C50" s="1169" t="s">
        <v>648</v>
      </c>
      <c r="D50" s="1187" t="s">
        <v>690</v>
      </c>
      <c r="E50" s="1188" t="s">
        <v>781</v>
      </c>
      <c r="F50" s="1195" t="s">
        <v>786</v>
      </c>
      <c r="G50" s="1190">
        <v>44575</v>
      </c>
      <c r="H50" s="1190">
        <v>44575</v>
      </c>
      <c r="I50" s="1191" t="s">
        <v>1782</v>
      </c>
      <c r="J50" s="1192" t="s">
        <v>1783</v>
      </c>
      <c r="K50" s="1173" t="s">
        <v>678</v>
      </c>
      <c r="L50" s="1175" t="s">
        <v>783</v>
      </c>
      <c r="M50" s="1193">
        <v>103500000</v>
      </c>
      <c r="N50" s="1194" t="s">
        <v>729</v>
      </c>
      <c r="O50" s="1194" t="s">
        <v>1784</v>
      </c>
    </row>
    <row r="51" spans="1:15" s="1156" customFormat="1" ht="60" x14ac:dyDescent="0.25">
      <c r="A51" s="1169">
        <v>2022045</v>
      </c>
      <c r="B51" s="1169">
        <v>7655</v>
      </c>
      <c r="C51" s="1169" t="s">
        <v>648</v>
      </c>
      <c r="D51" s="1187" t="s">
        <v>690</v>
      </c>
      <c r="E51" s="1188" t="s">
        <v>781</v>
      </c>
      <c r="F51" s="1195" t="s">
        <v>787</v>
      </c>
      <c r="G51" s="1190">
        <v>44575</v>
      </c>
      <c r="H51" s="1190">
        <v>44575</v>
      </c>
      <c r="I51" s="1191" t="s">
        <v>1782</v>
      </c>
      <c r="J51" s="1192" t="s">
        <v>1783</v>
      </c>
      <c r="K51" s="1173" t="s">
        <v>678</v>
      </c>
      <c r="L51" s="1175" t="s">
        <v>679</v>
      </c>
      <c r="M51" s="1193">
        <v>57500000</v>
      </c>
      <c r="N51" s="1194" t="s">
        <v>729</v>
      </c>
      <c r="O51" s="1194" t="s">
        <v>1784</v>
      </c>
    </row>
    <row r="52" spans="1:15" s="1156" customFormat="1" ht="60" x14ac:dyDescent="0.25">
      <c r="A52" s="1169">
        <v>2022046</v>
      </c>
      <c r="B52" s="1169">
        <v>7655</v>
      </c>
      <c r="C52" s="1169" t="s">
        <v>648</v>
      </c>
      <c r="D52" s="1187" t="s">
        <v>690</v>
      </c>
      <c r="E52" s="1188" t="s">
        <v>781</v>
      </c>
      <c r="F52" s="1189" t="s">
        <v>788</v>
      </c>
      <c r="G52" s="1190">
        <v>44575</v>
      </c>
      <c r="H52" s="1190">
        <v>44575</v>
      </c>
      <c r="I52" s="1191" t="s">
        <v>1782</v>
      </c>
      <c r="J52" s="1192" t="s">
        <v>1783</v>
      </c>
      <c r="K52" s="1173" t="s">
        <v>678</v>
      </c>
      <c r="L52" s="1175" t="s">
        <v>679</v>
      </c>
      <c r="M52" s="1193">
        <v>78200000</v>
      </c>
      <c r="N52" s="1194" t="s">
        <v>729</v>
      </c>
      <c r="O52" s="1194" t="s">
        <v>1784</v>
      </c>
    </row>
    <row r="53" spans="1:15" s="1156" customFormat="1" ht="60" x14ac:dyDescent="0.25">
      <c r="A53" s="1169">
        <v>2022047</v>
      </c>
      <c r="B53" s="1169">
        <v>7655</v>
      </c>
      <c r="C53" s="1169" t="s">
        <v>648</v>
      </c>
      <c r="D53" s="1187" t="s">
        <v>690</v>
      </c>
      <c r="E53" s="1188" t="s">
        <v>781</v>
      </c>
      <c r="F53" s="1195" t="s">
        <v>789</v>
      </c>
      <c r="G53" s="1190">
        <v>44575</v>
      </c>
      <c r="H53" s="1190">
        <v>44575</v>
      </c>
      <c r="I53" s="1191" t="s">
        <v>1782</v>
      </c>
      <c r="J53" s="1192" t="s">
        <v>1783</v>
      </c>
      <c r="K53" s="1173" t="s">
        <v>678</v>
      </c>
      <c r="L53" s="1175" t="s">
        <v>679</v>
      </c>
      <c r="M53" s="1193">
        <v>38525000</v>
      </c>
      <c r="N53" s="1194" t="s">
        <v>729</v>
      </c>
      <c r="O53" s="1194" t="s">
        <v>1784</v>
      </c>
    </row>
    <row r="54" spans="1:15" s="1156" customFormat="1" ht="60" x14ac:dyDescent="0.25">
      <c r="A54" s="1169">
        <v>2022048</v>
      </c>
      <c r="B54" s="1169">
        <v>7655</v>
      </c>
      <c r="C54" s="1169" t="s">
        <v>648</v>
      </c>
      <c r="D54" s="1187" t="s">
        <v>690</v>
      </c>
      <c r="E54" s="1188" t="s">
        <v>781</v>
      </c>
      <c r="F54" s="1195" t="s">
        <v>790</v>
      </c>
      <c r="G54" s="1190">
        <v>44575</v>
      </c>
      <c r="H54" s="1190">
        <v>44575</v>
      </c>
      <c r="I54" s="1191" t="s">
        <v>1782</v>
      </c>
      <c r="J54" s="1192" t="s">
        <v>1783</v>
      </c>
      <c r="K54" s="1173" t="s">
        <v>678</v>
      </c>
      <c r="L54" s="1175" t="s">
        <v>783</v>
      </c>
      <c r="M54" s="1193">
        <v>92000000</v>
      </c>
      <c r="N54" s="1194" t="s">
        <v>729</v>
      </c>
      <c r="O54" s="1194" t="s">
        <v>1784</v>
      </c>
    </row>
    <row r="55" spans="1:15" s="1156" customFormat="1" ht="60" x14ac:dyDescent="0.25">
      <c r="A55" s="1169">
        <v>2022049</v>
      </c>
      <c r="B55" s="1169">
        <v>7655</v>
      </c>
      <c r="C55" s="1169" t="s">
        <v>648</v>
      </c>
      <c r="D55" s="1187" t="s">
        <v>690</v>
      </c>
      <c r="E55" s="1188" t="s">
        <v>781</v>
      </c>
      <c r="F55" s="1195" t="s">
        <v>1291</v>
      </c>
      <c r="G55" s="1190">
        <v>44575</v>
      </c>
      <c r="H55" s="1190">
        <v>44575</v>
      </c>
      <c r="I55" s="1191" t="s">
        <v>1785</v>
      </c>
      <c r="J55" s="1192" t="s">
        <v>1783</v>
      </c>
      <c r="K55" s="1173" t="s">
        <v>678</v>
      </c>
      <c r="L55" s="1175" t="s">
        <v>679</v>
      </c>
      <c r="M55" s="1193">
        <v>16800000</v>
      </c>
      <c r="N55" s="1194" t="s">
        <v>729</v>
      </c>
      <c r="O55" s="1194" t="s">
        <v>1784</v>
      </c>
    </row>
    <row r="56" spans="1:15" s="1156" customFormat="1" ht="60" x14ac:dyDescent="0.25">
      <c r="A56" s="1169">
        <v>2022050</v>
      </c>
      <c r="B56" s="1169">
        <v>7655</v>
      </c>
      <c r="C56" s="1169" t="s">
        <v>648</v>
      </c>
      <c r="D56" s="1187" t="s">
        <v>690</v>
      </c>
      <c r="E56" s="1188" t="s">
        <v>781</v>
      </c>
      <c r="F56" s="1195" t="s">
        <v>791</v>
      </c>
      <c r="G56" s="1190">
        <v>44575</v>
      </c>
      <c r="H56" s="1190">
        <v>44575</v>
      </c>
      <c r="I56" s="1191" t="s">
        <v>1786</v>
      </c>
      <c r="J56" s="1192" t="s">
        <v>1783</v>
      </c>
      <c r="K56" s="1173" t="s">
        <v>678</v>
      </c>
      <c r="L56" s="1175" t="s">
        <v>679</v>
      </c>
      <c r="M56" s="1193">
        <v>38500000</v>
      </c>
      <c r="N56" s="1194" t="s">
        <v>729</v>
      </c>
      <c r="O56" s="1194" t="s">
        <v>1784</v>
      </c>
    </row>
    <row r="57" spans="1:15" s="1156" customFormat="1" ht="60" x14ac:dyDescent="0.25">
      <c r="A57" s="1169">
        <v>2022051</v>
      </c>
      <c r="B57" s="1169">
        <v>7655</v>
      </c>
      <c r="C57" s="1169" t="s">
        <v>648</v>
      </c>
      <c r="D57" s="1187" t="s">
        <v>690</v>
      </c>
      <c r="E57" s="1188" t="s">
        <v>781</v>
      </c>
      <c r="F57" s="1195" t="s">
        <v>792</v>
      </c>
      <c r="G57" s="1190">
        <v>44575</v>
      </c>
      <c r="H57" s="1190">
        <v>44575</v>
      </c>
      <c r="I57" s="1191" t="s">
        <v>1782</v>
      </c>
      <c r="J57" s="1192" t="s">
        <v>1783</v>
      </c>
      <c r="K57" s="1173" t="s">
        <v>678</v>
      </c>
      <c r="L57" s="1175" t="s">
        <v>679</v>
      </c>
      <c r="M57" s="1193">
        <v>20700000</v>
      </c>
      <c r="N57" s="1194" t="s">
        <v>729</v>
      </c>
      <c r="O57" s="1194" t="s">
        <v>1784</v>
      </c>
    </row>
    <row r="58" spans="1:15" s="1156" customFormat="1" ht="60" x14ac:dyDescent="0.25">
      <c r="A58" s="1169">
        <v>2022052</v>
      </c>
      <c r="B58" s="1169">
        <v>7655</v>
      </c>
      <c r="C58" s="1169" t="s">
        <v>648</v>
      </c>
      <c r="D58" s="1187" t="s">
        <v>690</v>
      </c>
      <c r="E58" s="1188" t="s">
        <v>781</v>
      </c>
      <c r="F58" s="1195" t="s">
        <v>793</v>
      </c>
      <c r="G58" s="1190">
        <v>44575</v>
      </c>
      <c r="H58" s="1190">
        <v>44575</v>
      </c>
      <c r="I58" s="1191" t="s">
        <v>1782</v>
      </c>
      <c r="J58" s="1192" t="s">
        <v>1783</v>
      </c>
      <c r="K58" s="1173" t="s">
        <v>678</v>
      </c>
      <c r="L58" s="1175" t="s">
        <v>679</v>
      </c>
      <c r="M58" s="1193">
        <v>83950000</v>
      </c>
      <c r="N58" s="1194" t="s">
        <v>729</v>
      </c>
      <c r="O58" s="1194" t="s">
        <v>1784</v>
      </c>
    </row>
    <row r="59" spans="1:15" s="1156" customFormat="1" ht="60" x14ac:dyDescent="0.25">
      <c r="A59" s="1169">
        <v>2022053</v>
      </c>
      <c r="B59" s="1169">
        <v>7655</v>
      </c>
      <c r="C59" s="1169" t="s">
        <v>648</v>
      </c>
      <c r="D59" s="1187" t="s">
        <v>690</v>
      </c>
      <c r="E59" s="1188" t="s">
        <v>781</v>
      </c>
      <c r="F59" s="1195" t="s">
        <v>794</v>
      </c>
      <c r="G59" s="1190">
        <v>44575</v>
      </c>
      <c r="H59" s="1190">
        <v>44575</v>
      </c>
      <c r="I59" s="1191" t="s">
        <v>1782</v>
      </c>
      <c r="J59" s="1192" t="s">
        <v>1783</v>
      </c>
      <c r="K59" s="1173" t="s">
        <v>678</v>
      </c>
      <c r="L59" s="1175" t="s">
        <v>679</v>
      </c>
      <c r="M59" s="1193">
        <v>38525000</v>
      </c>
      <c r="N59" s="1194" t="s">
        <v>729</v>
      </c>
      <c r="O59" s="1194" t="s">
        <v>1784</v>
      </c>
    </row>
    <row r="60" spans="1:15" s="1156" customFormat="1" ht="60" x14ac:dyDescent="0.25">
      <c r="A60" s="1169">
        <v>2022054</v>
      </c>
      <c r="B60" s="1169">
        <v>7655</v>
      </c>
      <c r="C60" s="1169" t="s">
        <v>648</v>
      </c>
      <c r="D60" s="1187" t="s">
        <v>690</v>
      </c>
      <c r="E60" s="1169" t="s">
        <v>781</v>
      </c>
      <c r="F60" s="1172" t="s">
        <v>795</v>
      </c>
      <c r="G60" s="1190">
        <v>44575</v>
      </c>
      <c r="H60" s="1190">
        <v>44575</v>
      </c>
      <c r="I60" s="1191" t="s">
        <v>1785</v>
      </c>
      <c r="J60" s="1192" t="s">
        <v>1783</v>
      </c>
      <c r="K60" s="1173" t="s">
        <v>678</v>
      </c>
      <c r="L60" s="1175" t="s">
        <v>679</v>
      </c>
      <c r="M60" s="1193">
        <v>27000000</v>
      </c>
      <c r="N60" s="1194" t="s">
        <v>729</v>
      </c>
      <c r="O60" s="1194" t="s">
        <v>1784</v>
      </c>
    </row>
    <row r="61" spans="1:15" s="1156" customFormat="1" ht="60" x14ac:dyDescent="0.25">
      <c r="A61" s="1169">
        <v>2022055</v>
      </c>
      <c r="B61" s="1169">
        <v>7655</v>
      </c>
      <c r="C61" s="1169" t="s">
        <v>648</v>
      </c>
      <c r="D61" s="1187" t="s">
        <v>690</v>
      </c>
      <c r="E61" s="1169" t="s">
        <v>781</v>
      </c>
      <c r="F61" s="1189" t="s">
        <v>796</v>
      </c>
      <c r="G61" s="1190">
        <v>44575</v>
      </c>
      <c r="H61" s="1190">
        <v>44575</v>
      </c>
      <c r="I61" s="1191" t="s">
        <v>1782</v>
      </c>
      <c r="J61" s="1192" t="s">
        <v>1783</v>
      </c>
      <c r="K61" s="1173" t="s">
        <v>678</v>
      </c>
      <c r="L61" s="1175" t="s">
        <v>679</v>
      </c>
      <c r="M61" s="1193">
        <v>51750000</v>
      </c>
      <c r="N61" s="1194" t="s">
        <v>729</v>
      </c>
      <c r="O61" s="1194" t="s">
        <v>1784</v>
      </c>
    </row>
    <row r="62" spans="1:15" s="1156" customFormat="1" ht="60" x14ac:dyDescent="0.25">
      <c r="A62" s="1169">
        <v>2022056</v>
      </c>
      <c r="B62" s="1169">
        <v>7655</v>
      </c>
      <c r="C62" s="1169" t="s">
        <v>648</v>
      </c>
      <c r="D62" s="1187" t="s">
        <v>690</v>
      </c>
      <c r="E62" s="1188">
        <v>80111600</v>
      </c>
      <c r="F62" s="1189" t="s">
        <v>1787</v>
      </c>
      <c r="G62" s="1190">
        <v>44575</v>
      </c>
      <c r="H62" s="1190">
        <v>44575</v>
      </c>
      <c r="I62" s="1191" t="s">
        <v>1782</v>
      </c>
      <c r="J62" s="1192" t="s">
        <v>1783</v>
      </c>
      <c r="K62" s="1173" t="s">
        <v>678</v>
      </c>
      <c r="L62" s="1173" t="s">
        <v>679</v>
      </c>
      <c r="M62" s="1193">
        <v>0</v>
      </c>
      <c r="N62" s="1194" t="s">
        <v>729</v>
      </c>
      <c r="O62" s="1194" t="s">
        <v>1784</v>
      </c>
    </row>
    <row r="63" spans="1:15" s="1156" customFormat="1" ht="60" x14ac:dyDescent="0.25">
      <c r="A63" s="1169">
        <v>2022057</v>
      </c>
      <c r="B63" s="1169">
        <v>7655</v>
      </c>
      <c r="C63" s="1169" t="s">
        <v>648</v>
      </c>
      <c r="D63" s="1187" t="s">
        <v>690</v>
      </c>
      <c r="E63" s="1188" t="s">
        <v>781</v>
      </c>
      <c r="F63" s="1189" t="s">
        <v>797</v>
      </c>
      <c r="G63" s="1190">
        <v>44575</v>
      </c>
      <c r="H63" s="1190">
        <v>44575</v>
      </c>
      <c r="I63" s="1191" t="s">
        <v>1782</v>
      </c>
      <c r="J63" s="1192" t="s">
        <v>1783</v>
      </c>
      <c r="K63" s="1173" t="s">
        <v>678</v>
      </c>
      <c r="L63" s="1175" t="s">
        <v>679</v>
      </c>
      <c r="M63" s="1193">
        <v>38525000</v>
      </c>
      <c r="N63" s="1194" t="s">
        <v>729</v>
      </c>
      <c r="O63" s="1194" t="s">
        <v>1784</v>
      </c>
    </row>
    <row r="64" spans="1:15" s="1156" customFormat="1" ht="60" x14ac:dyDescent="0.25">
      <c r="A64" s="1169">
        <v>2022058</v>
      </c>
      <c r="B64" s="1169">
        <v>7655</v>
      </c>
      <c r="C64" s="1169" t="s">
        <v>648</v>
      </c>
      <c r="D64" s="1187" t="s">
        <v>690</v>
      </c>
      <c r="E64" s="1169" t="s">
        <v>781</v>
      </c>
      <c r="F64" s="1189" t="s">
        <v>798</v>
      </c>
      <c r="G64" s="1190">
        <v>44575</v>
      </c>
      <c r="H64" s="1190">
        <v>44575</v>
      </c>
      <c r="I64" s="1191" t="s">
        <v>1782</v>
      </c>
      <c r="J64" s="1192" t="s">
        <v>1783</v>
      </c>
      <c r="K64" s="1173" t="s">
        <v>678</v>
      </c>
      <c r="L64" s="1175" t="s">
        <v>679</v>
      </c>
      <c r="M64" s="1193">
        <v>28175000</v>
      </c>
      <c r="N64" s="1194" t="s">
        <v>729</v>
      </c>
      <c r="O64" s="1194" t="s">
        <v>1784</v>
      </c>
    </row>
    <row r="65" spans="1:15" s="1156" customFormat="1" ht="60" x14ac:dyDescent="0.25">
      <c r="A65" s="1169">
        <v>2022059</v>
      </c>
      <c r="B65" s="1169">
        <v>7655</v>
      </c>
      <c r="C65" s="1169" t="s">
        <v>648</v>
      </c>
      <c r="D65" s="1187" t="s">
        <v>690</v>
      </c>
      <c r="E65" s="1188" t="s">
        <v>781</v>
      </c>
      <c r="F65" s="1195" t="s">
        <v>799</v>
      </c>
      <c r="G65" s="1190">
        <v>44575</v>
      </c>
      <c r="H65" s="1190">
        <v>44575</v>
      </c>
      <c r="I65" s="1191" t="s">
        <v>1782</v>
      </c>
      <c r="J65" s="1192" t="s">
        <v>1783</v>
      </c>
      <c r="K65" s="1173" t="s">
        <v>678</v>
      </c>
      <c r="L65" s="1175" t="s">
        <v>679</v>
      </c>
      <c r="M65" s="1193">
        <v>44275000</v>
      </c>
      <c r="N65" s="1194" t="s">
        <v>729</v>
      </c>
      <c r="O65" s="1194" t="s">
        <v>1784</v>
      </c>
    </row>
    <row r="66" spans="1:15" s="1156" customFormat="1" ht="60" x14ac:dyDescent="0.25">
      <c r="A66" s="1169">
        <v>2022060</v>
      </c>
      <c r="B66" s="1169">
        <v>7655</v>
      </c>
      <c r="C66" s="1169" t="s">
        <v>648</v>
      </c>
      <c r="D66" s="1187" t="s">
        <v>690</v>
      </c>
      <c r="E66" s="1188" t="s">
        <v>781</v>
      </c>
      <c r="F66" s="1195" t="s">
        <v>799</v>
      </c>
      <c r="G66" s="1190">
        <v>44575</v>
      </c>
      <c r="H66" s="1190">
        <v>44575</v>
      </c>
      <c r="I66" s="1191" t="s">
        <v>1782</v>
      </c>
      <c r="J66" s="1192" t="s">
        <v>1783</v>
      </c>
      <c r="K66" s="1173" t="s">
        <v>678</v>
      </c>
      <c r="L66" s="1175" t="s">
        <v>679</v>
      </c>
      <c r="M66" s="1193">
        <v>44275000</v>
      </c>
      <c r="N66" s="1194" t="s">
        <v>729</v>
      </c>
      <c r="O66" s="1194" t="s">
        <v>1784</v>
      </c>
    </row>
    <row r="67" spans="1:15" s="1156" customFormat="1" ht="75" x14ac:dyDescent="0.25">
      <c r="A67" s="1169">
        <v>2022061</v>
      </c>
      <c r="B67" s="1169">
        <v>7655</v>
      </c>
      <c r="C67" s="1169" t="s">
        <v>648</v>
      </c>
      <c r="D67" s="1187" t="s">
        <v>690</v>
      </c>
      <c r="E67" s="1188" t="s">
        <v>781</v>
      </c>
      <c r="F67" s="1195" t="s">
        <v>800</v>
      </c>
      <c r="G67" s="1190">
        <v>44575</v>
      </c>
      <c r="H67" s="1190">
        <v>44575</v>
      </c>
      <c r="I67" s="1191" t="s">
        <v>1782</v>
      </c>
      <c r="J67" s="1192" t="s">
        <v>1783</v>
      </c>
      <c r="K67" s="1173" t="s">
        <v>678</v>
      </c>
      <c r="L67" s="1175" t="s">
        <v>679</v>
      </c>
      <c r="M67" s="1193">
        <v>51750000</v>
      </c>
      <c r="N67" s="1194" t="s">
        <v>729</v>
      </c>
      <c r="O67" s="1194" t="s">
        <v>1784</v>
      </c>
    </row>
    <row r="68" spans="1:15" s="1156" customFormat="1" ht="75" x14ac:dyDescent="0.25">
      <c r="A68" s="1169">
        <v>2022062</v>
      </c>
      <c r="B68" s="1169">
        <v>7655</v>
      </c>
      <c r="C68" s="1169" t="s">
        <v>648</v>
      </c>
      <c r="D68" s="1187" t="s">
        <v>690</v>
      </c>
      <c r="E68" s="1188" t="s">
        <v>781</v>
      </c>
      <c r="F68" s="1195" t="s">
        <v>801</v>
      </c>
      <c r="G68" s="1190">
        <v>44575</v>
      </c>
      <c r="H68" s="1190">
        <v>44575</v>
      </c>
      <c r="I68" s="1191" t="s">
        <v>1786</v>
      </c>
      <c r="J68" s="1192" t="s">
        <v>1783</v>
      </c>
      <c r="K68" s="1173" t="s">
        <v>678</v>
      </c>
      <c r="L68" s="1175" t="s">
        <v>679</v>
      </c>
      <c r="M68" s="1193">
        <v>51100000</v>
      </c>
      <c r="N68" s="1194" t="s">
        <v>729</v>
      </c>
      <c r="O68" s="1194" t="s">
        <v>1784</v>
      </c>
    </row>
    <row r="69" spans="1:15" s="1156" customFormat="1" ht="60" x14ac:dyDescent="0.25">
      <c r="A69" s="1169">
        <v>2022063</v>
      </c>
      <c r="B69" s="1169">
        <v>7655</v>
      </c>
      <c r="C69" s="1169" t="s">
        <v>648</v>
      </c>
      <c r="D69" s="1187" t="s">
        <v>690</v>
      </c>
      <c r="E69" s="1188" t="s">
        <v>1788</v>
      </c>
      <c r="F69" s="1195" t="s">
        <v>1789</v>
      </c>
      <c r="G69" s="1190">
        <v>44630</v>
      </c>
      <c r="H69" s="1190">
        <v>44630</v>
      </c>
      <c r="I69" s="1191" t="s">
        <v>1790</v>
      </c>
      <c r="J69" s="1192" t="s">
        <v>1760</v>
      </c>
      <c r="K69" s="1173" t="s">
        <v>678</v>
      </c>
      <c r="L69" s="1175" t="s">
        <v>804</v>
      </c>
      <c r="M69" s="1193">
        <v>20000000</v>
      </c>
      <c r="N69" s="1194" t="s">
        <v>729</v>
      </c>
      <c r="O69" s="1194" t="s">
        <v>1784</v>
      </c>
    </row>
    <row r="70" spans="1:15" s="1156" customFormat="1" ht="60" x14ac:dyDescent="0.25">
      <c r="A70" s="1169">
        <v>2022064</v>
      </c>
      <c r="B70" s="1169">
        <v>7655</v>
      </c>
      <c r="C70" s="1169" t="s">
        <v>648</v>
      </c>
      <c r="D70" s="1187" t="s">
        <v>690</v>
      </c>
      <c r="E70" s="1169" t="s">
        <v>805</v>
      </c>
      <c r="F70" s="1195" t="s">
        <v>806</v>
      </c>
      <c r="G70" s="1190">
        <v>44576</v>
      </c>
      <c r="H70" s="1190">
        <v>44576</v>
      </c>
      <c r="I70" s="1191" t="s">
        <v>97</v>
      </c>
      <c r="J70" s="1192" t="s">
        <v>1751</v>
      </c>
      <c r="K70" s="1173" t="s">
        <v>678</v>
      </c>
      <c r="L70" s="1175" t="s">
        <v>679</v>
      </c>
      <c r="M70" s="1193">
        <v>20000000</v>
      </c>
      <c r="N70" s="1194" t="s">
        <v>729</v>
      </c>
      <c r="O70" s="1194" t="s">
        <v>1784</v>
      </c>
    </row>
    <row r="71" spans="1:15" s="1156" customFormat="1" ht="60" x14ac:dyDescent="0.25">
      <c r="A71" s="1169">
        <v>2022065</v>
      </c>
      <c r="B71" s="1169">
        <v>7655</v>
      </c>
      <c r="C71" s="1169" t="s">
        <v>648</v>
      </c>
      <c r="D71" s="1187" t="s">
        <v>690</v>
      </c>
      <c r="E71" s="1169" t="s">
        <v>805</v>
      </c>
      <c r="F71" s="1195" t="s">
        <v>807</v>
      </c>
      <c r="G71" s="1190">
        <v>44607</v>
      </c>
      <c r="H71" s="1190">
        <v>44607</v>
      </c>
      <c r="I71" s="1191" t="s">
        <v>1791</v>
      </c>
      <c r="J71" s="1192" t="s">
        <v>1751</v>
      </c>
      <c r="K71" s="1173" t="s">
        <v>678</v>
      </c>
      <c r="L71" s="1175" t="s">
        <v>679</v>
      </c>
      <c r="M71" s="1193">
        <v>140000000</v>
      </c>
      <c r="N71" s="1194" t="s">
        <v>729</v>
      </c>
      <c r="O71" s="1194" t="s">
        <v>1784</v>
      </c>
    </row>
    <row r="72" spans="1:15" s="1156" customFormat="1" ht="60" x14ac:dyDescent="0.25">
      <c r="A72" s="1169">
        <v>2022066</v>
      </c>
      <c r="B72" s="1169">
        <v>7655</v>
      </c>
      <c r="C72" s="1169" t="s">
        <v>648</v>
      </c>
      <c r="D72" s="1187" t="s">
        <v>690</v>
      </c>
      <c r="E72" s="1169">
        <v>76121900</v>
      </c>
      <c r="F72" s="1189" t="s">
        <v>1792</v>
      </c>
      <c r="G72" s="1190">
        <v>44635</v>
      </c>
      <c r="H72" s="1190">
        <v>44635</v>
      </c>
      <c r="I72" s="1191" t="s">
        <v>1793</v>
      </c>
      <c r="J72" s="1192" t="s">
        <v>1760</v>
      </c>
      <c r="K72" s="1173" t="s">
        <v>678</v>
      </c>
      <c r="L72" s="1175" t="s">
        <v>679</v>
      </c>
      <c r="M72" s="1193">
        <v>2060000</v>
      </c>
      <c r="N72" s="1194" t="s">
        <v>729</v>
      </c>
      <c r="O72" s="1194" t="s">
        <v>1784</v>
      </c>
    </row>
    <row r="73" spans="1:15" s="1156" customFormat="1" ht="60" x14ac:dyDescent="0.25">
      <c r="A73" s="1169">
        <v>2022067</v>
      </c>
      <c r="B73" s="1169">
        <v>7655</v>
      </c>
      <c r="C73" s="1169" t="s">
        <v>648</v>
      </c>
      <c r="D73" s="1187" t="s">
        <v>690</v>
      </c>
      <c r="E73" s="1169" t="s">
        <v>1794</v>
      </c>
      <c r="F73" s="1189" t="s">
        <v>1795</v>
      </c>
      <c r="G73" s="1190">
        <v>44635</v>
      </c>
      <c r="H73" s="1190">
        <v>44635</v>
      </c>
      <c r="I73" s="1192" t="s">
        <v>1796</v>
      </c>
      <c r="J73" s="1192" t="s">
        <v>1796</v>
      </c>
      <c r="K73" s="1173" t="s">
        <v>678</v>
      </c>
      <c r="L73" s="1175" t="s">
        <v>679</v>
      </c>
      <c r="M73" s="1193">
        <v>1110000</v>
      </c>
      <c r="N73" s="1194" t="s">
        <v>729</v>
      </c>
      <c r="O73" s="1194" t="s">
        <v>1784</v>
      </c>
    </row>
    <row r="74" spans="1:15" s="1156" customFormat="1" ht="60" x14ac:dyDescent="0.25">
      <c r="A74" s="1169">
        <v>2022068</v>
      </c>
      <c r="B74" s="1169">
        <v>7655</v>
      </c>
      <c r="C74" s="1169" t="s">
        <v>648</v>
      </c>
      <c r="D74" s="1187" t="s">
        <v>690</v>
      </c>
      <c r="E74" s="1188" t="s">
        <v>781</v>
      </c>
      <c r="F74" s="1195" t="s">
        <v>808</v>
      </c>
      <c r="G74" s="1190">
        <v>44575</v>
      </c>
      <c r="H74" s="1190">
        <v>44575</v>
      </c>
      <c r="I74" s="1191" t="s">
        <v>1782</v>
      </c>
      <c r="J74" s="1192" t="s">
        <v>1783</v>
      </c>
      <c r="K74" s="1173" t="s">
        <v>678</v>
      </c>
      <c r="L74" s="1175" t="s">
        <v>679</v>
      </c>
      <c r="M74" s="1193">
        <v>44275000</v>
      </c>
      <c r="N74" s="1194" t="s">
        <v>729</v>
      </c>
      <c r="O74" s="1194" t="s">
        <v>1784</v>
      </c>
    </row>
    <row r="75" spans="1:15" s="1156" customFormat="1" ht="60" x14ac:dyDescent="0.25">
      <c r="A75" s="1169">
        <v>2022069</v>
      </c>
      <c r="B75" s="1169">
        <v>7655</v>
      </c>
      <c r="C75" s="1169" t="s">
        <v>648</v>
      </c>
      <c r="D75" s="1187" t="s">
        <v>690</v>
      </c>
      <c r="E75" s="1188" t="s">
        <v>781</v>
      </c>
      <c r="F75" s="1195" t="s">
        <v>809</v>
      </c>
      <c r="G75" s="1190">
        <v>44575</v>
      </c>
      <c r="H75" s="1190">
        <v>44575</v>
      </c>
      <c r="I75" s="1191" t="s">
        <v>1782</v>
      </c>
      <c r="J75" s="1192" t="s">
        <v>1783</v>
      </c>
      <c r="K75" s="1173" t="s">
        <v>678</v>
      </c>
      <c r="L75" s="1175" t="s">
        <v>783</v>
      </c>
      <c r="M75" s="1193">
        <v>47150000</v>
      </c>
      <c r="N75" s="1194" t="s">
        <v>729</v>
      </c>
      <c r="O75" s="1194" t="s">
        <v>1784</v>
      </c>
    </row>
    <row r="76" spans="1:15" s="1156" customFormat="1" ht="60" x14ac:dyDescent="0.25">
      <c r="A76" s="1169">
        <v>2022070</v>
      </c>
      <c r="B76" s="1169">
        <v>7655</v>
      </c>
      <c r="C76" s="1169" t="s">
        <v>648</v>
      </c>
      <c r="D76" s="1187" t="s">
        <v>690</v>
      </c>
      <c r="E76" s="1188" t="s">
        <v>781</v>
      </c>
      <c r="F76" s="1189" t="s">
        <v>809</v>
      </c>
      <c r="G76" s="1190">
        <v>44575</v>
      </c>
      <c r="H76" s="1190">
        <v>44575</v>
      </c>
      <c r="I76" s="1191" t="s">
        <v>1782</v>
      </c>
      <c r="J76" s="1192" t="s">
        <v>1783</v>
      </c>
      <c r="K76" s="1173" t="s">
        <v>678</v>
      </c>
      <c r="L76" s="1175" t="s">
        <v>679</v>
      </c>
      <c r="M76" s="1193">
        <v>63250000</v>
      </c>
      <c r="N76" s="1194" t="s">
        <v>729</v>
      </c>
      <c r="O76" s="1194" t="s">
        <v>1784</v>
      </c>
    </row>
    <row r="77" spans="1:15" s="1156" customFormat="1" ht="60" x14ac:dyDescent="0.25">
      <c r="A77" s="1169">
        <v>2022071</v>
      </c>
      <c r="B77" s="1169">
        <v>7655</v>
      </c>
      <c r="C77" s="1169" t="s">
        <v>648</v>
      </c>
      <c r="D77" s="1187" t="s">
        <v>690</v>
      </c>
      <c r="E77" s="1188" t="s">
        <v>781</v>
      </c>
      <c r="F77" s="1195" t="s">
        <v>809</v>
      </c>
      <c r="G77" s="1190">
        <v>44575</v>
      </c>
      <c r="H77" s="1190">
        <v>44575</v>
      </c>
      <c r="I77" s="1191" t="s">
        <v>1782</v>
      </c>
      <c r="J77" s="1192" t="s">
        <v>1783</v>
      </c>
      <c r="K77" s="1173" t="s">
        <v>678</v>
      </c>
      <c r="L77" s="1175" t="s">
        <v>679</v>
      </c>
      <c r="M77" s="1193">
        <v>63250000</v>
      </c>
      <c r="N77" s="1194" t="s">
        <v>729</v>
      </c>
      <c r="O77" s="1194" t="s">
        <v>1784</v>
      </c>
    </row>
    <row r="78" spans="1:15" s="1156" customFormat="1" ht="60" x14ac:dyDescent="0.25">
      <c r="A78" s="1169">
        <v>2022072</v>
      </c>
      <c r="B78" s="1169">
        <v>7655</v>
      </c>
      <c r="C78" s="1169" t="s">
        <v>648</v>
      </c>
      <c r="D78" s="1187" t="s">
        <v>690</v>
      </c>
      <c r="E78" s="1188" t="s">
        <v>781</v>
      </c>
      <c r="F78" s="1189" t="s">
        <v>810</v>
      </c>
      <c r="G78" s="1190">
        <v>44575</v>
      </c>
      <c r="H78" s="1190">
        <v>44575</v>
      </c>
      <c r="I78" s="1191" t="s">
        <v>1785</v>
      </c>
      <c r="J78" s="1192" t="s">
        <v>1783</v>
      </c>
      <c r="K78" s="1173" t="s">
        <v>678</v>
      </c>
      <c r="L78" s="1175" t="s">
        <v>679</v>
      </c>
      <c r="M78" s="1193">
        <v>16500000</v>
      </c>
      <c r="N78" s="1194" t="s">
        <v>729</v>
      </c>
      <c r="O78" s="1194" t="s">
        <v>1784</v>
      </c>
    </row>
    <row r="79" spans="1:15" s="1156" customFormat="1" ht="60" x14ac:dyDescent="0.25">
      <c r="A79" s="1169">
        <v>2022073</v>
      </c>
      <c r="B79" s="1169">
        <v>7655</v>
      </c>
      <c r="C79" s="1169" t="s">
        <v>648</v>
      </c>
      <c r="D79" s="1187" t="s">
        <v>690</v>
      </c>
      <c r="E79" s="1188" t="s">
        <v>781</v>
      </c>
      <c r="F79" s="1189" t="s">
        <v>809</v>
      </c>
      <c r="G79" s="1190">
        <v>44575</v>
      </c>
      <c r="H79" s="1190">
        <v>44575</v>
      </c>
      <c r="I79" s="1191" t="s">
        <v>1782</v>
      </c>
      <c r="J79" s="1192" t="s">
        <v>1783</v>
      </c>
      <c r="K79" s="1173" t="s">
        <v>678</v>
      </c>
      <c r="L79" s="1175" t="s">
        <v>679</v>
      </c>
      <c r="M79" s="1193">
        <v>63250000</v>
      </c>
      <c r="N79" s="1194" t="s">
        <v>729</v>
      </c>
      <c r="O79" s="1194" t="s">
        <v>1784</v>
      </c>
    </row>
    <row r="80" spans="1:15" s="1156" customFormat="1" ht="60" x14ac:dyDescent="0.25">
      <c r="A80" s="1169">
        <v>2022074</v>
      </c>
      <c r="B80" s="1169">
        <v>7655</v>
      </c>
      <c r="C80" s="1169" t="s">
        <v>648</v>
      </c>
      <c r="D80" s="1187" t="s">
        <v>690</v>
      </c>
      <c r="E80" s="1188" t="s">
        <v>781</v>
      </c>
      <c r="F80" s="1195" t="s">
        <v>809</v>
      </c>
      <c r="G80" s="1190">
        <v>44575</v>
      </c>
      <c r="H80" s="1190">
        <v>44575</v>
      </c>
      <c r="I80" s="1191" t="s">
        <v>1782</v>
      </c>
      <c r="J80" s="1192" t="s">
        <v>1783</v>
      </c>
      <c r="K80" s="1173" t="s">
        <v>678</v>
      </c>
      <c r="L80" s="1175" t="s">
        <v>679</v>
      </c>
      <c r="M80" s="1193">
        <v>58650000</v>
      </c>
      <c r="N80" s="1194" t="s">
        <v>729</v>
      </c>
      <c r="O80" s="1194" t="s">
        <v>1784</v>
      </c>
    </row>
    <row r="81" spans="1:15" s="1156" customFormat="1" ht="60" x14ac:dyDescent="0.25">
      <c r="A81" s="1169">
        <v>2022075</v>
      </c>
      <c r="B81" s="1169">
        <v>7655</v>
      </c>
      <c r="C81" s="1169" t="s">
        <v>648</v>
      </c>
      <c r="D81" s="1187" t="s">
        <v>690</v>
      </c>
      <c r="E81" s="1188" t="s">
        <v>781</v>
      </c>
      <c r="F81" s="1189" t="s">
        <v>810</v>
      </c>
      <c r="G81" s="1190">
        <v>44575</v>
      </c>
      <c r="H81" s="1190">
        <v>44575</v>
      </c>
      <c r="I81" s="1191" t="s">
        <v>1782</v>
      </c>
      <c r="J81" s="1192" t="s">
        <v>1783</v>
      </c>
      <c r="K81" s="1173" t="s">
        <v>678</v>
      </c>
      <c r="L81" s="1175" t="s">
        <v>679</v>
      </c>
      <c r="M81" s="1193">
        <v>31625000</v>
      </c>
      <c r="N81" s="1194" t="s">
        <v>729</v>
      </c>
      <c r="O81" s="1194" t="s">
        <v>1784</v>
      </c>
    </row>
    <row r="82" spans="1:15" s="1156" customFormat="1" ht="60" x14ac:dyDescent="0.25">
      <c r="A82" s="1169">
        <v>2022076</v>
      </c>
      <c r="B82" s="1169">
        <v>7655</v>
      </c>
      <c r="C82" s="1169" t="s">
        <v>648</v>
      </c>
      <c r="D82" s="1187" t="s">
        <v>690</v>
      </c>
      <c r="E82" s="1188" t="s">
        <v>781</v>
      </c>
      <c r="F82" s="1189" t="s">
        <v>811</v>
      </c>
      <c r="G82" s="1190">
        <v>44575</v>
      </c>
      <c r="H82" s="1190">
        <v>44575</v>
      </c>
      <c r="I82" s="1191" t="s">
        <v>1782</v>
      </c>
      <c r="J82" s="1192" t="s">
        <v>1783</v>
      </c>
      <c r="K82" s="1173" t="s">
        <v>678</v>
      </c>
      <c r="L82" s="1175" t="s">
        <v>679</v>
      </c>
      <c r="M82" s="1193">
        <v>28175000</v>
      </c>
      <c r="N82" s="1194" t="s">
        <v>729</v>
      </c>
      <c r="O82" s="1194" t="s">
        <v>1784</v>
      </c>
    </row>
    <row r="83" spans="1:15" s="1156" customFormat="1" ht="60" x14ac:dyDescent="0.25">
      <c r="A83" s="1169">
        <v>2022077</v>
      </c>
      <c r="B83" s="1169">
        <v>7655</v>
      </c>
      <c r="C83" s="1169" t="s">
        <v>648</v>
      </c>
      <c r="D83" s="1187" t="s">
        <v>690</v>
      </c>
      <c r="E83" s="1188" t="s">
        <v>781</v>
      </c>
      <c r="F83" s="1189" t="s">
        <v>811</v>
      </c>
      <c r="G83" s="1190">
        <v>44575</v>
      </c>
      <c r="H83" s="1190">
        <v>44575</v>
      </c>
      <c r="I83" s="1191" t="s">
        <v>1782</v>
      </c>
      <c r="J83" s="1192" t="s">
        <v>1783</v>
      </c>
      <c r="K83" s="1173" t="s">
        <v>678</v>
      </c>
      <c r="L83" s="1175" t="s">
        <v>679</v>
      </c>
      <c r="M83" s="1193">
        <v>28175000</v>
      </c>
      <c r="N83" s="1194" t="s">
        <v>729</v>
      </c>
      <c r="O83" s="1194" t="s">
        <v>1784</v>
      </c>
    </row>
    <row r="84" spans="1:15" s="1156" customFormat="1" ht="60" x14ac:dyDescent="0.25">
      <c r="A84" s="1169">
        <v>2022078</v>
      </c>
      <c r="B84" s="1169">
        <v>7655</v>
      </c>
      <c r="C84" s="1169" t="s">
        <v>648</v>
      </c>
      <c r="D84" s="1187" t="s">
        <v>690</v>
      </c>
      <c r="E84" s="1188" t="s">
        <v>781</v>
      </c>
      <c r="F84" s="1195" t="s">
        <v>812</v>
      </c>
      <c r="G84" s="1190">
        <v>44575</v>
      </c>
      <c r="H84" s="1190">
        <v>44575</v>
      </c>
      <c r="I84" s="1191" t="s">
        <v>1782</v>
      </c>
      <c r="J84" s="1192" t="s">
        <v>1783</v>
      </c>
      <c r="K84" s="1173" t="s">
        <v>678</v>
      </c>
      <c r="L84" s="1175" t="s">
        <v>679</v>
      </c>
      <c r="M84" s="1193">
        <v>24150000</v>
      </c>
      <c r="N84" s="1194" t="s">
        <v>729</v>
      </c>
      <c r="O84" s="1194" t="s">
        <v>1784</v>
      </c>
    </row>
    <row r="85" spans="1:15" s="1156" customFormat="1" ht="60" x14ac:dyDescent="0.25">
      <c r="A85" s="1169">
        <v>2022079</v>
      </c>
      <c r="B85" s="1169">
        <v>7655</v>
      </c>
      <c r="C85" s="1169" t="s">
        <v>648</v>
      </c>
      <c r="D85" s="1187" t="s">
        <v>690</v>
      </c>
      <c r="E85" s="1188" t="s">
        <v>781</v>
      </c>
      <c r="F85" s="1195" t="s">
        <v>813</v>
      </c>
      <c r="G85" s="1190">
        <v>44575</v>
      </c>
      <c r="H85" s="1190">
        <v>44575</v>
      </c>
      <c r="I85" s="1191" t="s">
        <v>1782</v>
      </c>
      <c r="J85" s="1192" t="s">
        <v>1783</v>
      </c>
      <c r="K85" s="1173" t="s">
        <v>678</v>
      </c>
      <c r="L85" s="1175" t="s">
        <v>679</v>
      </c>
      <c r="M85" s="1193">
        <v>57500000</v>
      </c>
      <c r="N85" s="1194" t="s">
        <v>729</v>
      </c>
      <c r="O85" s="1194" t="s">
        <v>1784</v>
      </c>
    </row>
    <row r="86" spans="1:15" s="1156" customFormat="1" ht="60" x14ac:dyDescent="0.25">
      <c r="A86" s="1169">
        <v>2022080</v>
      </c>
      <c r="B86" s="1169">
        <v>7655</v>
      </c>
      <c r="C86" s="1169" t="s">
        <v>648</v>
      </c>
      <c r="D86" s="1187" t="s">
        <v>690</v>
      </c>
      <c r="E86" s="1188" t="s">
        <v>781</v>
      </c>
      <c r="F86" s="1195" t="s">
        <v>814</v>
      </c>
      <c r="G86" s="1190">
        <v>44575</v>
      </c>
      <c r="H86" s="1190">
        <v>44575</v>
      </c>
      <c r="I86" s="1191" t="s">
        <v>1782</v>
      </c>
      <c r="J86" s="1192" t="s">
        <v>1783</v>
      </c>
      <c r="K86" s="1173" t="s">
        <v>678</v>
      </c>
      <c r="L86" s="1175" t="s">
        <v>679</v>
      </c>
      <c r="M86" s="1193">
        <v>83950000</v>
      </c>
      <c r="N86" s="1194" t="s">
        <v>729</v>
      </c>
      <c r="O86" s="1194" t="s">
        <v>1784</v>
      </c>
    </row>
    <row r="87" spans="1:15" s="1156" customFormat="1" ht="60" x14ac:dyDescent="0.25">
      <c r="A87" s="1169">
        <v>2022081</v>
      </c>
      <c r="B87" s="1169">
        <v>7655</v>
      </c>
      <c r="C87" s="1169" t="s">
        <v>648</v>
      </c>
      <c r="D87" s="1187" t="s">
        <v>690</v>
      </c>
      <c r="E87" s="1188" t="s">
        <v>781</v>
      </c>
      <c r="F87" s="1195" t="s">
        <v>815</v>
      </c>
      <c r="G87" s="1190">
        <v>44575</v>
      </c>
      <c r="H87" s="1190">
        <v>44575</v>
      </c>
      <c r="I87" s="1191" t="s">
        <v>1782</v>
      </c>
      <c r="J87" s="1192" t="s">
        <v>1783</v>
      </c>
      <c r="K87" s="1173" t="s">
        <v>678</v>
      </c>
      <c r="L87" s="1175" t="s">
        <v>679</v>
      </c>
      <c r="M87" s="1193">
        <v>28175000</v>
      </c>
      <c r="N87" s="1194" t="s">
        <v>729</v>
      </c>
      <c r="O87" s="1194" t="s">
        <v>1784</v>
      </c>
    </row>
    <row r="88" spans="1:15" s="1156" customFormat="1" ht="60" x14ac:dyDescent="0.25">
      <c r="A88" s="1169">
        <v>2022082</v>
      </c>
      <c r="B88" s="1169">
        <v>7655</v>
      </c>
      <c r="C88" s="1169" t="s">
        <v>648</v>
      </c>
      <c r="D88" s="1187" t="s">
        <v>690</v>
      </c>
      <c r="E88" s="1188" t="s">
        <v>781</v>
      </c>
      <c r="F88" s="1195" t="s">
        <v>811</v>
      </c>
      <c r="G88" s="1190">
        <v>44575</v>
      </c>
      <c r="H88" s="1190">
        <v>44575</v>
      </c>
      <c r="I88" s="1191" t="s">
        <v>1782</v>
      </c>
      <c r="J88" s="1192" t="s">
        <v>1783</v>
      </c>
      <c r="K88" s="1173" t="s">
        <v>678</v>
      </c>
      <c r="L88" s="1175" t="s">
        <v>679</v>
      </c>
      <c r="M88" s="1193">
        <v>28175000</v>
      </c>
      <c r="N88" s="1194" t="s">
        <v>729</v>
      </c>
      <c r="O88" s="1194" t="s">
        <v>1784</v>
      </c>
    </row>
    <row r="89" spans="1:15" s="1156" customFormat="1" ht="60" x14ac:dyDescent="0.25">
      <c r="A89" s="1169">
        <v>2022083</v>
      </c>
      <c r="B89" s="1169">
        <v>7655</v>
      </c>
      <c r="C89" s="1169" t="s">
        <v>648</v>
      </c>
      <c r="D89" s="1187" t="s">
        <v>690</v>
      </c>
      <c r="E89" s="1169" t="s">
        <v>781</v>
      </c>
      <c r="F89" s="1195" t="s">
        <v>811</v>
      </c>
      <c r="G89" s="1190">
        <v>44575</v>
      </c>
      <c r="H89" s="1190">
        <v>44575</v>
      </c>
      <c r="I89" s="1191" t="s">
        <v>1782</v>
      </c>
      <c r="J89" s="1192" t="s">
        <v>1783</v>
      </c>
      <c r="K89" s="1173" t="s">
        <v>678</v>
      </c>
      <c r="L89" s="1175" t="s">
        <v>679</v>
      </c>
      <c r="M89" s="1193">
        <v>28175000</v>
      </c>
      <c r="N89" s="1194" t="s">
        <v>729</v>
      </c>
      <c r="O89" s="1194" t="s">
        <v>1784</v>
      </c>
    </row>
    <row r="90" spans="1:15" s="1156" customFormat="1" ht="60" x14ac:dyDescent="0.25">
      <c r="A90" s="1169">
        <v>2022084</v>
      </c>
      <c r="B90" s="1169">
        <v>7655</v>
      </c>
      <c r="C90" s="1169" t="s">
        <v>648</v>
      </c>
      <c r="D90" s="1187" t="s">
        <v>690</v>
      </c>
      <c r="E90" s="1169" t="s">
        <v>781</v>
      </c>
      <c r="F90" s="1195" t="s">
        <v>811</v>
      </c>
      <c r="G90" s="1190">
        <v>44575</v>
      </c>
      <c r="H90" s="1190">
        <v>44575</v>
      </c>
      <c r="I90" s="1191" t="s">
        <v>1782</v>
      </c>
      <c r="J90" s="1192" t="s">
        <v>1783</v>
      </c>
      <c r="K90" s="1173" t="s">
        <v>678</v>
      </c>
      <c r="L90" s="1175" t="s">
        <v>679</v>
      </c>
      <c r="M90" s="1193">
        <v>28175000</v>
      </c>
      <c r="N90" s="1194" t="s">
        <v>729</v>
      </c>
      <c r="O90" s="1194" t="s">
        <v>1784</v>
      </c>
    </row>
    <row r="91" spans="1:15" s="1156" customFormat="1" ht="60" x14ac:dyDescent="0.25">
      <c r="A91" s="1169">
        <v>2022085</v>
      </c>
      <c r="B91" s="1169">
        <v>7655</v>
      </c>
      <c r="C91" s="1169" t="s">
        <v>648</v>
      </c>
      <c r="D91" s="1187" t="s">
        <v>690</v>
      </c>
      <c r="E91" s="1188" t="s">
        <v>781</v>
      </c>
      <c r="F91" s="1195" t="s">
        <v>816</v>
      </c>
      <c r="G91" s="1190">
        <v>44575</v>
      </c>
      <c r="H91" s="1190">
        <v>44575</v>
      </c>
      <c r="I91" s="1191" t="s">
        <v>1782</v>
      </c>
      <c r="J91" s="1192" t="s">
        <v>1783</v>
      </c>
      <c r="K91" s="1173" t="s">
        <v>678</v>
      </c>
      <c r="L91" s="1175" t="s">
        <v>679</v>
      </c>
      <c r="M91" s="1193">
        <v>78200000</v>
      </c>
      <c r="N91" s="1194" t="s">
        <v>729</v>
      </c>
      <c r="O91" s="1194" t="s">
        <v>1784</v>
      </c>
    </row>
    <row r="92" spans="1:15" s="1156" customFormat="1" ht="60" x14ac:dyDescent="0.25">
      <c r="A92" s="1169">
        <v>2022086</v>
      </c>
      <c r="B92" s="1169">
        <v>7655</v>
      </c>
      <c r="C92" s="1169" t="s">
        <v>648</v>
      </c>
      <c r="D92" s="1187" t="s">
        <v>690</v>
      </c>
      <c r="E92" s="1188" t="s">
        <v>781</v>
      </c>
      <c r="F92" s="1172" t="s">
        <v>817</v>
      </c>
      <c r="G92" s="1190">
        <v>44575</v>
      </c>
      <c r="H92" s="1190">
        <v>44575</v>
      </c>
      <c r="I92" s="1191" t="s">
        <v>1782</v>
      </c>
      <c r="J92" s="1192" t="s">
        <v>1783</v>
      </c>
      <c r="K92" s="1173" t="s">
        <v>678</v>
      </c>
      <c r="L92" s="1175" t="s">
        <v>679</v>
      </c>
      <c r="M92" s="1193">
        <v>36800000</v>
      </c>
      <c r="N92" s="1194" t="s">
        <v>729</v>
      </c>
      <c r="O92" s="1194" t="s">
        <v>1784</v>
      </c>
    </row>
    <row r="93" spans="1:15" s="1156" customFormat="1" ht="60" x14ac:dyDescent="0.25">
      <c r="A93" s="1169">
        <v>2022087</v>
      </c>
      <c r="B93" s="1169">
        <v>7655</v>
      </c>
      <c r="C93" s="1169" t="s">
        <v>648</v>
      </c>
      <c r="D93" s="1187" t="s">
        <v>690</v>
      </c>
      <c r="E93" s="1188" t="s">
        <v>781</v>
      </c>
      <c r="F93" s="1196" t="s">
        <v>818</v>
      </c>
      <c r="G93" s="1190">
        <v>44575</v>
      </c>
      <c r="H93" s="1190">
        <v>44575</v>
      </c>
      <c r="I93" s="1191" t="s">
        <v>1782</v>
      </c>
      <c r="J93" s="1192" t="s">
        <v>1783</v>
      </c>
      <c r="K93" s="1173" t="s">
        <v>678</v>
      </c>
      <c r="L93" s="1175" t="s">
        <v>679</v>
      </c>
      <c r="M93" s="1193">
        <v>58650000</v>
      </c>
      <c r="N93" s="1194" t="s">
        <v>729</v>
      </c>
      <c r="O93" s="1194" t="s">
        <v>1784</v>
      </c>
    </row>
    <row r="94" spans="1:15" s="1156" customFormat="1" ht="60" x14ac:dyDescent="0.25">
      <c r="A94" s="1169">
        <v>2022088</v>
      </c>
      <c r="B94" s="1169">
        <v>7655</v>
      </c>
      <c r="C94" s="1169" t="s">
        <v>648</v>
      </c>
      <c r="D94" s="1187" t="s">
        <v>690</v>
      </c>
      <c r="E94" s="1188" t="s">
        <v>781</v>
      </c>
      <c r="F94" s="1195" t="s">
        <v>819</v>
      </c>
      <c r="G94" s="1190">
        <v>44575</v>
      </c>
      <c r="H94" s="1190">
        <v>44575</v>
      </c>
      <c r="I94" s="1191" t="s">
        <v>1782</v>
      </c>
      <c r="J94" s="1192" t="s">
        <v>1783</v>
      </c>
      <c r="K94" s="1173" t="s">
        <v>678</v>
      </c>
      <c r="L94" s="1175" t="s">
        <v>679</v>
      </c>
      <c r="M94" s="1193">
        <v>38525000</v>
      </c>
      <c r="N94" s="1194" t="s">
        <v>729</v>
      </c>
      <c r="O94" s="1194" t="s">
        <v>1784</v>
      </c>
    </row>
    <row r="95" spans="1:15" s="1156" customFormat="1" ht="60" x14ac:dyDescent="0.25">
      <c r="A95" s="1169">
        <v>2022089</v>
      </c>
      <c r="B95" s="1169">
        <v>7655</v>
      </c>
      <c r="C95" s="1169" t="s">
        <v>648</v>
      </c>
      <c r="D95" s="1187" t="s">
        <v>690</v>
      </c>
      <c r="E95" s="1188" t="s">
        <v>781</v>
      </c>
      <c r="F95" s="1195" t="s">
        <v>820</v>
      </c>
      <c r="G95" s="1190">
        <v>44575</v>
      </c>
      <c r="H95" s="1190">
        <v>44575</v>
      </c>
      <c r="I95" s="1191" t="s">
        <v>1782</v>
      </c>
      <c r="J95" s="1192" t="s">
        <v>1783</v>
      </c>
      <c r="K95" s="1173" t="s">
        <v>678</v>
      </c>
      <c r="L95" s="1175" t="s">
        <v>679</v>
      </c>
      <c r="M95" s="1193">
        <v>48300000</v>
      </c>
      <c r="N95" s="1194" t="s">
        <v>729</v>
      </c>
      <c r="O95" s="1194" t="s">
        <v>1784</v>
      </c>
    </row>
    <row r="96" spans="1:15" s="1156" customFormat="1" ht="60" x14ac:dyDescent="0.25">
      <c r="A96" s="1169">
        <v>2022090</v>
      </c>
      <c r="B96" s="1169">
        <v>7655</v>
      </c>
      <c r="C96" s="1169" t="s">
        <v>648</v>
      </c>
      <c r="D96" s="1187" t="s">
        <v>690</v>
      </c>
      <c r="E96" s="1188" t="s">
        <v>781</v>
      </c>
      <c r="F96" s="1195" t="s">
        <v>1797</v>
      </c>
      <c r="G96" s="1190">
        <v>44575</v>
      </c>
      <c r="H96" s="1190">
        <v>44575</v>
      </c>
      <c r="I96" s="1191" t="s">
        <v>1785</v>
      </c>
      <c r="J96" s="1192" t="s">
        <v>1783</v>
      </c>
      <c r="K96" s="1173" t="s">
        <v>678</v>
      </c>
      <c r="L96" s="1175" t="s">
        <v>679</v>
      </c>
      <c r="M96" s="1193">
        <v>36000000</v>
      </c>
      <c r="N96" s="1194" t="s">
        <v>729</v>
      </c>
      <c r="O96" s="1194" t="s">
        <v>1784</v>
      </c>
    </row>
    <row r="97" spans="1:18" s="1156" customFormat="1" ht="60" x14ac:dyDescent="0.25">
      <c r="A97" s="1169">
        <v>2022091</v>
      </c>
      <c r="B97" s="1169">
        <v>7655</v>
      </c>
      <c r="C97" s="1169" t="s">
        <v>648</v>
      </c>
      <c r="D97" s="1187" t="s">
        <v>690</v>
      </c>
      <c r="E97" s="1169" t="s">
        <v>781</v>
      </c>
      <c r="F97" s="1189" t="s">
        <v>821</v>
      </c>
      <c r="G97" s="1190">
        <v>44575</v>
      </c>
      <c r="H97" s="1190">
        <v>44575</v>
      </c>
      <c r="I97" s="1191" t="s">
        <v>1782</v>
      </c>
      <c r="J97" s="1192" t="s">
        <v>1783</v>
      </c>
      <c r="K97" s="1173" t="s">
        <v>678</v>
      </c>
      <c r="L97" s="1175" t="s">
        <v>679</v>
      </c>
      <c r="M97" s="1193">
        <v>80500000</v>
      </c>
      <c r="N97" s="1194" t="s">
        <v>729</v>
      </c>
      <c r="O97" s="1194" t="s">
        <v>1784</v>
      </c>
    </row>
    <row r="98" spans="1:18" s="1156" customFormat="1" ht="60" x14ac:dyDescent="0.25">
      <c r="A98" s="1169">
        <v>2022092</v>
      </c>
      <c r="B98" s="1169">
        <v>7655</v>
      </c>
      <c r="C98" s="1169" t="s">
        <v>648</v>
      </c>
      <c r="D98" s="1187" t="s">
        <v>690</v>
      </c>
      <c r="E98" s="1188" t="s">
        <v>781</v>
      </c>
      <c r="F98" s="1195" t="s">
        <v>822</v>
      </c>
      <c r="G98" s="1190">
        <v>44575</v>
      </c>
      <c r="H98" s="1190">
        <v>44575</v>
      </c>
      <c r="I98" s="1191" t="s">
        <v>1782</v>
      </c>
      <c r="J98" s="1192" t="s">
        <v>1783</v>
      </c>
      <c r="K98" s="1173" t="s">
        <v>678</v>
      </c>
      <c r="L98" s="1175" t="s">
        <v>679</v>
      </c>
      <c r="M98" s="1193">
        <v>28175000</v>
      </c>
      <c r="N98" s="1194" t="s">
        <v>729</v>
      </c>
      <c r="O98" s="1194" t="s">
        <v>1784</v>
      </c>
      <c r="R98" s="1197"/>
    </row>
    <row r="99" spans="1:18" s="1156" customFormat="1" ht="60" x14ac:dyDescent="0.25">
      <c r="A99" s="1169">
        <v>2022093</v>
      </c>
      <c r="B99" s="1169">
        <v>7655</v>
      </c>
      <c r="C99" s="1169" t="s">
        <v>648</v>
      </c>
      <c r="D99" s="1187" t="s">
        <v>690</v>
      </c>
      <c r="E99" s="1188" t="s">
        <v>781</v>
      </c>
      <c r="F99" s="1195" t="s">
        <v>823</v>
      </c>
      <c r="G99" s="1190">
        <v>44575</v>
      </c>
      <c r="H99" s="1190">
        <v>44575</v>
      </c>
      <c r="I99" s="1191" t="s">
        <v>1782</v>
      </c>
      <c r="J99" s="1192" t="s">
        <v>1783</v>
      </c>
      <c r="K99" s="1173" t="s">
        <v>678</v>
      </c>
      <c r="L99" s="1175" t="s">
        <v>679</v>
      </c>
      <c r="M99" s="1193">
        <v>48300000</v>
      </c>
      <c r="N99" s="1194" t="s">
        <v>729</v>
      </c>
      <c r="O99" s="1194" t="s">
        <v>1784</v>
      </c>
    </row>
    <row r="100" spans="1:18" s="1156" customFormat="1" ht="60" x14ac:dyDescent="0.25">
      <c r="A100" s="1169">
        <v>2022094</v>
      </c>
      <c r="B100" s="1169">
        <v>7655</v>
      </c>
      <c r="C100" s="1169" t="s">
        <v>648</v>
      </c>
      <c r="D100" s="1187" t="s">
        <v>690</v>
      </c>
      <c r="E100" s="1169" t="s">
        <v>781</v>
      </c>
      <c r="F100" s="1189" t="s">
        <v>822</v>
      </c>
      <c r="G100" s="1190">
        <v>44575</v>
      </c>
      <c r="H100" s="1190">
        <v>44575</v>
      </c>
      <c r="I100" s="1191" t="s">
        <v>1782</v>
      </c>
      <c r="J100" s="1192" t="s">
        <v>1783</v>
      </c>
      <c r="K100" s="1173" t="s">
        <v>678</v>
      </c>
      <c r="L100" s="1175" t="s">
        <v>679</v>
      </c>
      <c r="M100" s="1193">
        <v>28175000</v>
      </c>
      <c r="N100" s="1194" t="s">
        <v>729</v>
      </c>
      <c r="O100" s="1194" t="s">
        <v>1784</v>
      </c>
    </row>
    <row r="101" spans="1:18" s="1156" customFormat="1" ht="60" x14ac:dyDescent="0.25">
      <c r="A101" s="1169">
        <v>2022095</v>
      </c>
      <c r="B101" s="1169">
        <v>7655</v>
      </c>
      <c r="C101" s="1169" t="s">
        <v>648</v>
      </c>
      <c r="D101" s="1187" t="s">
        <v>690</v>
      </c>
      <c r="E101" s="1169" t="s">
        <v>781</v>
      </c>
      <c r="F101" s="1189" t="s">
        <v>824</v>
      </c>
      <c r="G101" s="1190">
        <v>44575</v>
      </c>
      <c r="H101" s="1190">
        <v>44575</v>
      </c>
      <c r="I101" s="1191" t="s">
        <v>1782</v>
      </c>
      <c r="J101" s="1192" t="s">
        <v>1783</v>
      </c>
      <c r="K101" s="1173" t="s">
        <v>678</v>
      </c>
      <c r="L101" s="1175" t="s">
        <v>679</v>
      </c>
      <c r="M101" s="1193">
        <v>31625000</v>
      </c>
      <c r="N101" s="1194" t="s">
        <v>729</v>
      </c>
      <c r="O101" s="1194" t="s">
        <v>1784</v>
      </c>
    </row>
    <row r="102" spans="1:18" s="1156" customFormat="1" ht="60" x14ac:dyDescent="0.25">
      <c r="A102" s="1169">
        <v>2022096</v>
      </c>
      <c r="B102" s="1169">
        <v>7655</v>
      </c>
      <c r="C102" s="1169" t="s">
        <v>648</v>
      </c>
      <c r="D102" s="1187" t="s">
        <v>690</v>
      </c>
      <c r="E102" s="1169" t="s">
        <v>781</v>
      </c>
      <c r="F102" s="1189" t="s">
        <v>825</v>
      </c>
      <c r="G102" s="1190">
        <v>44575</v>
      </c>
      <c r="H102" s="1190">
        <v>44575</v>
      </c>
      <c r="I102" s="1191" t="s">
        <v>1782</v>
      </c>
      <c r="J102" s="1192" t="s">
        <v>1783</v>
      </c>
      <c r="K102" s="1173" t="s">
        <v>678</v>
      </c>
      <c r="L102" s="1175" t="s">
        <v>679</v>
      </c>
      <c r="M102" s="1193">
        <v>69000000</v>
      </c>
      <c r="N102" s="1194" t="s">
        <v>729</v>
      </c>
      <c r="O102" s="1194" t="s">
        <v>1784</v>
      </c>
    </row>
    <row r="103" spans="1:18" s="1156" customFormat="1" ht="60" x14ac:dyDescent="0.25">
      <c r="A103" s="1169">
        <v>2022097</v>
      </c>
      <c r="B103" s="1169">
        <v>7655</v>
      </c>
      <c r="C103" s="1169" t="s">
        <v>648</v>
      </c>
      <c r="D103" s="1187" t="s">
        <v>690</v>
      </c>
      <c r="E103" s="1169" t="s">
        <v>781</v>
      </c>
      <c r="F103" s="1189" t="s">
        <v>822</v>
      </c>
      <c r="G103" s="1190">
        <v>44575</v>
      </c>
      <c r="H103" s="1190">
        <v>44575</v>
      </c>
      <c r="I103" s="1191" t="s">
        <v>1782</v>
      </c>
      <c r="J103" s="1192" t="s">
        <v>1783</v>
      </c>
      <c r="K103" s="1173" t="s">
        <v>678</v>
      </c>
      <c r="L103" s="1175" t="s">
        <v>679</v>
      </c>
      <c r="M103" s="1193">
        <v>24150000</v>
      </c>
      <c r="N103" s="1194" t="s">
        <v>729</v>
      </c>
      <c r="O103" s="1194" t="s">
        <v>1784</v>
      </c>
    </row>
    <row r="104" spans="1:18" s="1156" customFormat="1" ht="60" x14ac:dyDescent="0.25">
      <c r="A104" s="1169">
        <v>2022098</v>
      </c>
      <c r="B104" s="1169">
        <v>7655</v>
      </c>
      <c r="C104" s="1169" t="s">
        <v>648</v>
      </c>
      <c r="D104" s="1187" t="s">
        <v>690</v>
      </c>
      <c r="E104" s="1169" t="s">
        <v>781</v>
      </c>
      <c r="F104" s="1189" t="s">
        <v>822</v>
      </c>
      <c r="G104" s="1190">
        <v>44575</v>
      </c>
      <c r="H104" s="1190">
        <v>44575</v>
      </c>
      <c r="I104" s="1191" t="s">
        <v>1782</v>
      </c>
      <c r="J104" s="1192" t="s">
        <v>1783</v>
      </c>
      <c r="K104" s="1173" t="s">
        <v>678</v>
      </c>
      <c r="L104" s="1175" t="s">
        <v>679</v>
      </c>
      <c r="M104" s="1193">
        <v>28175000</v>
      </c>
      <c r="N104" s="1194" t="s">
        <v>729</v>
      </c>
      <c r="O104" s="1194" t="s">
        <v>1784</v>
      </c>
    </row>
    <row r="105" spans="1:18" s="1156" customFormat="1" ht="60" x14ac:dyDescent="0.25">
      <c r="A105" s="1169">
        <v>2022099</v>
      </c>
      <c r="B105" s="1169">
        <v>7655</v>
      </c>
      <c r="C105" s="1169" t="s">
        <v>648</v>
      </c>
      <c r="D105" s="1187" t="s">
        <v>690</v>
      </c>
      <c r="E105" s="1169" t="s">
        <v>781</v>
      </c>
      <c r="F105" s="1189" t="s">
        <v>822</v>
      </c>
      <c r="G105" s="1190">
        <v>44575</v>
      </c>
      <c r="H105" s="1190">
        <v>44575</v>
      </c>
      <c r="I105" s="1191" t="s">
        <v>1782</v>
      </c>
      <c r="J105" s="1192" t="s">
        <v>1783</v>
      </c>
      <c r="K105" s="1173" t="s">
        <v>678</v>
      </c>
      <c r="L105" s="1175" t="s">
        <v>679</v>
      </c>
      <c r="M105" s="1193">
        <v>28175000</v>
      </c>
      <c r="N105" s="1194" t="s">
        <v>729</v>
      </c>
      <c r="O105" s="1194" t="s">
        <v>1784</v>
      </c>
    </row>
    <row r="106" spans="1:18" s="1156" customFormat="1" ht="75" x14ac:dyDescent="0.25">
      <c r="A106" s="1169">
        <v>2022100</v>
      </c>
      <c r="B106" s="1169">
        <v>7655</v>
      </c>
      <c r="C106" s="1169" t="s">
        <v>648</v>
      </c>
      <c r="D106" s="1187" t="s">
        <v>690</v>
      </c>
      <c r="E106" s="1188" t="s">
        <v>781</v>
      </c>
      <c r="F106" s="1189" t="s">
        <v>826</v>
      </c>
      <c r="G106" s="1190">
        <v>44575</v>
      </c>
      <c r="H106" s="1190">
        <v>44575</v>
      </c>
      <c r="I106" s="1191" t="s">
        <v>1782</v>
      </c>
      <c r="J106" s="1192" t="s">
        <v>1783</v>
      </c>
      <c r="K106" s="1173" t="s">
        <v>678</v>
      </c>
      <c r="L106" s="1175" t="s">
        <v>783</v>
      </c>
      <c r="M106" s="1193">
        <v>63250000</v>
      </c>
      <c r="N106" s="1194" t="s">
        <v>729</v>
      </c>
      <c r="O106" s="1194" t="s">
        <v>1784</v>
      </c>
    </row>
    <row r="107" spans="1:18" s="1156" customFormat="1" ht="75" x14ac:dyDescent="0.25">
      <c r="A107" s="1169">
        <v>2022101</v>
      </c>
      <c r="B107" s="1169">
        <v>7655</v>
      </c>
      <c r="C107" s="1169" t="s">
        <v>648</v>
      </c>
      <c r="D107" s="1187" t="s">
        <v>690</v>
      </c>
      <c r="E107" s="1188" t="s">
        <v>781</v>
      </c>
      <c r="F107" s="1189" t="s">
        <v>827</v>
      </c>
      <c r="G107" s="1190">
        <v>44575</v>
      </c>
      <c r="H107" s="1190">
        <v>44575</v>
      </c>
      <c r="I107" s="1191" t="s">
        <v>1782</v>
      </c>
      <c r="J107" s="1192" t="s">
        <v>1783</v>
      </c>
      <c r="K107" s="1173" t="s">
        <v>678</v>
      </c>
      <c r="L107" s="1175" t="s">
        <v>783</v>
      </c>
      <c r="M107" s="1193">
        <v>63250000</v>
      </c>
      <c r="N107" s="1194" t="s">
        <v>729</v>
      </c>
      <c r="O107" s="1194" t="s">
        <v>1784</v>
      </c>
    </row>
    <row r="108" spans="1:18" s="1156" customFormat="1" ht="60" x14ac:dyDescent="0.25">
      <c r="A108" s="1169">
        <v>2022102</v>
      </c>
      <c r="B108" s="1169">
        <v>7655</v>
      </c>
      <c r="C108" s="1169" t="s">
        <v>648</v>
      </c>
      <c r="D108" s="1187" t="s">
        <v>690</v>
      </c>
      <c r="E108" s="1188" t="s">
        <v>97</v>
      </c>
      <c r="F108" s="1198" t="s">
        <v>1798</v>
      </c>
      <c r="G108" s="1190" t="s">
        <v>97</v>
      </c>
      <c r="H108" s="1190" t="s">
        <v>97</v>
      </c>
      <c r="I108" s="1190" t="s">
        <v>97</v>
      </c>
      <c r="J108" s="1192" t="s">
        <v>1783</v>
      </c>
      <c r="K108" s="1173" t="s">
        <v>678</v>
      </c>
      <c r="L108" s="1175" t="s">
        <v>679</v>
      </c>
      <c r="M108" s="1193">
        <v>138627500</v>
      </c>
      <c r="N108" s="1194" t="s">
        <v>729</v>
      </c>
      <c r="O108" s="1194" t="s">
        <v>1784</v>
      </c>
    </row>
    <row r="109" spans="1:18" s="1156" customFormat="1" ht="60" x14ac:dyDescent="0.25">
      <c r="A109" s="1169">
        <v>2022103</v>
      </c>
      <c r="B109" s="1169">
        <v>7655</v>
      </c>
      <c r="C109" s="1169" t="s">
        <v>648</v>
      </c>
      <c r="D109" s="1187" t="s">
        <v>690</v>
      </c>
      <c r="E109" s="1169" t="s">
        <v>781</v>
      </c>
      <c r="F109" s="1195" t="s">
        <v>828</v>
      </c>
      <c r="G109" s="1190">
        <v>44575</v>
      </c>
      <c r="H109" s="1190">
        <v>44575</v>
      </c>
      <c r="I109" s="1191" t="s">
        <v>1786</v>
      </c>
      <c r="J109" s="1192" t="s">
        <v>1783</v>
      </c>
      <c r="K109" s="1173" t="s">
        <v>678</v>
      </c>
      <c r="L109" s="1175" t="s">
        <v>679</v>
      </c>
      <c r="M109" s="1176">
        <v>31500000</v>
      </c>
      <c r="N109" s="1194" t="s">
        <v>729</v>
      </c>
      <c r="O109" s="1194" t="s">
        <v>1784</v>
      </c>
    </row>
    <row r="110" spans="1:18" s="1156" customFormat="1" ht="60" x14ac:dyDescent="0.25">
      <c r="A110" s="1169">
        <v>2022104</v>
      </c>
      <c r="B110" s="1169">
        <v>7655</v>
      </c>
      <c r="C110" s="1169" t="s">
        <v>648</v>
      </c>
      <c r="D110" s="1187" t="s">
        <v>690</v>
      </c>
      <c r="E110" s="1169" t="s">
        <v>781</v>
      </c>
      <c r="F110" s="1195" t="s">
        <v>829</v>
      </c>
      <c r="G110" s="1190">
        <v>44575</v>
      </c>
      <c r="H110" s="1190">
        <v>44575</v>
      </c>
      <c r="I110" s="1191" t="s">
        <v>1782</v>
      </c>
      <c r="J110" s="1192" t="s">
        <v>1783</v>
      </c>
      <c r="K110" s="1173" t="s">
        <v>678</v>
      </c>
      <c r="L110" s="1175" t="s">
        <v>679</v>
      </c>
      <c r="M110" s="1176">
        <v>38525000</v>
      </c>
      <c r="N110" s="1194" t="s">
        <v>729</v>
      </c>
      <c r="O110" s="1194" t="s">
        <v>1784</v>
      </c>
    </row>
    <row r="111" spans="1:18" s="1156" customFormat="1" ht="60" x14ac:dyDescent="0.25">
      <c r="A111" s="1169">
        <v>2022105</v>
      </c>
      <c r="B111" s="1169">
        <v>7655</v>
      </c>
      <c r="C111" s="1169" t="s">
        <v>648</v>
      </c>
      <c r="D111" s="1187" t="s">
        <v>690</v>
      </c>
      <c r="E111" s="1169" t="s">
        <v>781</v>
      </c>
      <c r="F111" s="1195" t="s">
        <v>829</v>
      </c>
      <c r="G111" s="1190">
        <v>44575</v>
      </c>
      <c r="H111" s="1190">
        <v>44575</v>
      </c>
      <c r="I111" s="1191" t="s">
        <v>1782</v>
      </c>
      <c r="J111" s="1192" t="s">
        <v>1783</v>
      </c>
      <c r="K111" s="1173" t="s">
        <v>678</v>
      </c>
      <c r="L111" s="1175" t="s">
        <v>679</v>
      </c>
      <c r="M111" s="1176">
        <v>28175000</v>
      </c>
      <c r="N111" s="1194" t="s">
        <v>729</v>
      </c>
      <c r="O111" s="1194" t="s">
        <v>1784</v>
      </c>
    </row>
    <row r="112" spans="1:18" s="1156" customFormat="1" ht="60" x14ac:dyDescent="0.25">
      <c r="A112" s="1169">
        <v>2022106</v>
      </c>
      <c r="B112" s="1169">
        <v>7655</v>
      </c>
      <c r="C112" s="1169" t="s">
        <v>648</v>
      </c>
      <c r="D112" s="1187" t="s">
        <v>690</v>
      </c>
      <c r="E112" s="1169" t="s">
        <v>781</v>
      </c>
      <c r="F112" s="1195" t="s">
        <v>830</v>
      </c>
      <c r="G112" s="1190">
        <v>44575</v>
      </c>
      <c r="H112" s="1190">
        <v>44575</v>
      </c>
      <c r="I112" s="1191" t="s">
        <v>1782</v>
      </c>
      <c r="J112" s="1192" t="s">
        <v>1783</v>
      </c>
      <c r="K112" s="1173" t="s">
        <v>678</v>
      </c>
      <c r="L112" s="1175" t="s">
        <v>679</v>
      </c>
      <c r="M112" s="1176">
        <v>44275000</v>
      </c>
      <c r="N112" s="1194" t="s">
        <v>729</v>
      </c>
      <c r="O112" s="1194" t="s">
        <v>1784</v>
      </c>
    </row>
    <row r="113" spans="1:15" s="1156" customFormat="1" ht="75" x14ac:dyDescent="0.25">
      <c r="A113" s="1169">
        <v>2022107</v>
      </c>
      <c r="B113" s="1169">
        <v>7655</v>
      </c>
      <c r="C113" s="1169" t="s">
        <v>648</v>
      </c>
      <c r="D113" s="1187" t="s">
        <v>690</v>
      </c>
      <c r="E113" s="1169" t="s">
        <v>781</v>
      </c>
      <c r="F113" s="1189" t="s">
        <v>831</v>
      </c>
      <c r="G113" s="1190">
        <v>44575</v>
      </c>
      <c r="H113" s="1190">
        <v>44575</v>
      </c>
      <c r="I113" s="1191" t="s">
        <v>1786</v>
      </c>
      <c r="J113" s="1192" t="s">
        <v>1783</v>
      </c>
      <c r="K113" s="1173" t="s">
        <v>678</v>
      </c>
      <c r="L113" s="1175" t="s">
        <v>679</v>
      </c>
      <c r="M113" s="1176">
        <v>31500000</v>
      </c>
      <c r="N113" s="1194" t="s">
        <v>729</v>
      </c>
      <c r="O113" s="1194" t="s">
        <v>1784</v>
      </c>
    </row>
    <row r="114" spans="1:15" s="1156" customFormat="1" ht="60" x14ac:dyDescent="0.25">
      <c r="A114" s="1169">
        <v>2022108</v>
      </c>
      <c r="B114" s="1169">
        <v>7655</v>
      </c>
      <c r="C114" s="1169" t="s">
        <v>648</v>
      </c>
      <c r="D114" s="1187" t="s">
        <v>690</v>
      </c>
      <c r="E114" s="1188" t="s">
        <v>781</v>
      </c>
      <c r="F114" s="1195" t="s">
        <v>832</v>
      </c>
      <c r="G114" s="1190">
        <v>44575</v>
      </c>
      <c r="H114" s="1190">
        <v>44575</v>
      </c>
      <c r="I114" s="1191" t="s">
        <v>1793</v>
      </c>
      <c r="J114" s="1192" t="s">
        <v>1783</v>
      </c>
      <c r="K114" s="1173" t="s">
        <v>678</v>
      </c>
      <c r="L114" s="1175" t="s">
        <v>679</v>
      </c>
      <c r="M114" s="1193">
        <v>29400000</v>
      </c>
      <c r="N114" s="1194" t="s">
        <v>729</v>
      </c>
      <c r="O114" s="1194" t="s">
        <v>1784</v>
      </c>
    </row>
    <row r="115" spans="1:15" s="1156" customFormat="1" ht="60" x14ac:dyDescent="0.25">
      <c r="A115" s="1169">
        <v>2022109</v>
      </c>
      <c r="B115" s="1169">
        <v>7655</v>
      </c>
      <c r="C115" s="1169" t="s">
        <v>648</v>
      </c>
      <c r="D115" s="1187" t="s">
        <v>690</v>
      </c>
      <c r="E115" s="1188" t="s">
        <v>781</v>
      </c>
      <c r="F115" s="1195" t="s">
        <v>833</v>
      </c>
      <c r="G115" s="1190">
        <v>44575</v>
      </c>
      <c r="H115" s="1190">
        <v>44575</v>
      </c>
      <c r="I115" s="1191" t="s">
        <v>1793</v>
      </c>
      <c r="J115" s="1192" t="s">
        <v>1783</v>
      </c>
      <c r="K115" s="1173" t="s">
        <v>678</v>
      </c>
      <c r="L115" s="1175" t="s">
        <v>679</v>
      </c>
      <c r="M115" s="1193">
        <v>84000000</v>
      </c>
      <c r="N115" s="1194" t="s">
        <v>729</v>
      </c>
      <c r="O115" s="1194" t="s">
        <v>1784</v>
      </c>
    </row>
    <row r="116" spans="1:15" s="1156" customFormat="1" ht="60" x14ac:dyDescent="0.25">
      <c r="A116" s="1169">
        <v>2022110</v>
      </c>
      <c r="B116" s="1169">
        <v>7655</v>
      </c>
      <c r="C116" s="1169" t="s">
        <v>648</v>
      </c>
      <c r="D116" s="1187" t="s">
        <v>690</v>
      </c>
      <c r="E116" s="1188" t="s">
        <v>781</v>
      </c>
      <c r="F116" s="1195" t="s">
        <v>834</v>
      </c>
      <c r="G116" s="1190">
        <v>44575</v>
      </c>
      <c r="H116" s="1190">
        <v>44575</v>
      </c>
      <c r="I116" s="1191" t="s">
        <v>1793</v>
      </c>
      <c r="J116" s="1192" t="s">
        <v>1783</v>
      </c>
      <c r="K116" s="1173" t="s">
        <v>678</v>
      </c>
      <c r="L116" s="1175" t="s">
        <v>679</v>
      </c>
      <c r="M116" s="1193">
        <v>40200000</v>
      </c>
      <c r="N116" s="1194" t="s">
        <v>729</v>
      </c>
      <c r="O116" s="1194" t="s">
        <v>1784</v>
      </c>
    </row>
    <row r="117" spans="1:15" s="1156" customFormat="1" ht="60" x14ac:dyDescent="0.25">
      <c r="A117" s="1169">
        <v>2022111</v>
      </c>
      <c r="B117" s="1169">
        <v>7655</v>
      </c>
      <c r="C117" s="1169" t="s">
        <v>648</v>
      </c>
      <c r="D117" s="1187" t="s">
        <v>690</v>
      </c>
      <c r="E117" s="1188" t="s">
        <v>781</v>
      </c>
      <c r="F117" s="1195" t="s">
        <v>832</v>
      </c>
      <c r="G117" s="1190">
        <v>44575</v>
      </c>
      <c r="H117" s="1190">
        <v>44575</v>
      </c>
      <c r="I117" s="1191" t="s">
        <v>1793</v>
      </c>
      <c r="J117" s="1192" t="s">
        <v>1783</v>
      </c>
      <c r="K117" s="1173" t="s">
        <v>678</v>
      </c>
      <c r="L117" s="1175" t="s">
        <v>679</v>
      </c>
      <c r="M117" s="1193">
        <v>29400000</v>
      </c>
      <c r="N117" s="1194" t="s">
        <v>729</v>
      </c>
      <c r="O117" s="1194" t="s">
        <v>1784</v>
      </c>
    </row>
    <row r="118" spans="1:15" s="1156" customFormat="1" ht="60" x14ac:dyDescent="0.25">
      <c r="A118" s="1169">
        <v>2022112</v>
      </c>
      <c r="B118" s="1169">
        <v>7655</v>
      </c>
      <c r="C118" s="1169" t="s">
        <v>648</v>
      </c>
      <c r="D118" s="1187" t="s">
        <v>690</v>
      </c>
      <c r="E118" s="1188" t="s">
        <v>781</v>
      </c>
      <c r="F118" s="1195" t="s">
        <v>835</v>
      </c>
      <c r="G118" s="1190">
        <v>44575</v>
      </c>
      <c r="H118" s="1190">
        <v>44575</v>
      </c>
      <c r="I118" s="1191" t="s">
        <v>1793</v>
      </c>
      <c r="J118" s="1192" t="s">
        <v>1783</v>
      </c>
      <c r="K118" s="1173" t="s">
        <v>678</v>
      </c>
      <c r="L118" s="1175" t="s">
        <v>679</v>
      </c>
      <c r="M118" s="1193">
        <v>29400000</v>
      </c>
      <c r="N118" s="1194" t="s">
        <v>729</v>
      </c>
      <c r="O118" s="1194" t="s">
        <v>1784</v>
      </c>
    </row>
    <row r="119" spans="1:15" s="1156" customFormat="1" ht="60" x14ac:dyDescent="0.25">
      <c r="A119" s="1169">
        <v>2022113</v>
      </c>
      <c r="B119" s="1169">
        <v>7655</v>
      </c>
      <c r="C119" s="1169" t="s">
        <v>648</v>
      </c>
      <c r="D119" s="1187" t="s">
        <v>690</v>
      </c>
      <c r="E119" s="1188" t="s">
        <v>781</v>
      </c>
      <c r="F119" s="1195" t="s">
        <v>835</v>
      </c>
      <c r="G119" s="1190">
        <v>44575</v>
      </c>
      <c r="H119" s="1190">
        <v>44575</v>
      </c>
      <c r="I119" s="1191" t="s">
        <v>1793</v>
      </c>
      <c r="J119" s="1192" t="s">
        <v>1783</v>
      </c>
      <c r="K119" s="1173" t="s">
        <v>678</v>
      </c>
      <c r="L119" s="1175" t="s">
        <v>679</v>
      </c>
      <c r="M119" s="1193">
        <v>29400000</v>
      </c>
      <c r="N119" s="1194" t="s">
        <v>729</v>
      </c>
      <c r="O119" s="1194" t="s">
        <v>1784</v>
      </c>
    </row>
    <row r="120" spans="1:15" s="1156" customFormat="1" ht="60" x14ac:dyDescent="0.25">
      <c r="A120" s="1169">
        <v>2022114</v>
      </c>
      <c r="B120" s="1169">
        <v>7655</v>
      </c>
      <c r="C120" s="1169" t="s">
        <v>648</v>
      </c>
      <c r="D120" s="1187" t="s">
        <v>690</v>
      </c>
      <c r="E120" s="1188" t="s">
        <v>781</v>
      </c>
      <c r="F120" s="1195" t="s">
        <v>836</v>
      </c>
      <c r="G120" s="1190">
        <v>44575</v>
      </c>
      <c r="H120" s="1190">
        <v>44575</v>
      </c>
      <c r="I120" s="1191" t="s">
        <v>1793</v>
      </c>
      <c r="J120" s="1192" t="s">
        <v>1783</v>
      </c>
      <c r="K120" s="1173" t="s">
        <v>678</v>
      </c>
      <c r="L120" s="1175" t="s">
        <v>679</v>
      </c>
      <c r="M120" s="1193">
        <v>29400000</v>
      </c>
      <c r="N120" s="1194" t="s">
        <v>729</v>
      </c>
      <c r="O120" s="1194" t="s">
        <v>1784</v>
      </c>
    </row>
    <row r="121" spans="1:15" s="1156" customFormat="1" ht="60" x14ac:dyDescent="0.25">
      <c r="A121" s="1169">
        <v>2022115</v>
      </c>
      <c r="B121" s="1169">
        <v>7655</v>
      </c>
      <c r="C121" s="1169" t="s">
        <v>648</v>
      </c>
      <c r="D121" s="1187" t="s">
        <v>690</v>
      </c>
      <c r="E121" s="1188" t="s">
        <v>781</v>
      </c>
      <c r="F121" s="1195" t="s">
        <v>835</v>
      </c>
      <c r="G121" s="1190">
        <v>44575</v>
      </c>
      <c r="H121" s="1190">
        <v>44575</v>
      </c>
      <c r="I121" s="1191" t="s">
        <v>1793</v>
      </c>
      <c r="J121" s="1192" t="s">
        <v>1783</v>
      </c>
      <c r="K121" s="1173" t="s">
        <v>678</v>
      </c>
      <c r="L121" s="1175" t="s">
        <v>679</v>
      </c>
      <c r="M121" s="1193">
        <v>29400000</v>
      </c>
      <c r="N121" s="1194" t="s">
        <v>729</v>
      </c>
      <c r="O121" s="1194" t="s">
        <v>1784</v>
      </c>
    </row>
    <row r="122" spans="1:15" s="1156" customFormat="1" ht="60" x14ac:dyDescent="0.25">
      <c r="A122" s="1169">
        <v>2022116</v>
      </c>
      <c r="B122" s="1169">
        <v>7655</v>
      </c>
      <c r="C122" s="1169" t="s">
        <v>648</v>
      </c>
      <c r="D122" s="1187" t="s">
        <v>690</v>
      </c>
      <c r="E122" s="1188" t="s">
        <v>781</v>
      </c>
      <c r="F122" s="1195" t="s">
        <v>835</v>
      </c>
      <c r="G122" s="1190">
        <v>44575</v>
      </c>
      <c r="H122" s="1190">
        <v>44575</v>
      </c>
      <c r="I122" s="1191" t="s">
        <v>1793</v>
      </c>
      <c r="J122" s="1192" t="s">
        <v>1783</v>
      </c>
      <c r="K122" s="1173" t="s">
        <v>678</v>
      </c>
      <c r="L122" s="1175" t="s">
        <v>679</v>
      </c>
      <c r="M122" s="1193">
        <v>29400000</v>
      </c>
      <c r="N122" s="1194" t="s">
        <v>729</v>
      </c>
      <c r="O122" s="1194" t="s">
        <v>1784</v>
      </c>
    </row>
    <row r="123" spans="1:15" s="1156" customFormat="1" ht="60" x14ac:dyDescent="0.25">
      <c r="A123" s="1169">
        <v>2022117</v>
      </c>
      <c r="B123" s="1169">
        <v>7655</v>
      </c>
      <c r="C123" s="1169" t="s">
        <v>648</v>
      </c>
      <c r="D123" s="1187" t="s">
        <v>690</v>
      </c>
      <c r="E123" s="1188" t="s">
        <v>781</v>
      </c>
      <c r="F123" s="1195" t="s">
        <v>835</v>
      </c>
      <c r="G123" s="1190">
        <v>44575</v>
      </c>
      <c r="H123" s="1190">
        <v>44575</v>
      </c>
      <c r="I123" s="1191" t="s">
        <v>1793</v>
      </c>
      <c r="J123" s="1192" t="s">
        <v>1783</v>
      </c>
      <c r="K123" s="1173" t="s">
        <v>678</v>
      </c>
      <c r="L123" s="1175" t="s">
        <v>679</v>
      </c>
      <c r="M123" s="1193">
        <v>29400000</v>
      </c>
      <c r="N123" s="1194" t="s">
        <v>729</v>
      </c>
      <c r="O123" s="1194" t="s">
        <v>1784</v>
      </c>
    </row>
    <row r="124" spans="1:15" s="1156" customFormat="1" ht="60" x14ac:dyDescent="0.25">
      <c r="A124" s="1169">
        <v>2022118</v>
      </c>
      <c r="B124" s="1169">
        <v>7655</v>
      </c>
      <c r="C124" s="1169" t="s">
        <v>648</v>
      </c>
      <c r="D124" s="1187" t="s">
        <v>690</v>
      </c>
      <c r="E124" s="1188" t="s">
        <v>781</v>
      </c>
      <c r="F124" s="1195" t="s">
        <v>835</v>
      </c>
      <c r="G124" s="1190">
        <v>44575</v>
      </c>
      <c r="H124" s="1190">
        <v>44575</v>
      </c>
      <c r="I124" s="1191" t="s">
        <v>1793</v>
      </c>
      <c r="J124" s="1192" t="s">
        <v>1783</v>
      </c>
      <c r="K124" s="1173" t="s">
        <v>678</v>
      </c>
      <c r="L124" s="1175" t="s">
        <v>679</v>
      </c>
      <c r="M124" s="1193">
        <v>29400000</v>
      </c>
      <c r="N124" s="1194" t="s">
        <v>729</v>
      </c>
      <c r="O124" s="1194" t="s">
        <v>1784</v>
      </c>
    </row>
    <row r="125" spans="1:15" s="1156" customFormat="1" ht="60" x14ac:dyDescent="0.25">
      <c r="A125" s="1169">
        <v>2022119</v>
      </c>
      <c r="B125" s="1169">
        <v>7655</v>
      </c>
      <c r="C125" s="1169" t="s">
        <v>648</v>
      </c>
      <c r="D125" s="1187" t="s">
        <v>690</v>
      </c>
      <c r="E125" s="1188" t="s">
        <v>781</v>
      </c>
      <c r="F125" s="1195" t="s">
        <v>835</v>
      </c>
      <c r="G125" s="1190">
        <v>44575</v>
      </c>
      <c r="H125" s="1190">
        <v>44575</v>
      </c>
      <c r="I125" s="1191" t="s">
        <v>1793</v>
      </c>
      <c r="J125" s="1192" t="s">
        <v>1783</v>
      </c>
      <c r="K125" s="1173" t="s">
        <v>678</v>
      </c>
      <c r="L125" s="1175" t="s">
        <v>679</v>
      </c>
      <c r="M125" s="1193">
        <v>29400000</v>
      </c>
      <c r="N125" s="1194" t="s">
        <v>729</v>
      </c>
      <c r="O125" s="1194" t="s">
        <v>1784</v>
      </c>
    </row>
    <row r="126" spans="1:15" s="1156" customFormat="1" ht="60" x14ac:dyDescent="0.25">
      <c r="A126" s="1169">
        <v>2022120</v>
      </c>
      <c r="B126" s="1169">
        <v>7655</v>
      </c>
      <c r="C126" s="1169" t="s">
        <v>648</v>
      </c>
      <c r="D126" s="1187" t="s">
        <v>690</v>
      </c>
      <c r="E126" s="1188" t="s">
        <v>781</v>
      </c>
      <c r="F126" s="1195" t="s">
        <v>832</v>
      </c>
      <c r="G126" s="1190">
        <v>44575</v>
      </c>
      <c r="H126" s="1190">
        <v>44575</v>
      </c>
      <c r="I126" s="1191" t="s">
        <v>1793</v>
      </c>
      <c r="J126" s="1192" t="s">
        <v>1783</v>
      </c>
      <c r="K126" s="1173" t="s">
        <v>678</v>
      </c>
      <c r="L126" s="1175" t="s">
        <v>679</v>
      </c>
      <c r="M126" s="1193">
        <v>29400000</v>
      </c>
      <c r="N126" s="1194" t="s">
        <v>729</v>
      </c>
      <c r="O126" s="1194" t="s">
        <v>1784</v>
      </c>
    </row>
    <row r="127" spans="1:15" s="1156" customFormat="1" ht="60" x14ac:dyDescent="0.25">
      <c r="A127" s="1169">
        <v>2022121</v>
      </c>
      <c r="B127" s="1169">
        <v>7655</v>
      </c>
      <c r="C127" s="1169" t="s">
        <v>648</v>
      </c>
      <c r="D127" s="1187" t="s">
        <v>690</v>
      </c>
      <c r="E127" s="1188" t="s">
        <v>781</v>
      </c>
      <c r="F127" s="1195" t="s">
        <v>832</v>
      </c>
      <c r="G127" s="1190">
        <v>44575</v>
      </c>
      <c r="H127" s="1190">
        <v>44575</v>
      </c>
      <c r="I127" s="1191" t="s">
        <v>1793</v>
      </c>
      <c r="J127" s="1192" t="s">
        <v>1783</v>
      </c>
      <c r="K127" s="1173" t="s">
        <v>678</v>
      </c>
      <c r="L127" s="1175" t="s">
        <v>679</v>
      </c>
      <c r="M127" s="1193">
        <v>29400000</v>
      </c>
      <c r="N127" s="1194" t="s">
        <v>729</v>
      </c>
      <c r="O127" s="1194" t="s">
        <v>1784</v>
      </c>
    </row>
    <row r="128" spans="1:15" s="1156" customFormat="1" ht="60" x14ac:dyDescent="0.25">
      <c r="A128" s="1169">
        <v>2022122</v>
      </c>
      <c r="B128" s="1169">
        <v>7655</v>
      </c>
      <c r="C128" s="1169" t="s">
        <v>648</v>
      </c>
      <c r="D128" s="1187" t="s">
        <v>690</v>
      </c>
      <c r="E128" s="1188" t="s">
        <v>781</v>
      </c>
      <c r="F128" s="1195" t="s">
        <v>832</v>
      </c>
      <c r="G128" s="1190">
        <v>44575</v>
      </c>
      <c r="H128" s="1190">
        <v>44575</v>
      </c>
      <c r="I128" s="1191" t="s">
        <v>1793</v>
      </c>
      <c r="J128" s="1192" t="s">
        <v>1783</v>
      </c>
      <c r="K128" s="1173" t="s">
        <v>678</v>
      </c>
      <c r="L128" s="1175" t="s">
        <v>679</v>
      </c>
      <c r="M128" s="1193">
        <v>29400000</v>
      </c>
      <c r="N128" s="1194" t="s">
        <v>729</v>
      </c>
      <c r="O128" s="1194" t="s">
        <v>1784</v>
      </c>
    </row>
    <row r="129" spans="1:15" s="1156" customFormat="1" ht="60" x14ac:dyDescent="0.25">
      <c r="A129" s="1169">
        <v>2022123</v>
      </c>
      <c r="B129" s="1169">
        <v>7655</v>
      </c>
      <c r="C129" s="1169" t="s">
        <v>648</v>
      </c>
      <c r="D129" s="1187" t="s">
        <v>690</v>
      </c>
      <c r="E129" s="1188" t="s">
        <v>781</v>
      </c>
      <c r="F129" s="1195" t="s">
        <v>832</v>
      </c>
      <c r="G129" s="1190">
        <v>44575</v>
      </c>
      <c r="H129" s="1190">
        <v>44575</v>
      </c>
      <c r="I129" s="1191" t="s">
        <v>1793</v>
      </c>
      <c r="J129" s="1192" t="s">
        <v>1783</v>
      </c>
      <c r="K129" s="1173" t="s">
        <v>678</v>
      </c>
      <c r="L129" s="1175" t="s">
        <v>679</v>
      </c>
      <c r="M129" s="1193">
        <v>29400000</v>
      </c>
      <c r="N129" s="1194" t="s">
        <v>729</v>
      </c>
      <c r="O129" s="1194" t="s">
        <v>1784</v>
      </c>
    </row>
    <row r="130" spans="1:15" s="1156" customFormat="1" ht="60" x14ac:dyDescent="0.25">
      <c r="A130" s="1169">
        <v>2022124</v>
      </c>
      <c r="B130" s="1169">
        <v>7655</v>
      </c>
      <c r="C130" s="1169" t="s">
        <v>648</v>
      </c>
      <c r="D130" s="1187" t="s">
        <v>690</v>
      </c>
      <c r="E130" s="1188" t="s">
        <v>781</v>
      </c>
      <c r="F130" s="1189" t="s">
        <v>835</v>
      </c>
      <c r="G130" s="1190">
        <v>44575</v>
      </c>
      <c r="H130" s="1190">
        <v>44575</v>
      </c>
      <c r="I130" s="1191" t="s">
        <v>1793</v>
      </c>
      <c r="J130" s="1192" t="s">
        <v>1783</v>
      </c>
      <c r="K130" s="1173" t="s">
        <v>678</v>
      </c>
      <c r="L130" s="1175" t="s">
        <v>679</v>
      </c>
      <c r="M130" s="1193">
        <v>29400000</v>
      </c>
      <c r="N130" s="1194" t="s">
        <v>729</v>
      </c>
      <c r="O130" s="1194" t="s">
        <v>1784</v>
      </c>
    </row>
    <row r="131" spans="1:15" s="1156" customFormat="1" ht="60" x14ac:dyDescent="0.25">
      <c r="A131" s="1169">
        <v>2022125</v>
      </c>
      <c r="B131" s="1169">
        <v>7655</v>
      </c>
      <c r="C131" s="1169" t="s">
        <v>648</v>
      </c>
      <c r="D131" s="1187" t="s">
        <v>690</v>
      </c>
      <c r="E131" s="1188" t="s">
        <v>781</v>
      </c>
      <c r="F131" s="1189" t="s">
        <v>832</v>
      </c>
      <c r="G131" s="1190">
        <v>44575</v>
      </c>
      <c r="H131" s="1190">
        <v>44575</v>
      </c>
      <c r="I131" s="1191" t="s">
        <v>1793</v>
      </c>
      <c r="J131" s="1192" t="s">
        <v>1783</v>
      </c>
      <c r="K131" s="1173" t="s">
        <v>678</v>
      </c>
      <c r="L131" s="1175" t="s">
        <v>679</v>
      </c>
      <c r="M131" s="1193">
        <v>29400000</v>
      </c>
      <c r="N131" s="1194" t="s">
        <v>729</v>
      </c>
      <c r="O131" s="1194" t="s">
        <v>1784</v>
      </c>
    </row>
    <row r="132" spans="1:15" s="1156" customFormat="1" ht="60" x14ac:dyDescent="0.25">
      <c r="A132" s="1169">
        <v>2022126</v>
      </c>
      <c r="B132" s="1169">
        <v>7655</v>
      </c>
      <c r="C132" s="1169" t="s">
        <v>648</v>
      </c>
      <c r="D132" s="1187" t="s">
        <v>690</v>
      </c>
      <c r="E132" s="1188" t="s">
        <v>781</v>
      </c>
      <c r="F132" s="1189" t="s">
        <v>835</v>
      </c>
      <c r="G132" s="1190">
        <v>44575</v>
      </c>
      <c r="H132" s="1190">
        <v>44575</v>
      </c>
      <c r="I132" s="1191" t="s">
        <v>1793</v>
      </c>
      <c r="J132" s="1192" t="s">
        <v>1783</v>
      </c>
      <c r="K132" s="1173" t="s">
        <v>678</v>
      </c>
      <c r="L132" s="1175" t="s">
        <v>679</v>
      </c>
      <c r="M132" s="1193">
        <v>29400000</v>
      </c>
      <c r="N132" s="1194" t="s">
        <v>729</v>
      </c>
      <c r="O132" s="1194" t="s">
        <v>1784</v>
      </c>
    </row>
    <row r="133" spans="1:15" s="1156" customFormat="1" ht="60" x14ac:dyDescent="0.25">
      <c r="A133" s="1169">
        <v>2022127</v>
      </c>
      <c r="B133" s="1169">
        <v>7655</v>
      </c>
      <c r="C133" s="1169" t="s">
        <v>648</v>
      </c>
      <c r="D133" s="1187" t="s">
        <v>690</v>
      </c>
      <c r="E133" s="1188" t="s">
        <v>781</v>
      </c>
      <c r="F133" s="1189" t="s">
        <v>832</v>
      </c>
      <c r="G133" s="1190">
        <v>44575</v>
      </c>
      <c r="H133" s="1190">
        <v>44575</v>
      </c>
      <c r="I133" s="1191" t="s">
        <v>1793</v>
      </c>
      <c r="J133" s="1192" t="s">
        <v>1783</v>
      </c>
      <c r="K133" s="1173" t="s">
        <v>678</v>
      </c>
      <c r="L133" s="1175" t="s">
        <v>679</v>
      </c>
      <c r="M133" s="1193">
        <v>29400000</v>
      </c>
      <c r="N133" s="1194" t="s">
        <v>729</v>
      </c>
      <c r="O133" s="1194" t="s">
        <v>1784</v>
      </c>
    </row>
    <row r="134" spans="1:15" s="1156" customFormat="1" ht="60" x14ac:dyDescent="0.25">
      <c r="A134" s="1169">
        <v>2022128</v>
      </c>
      <c r="B134" s="1169">
        <v>7655</v>
      </c>
      <c r="C134" s="1169" t="s">
        <v>648</v>
      </c>
      <c r="D134" s="1187" t="s">
        <v>690</v>
      </c>
      <c r="E134" s="1188" t="s">
        <v>781</v>
      </c>
      <c r="F134" s="1189" t="s">
        <v>832</v>
      </c>
      <c r="G134" s="1190">
        <v>44575</v>
      </c>
      <c r="H134" s="1190">
        <v>44575</v>
      </c>
      <c r="I134" s="1191" t="s">
        <v>1793</v>
      </c>
      <c r="J134" s="1192" t="s">
        <v>1783</v>
      </c>
      <c r="K134" s="1173" t="s">
        <v>678</v>
      </c>
      <c r="L134" s="1175" t="s">
        <v>679</v>
      </c>
      <c r="M134" s="1193">
        <v>29400000</v>
      </c>
      <c r="N134" s="1194" t="s">
        <v>729</v>
      </c>
      <c r="O134" s="1194" t="s">
        <v>1784</v>
      </c>
    </row>
    <row r="135" spans="1:15" s="1156" customFormat="1" ht="60" x14ac:dyDescent="0.25">
      <c r="A135" s="1169">
        <v>2022129</v>
      </c>
      <c r="B135" s="1169">
        <v>7655</v>
      </c>
      <c r="C135" s="1169" t="s">
        <v>648</v>
      </c>
      <c r="D135" s="1187" t="s">
        <v>690</v>
      </c>
      <c r="E135" s="1188" t="s">
        <v>781</v>
      </c>
      <c r="F135" s="1189" t="s">
        <v>832</v>
      </c>
      <c r="G135" s="1190">
        <v>44575</v>
      </c>
      <c r="H135" s="1190">
        <v>44575</v>
      </c>
      <c r="I135" s="1191" t="s">
        <v>1793</v>
      </c>
      <c r="J135" s="1192" t="s">
        <v>1783</v>
      </c>
      <c r="K135" s="1173" t="s">
        <v>678</v>
      </c>
      <c r="L135" s="1175" t="s">
        <v>679</v>
      </c>
      <c r="M135" s="1193">
        <v>29400000</v>
      </c>
      <c r="N135" s="1194" t="s">
        <v>729</v>
      </c>
      <c r="O135" s="1194" t="s">
        <v>1784</v>
      </c>
    </row>
    <row r="136" spans="1:15" s="1156" customFormat="1" ht="60" x14ac:dyDescent="0.25">
      <c r="A136" s="1169">
        <v>2022130</v>
      </c>
      <c r="B136" s="1169">
        <v>7655</v>
      </c>
      <c r="C136" s="1169" t="s">
        <v>648</v>
      </c>
      <c r="D136" s="1187" t="s">
        <v>690</v>
      </c>
      <c r="E136" s="1188" t="s">
        <v>781</v>
      </c>
      <c r="F136" s="1189" t="s">
        <v>832</v>
      </c>
      <c r="G136" s="1190">
        <v>44575</v>
      </c>
      <c r="H136" s="1190">
        <v>44575</v>
      </c>
      <c r="I136" s="1191" t="s">
        <v>1793</v>
      </c>
      <c r="J136" s="1192" t="s">
        <v>1783</v>
      </c>
      <c r="K136" s="1173" t="s">
        <v>678</v>
      </c>
      <c r="L136" s="1175" t="s">
        <v>679</v>
      </c>
      <c r="M136" s="1193">
        <v>29400000</v>
      </c>
      <c r="N136" s="1194" t="s">
        <v>729</v>
      </c>
      <c r="O136" s="1194" t="s">
        <v>1784</v>
      </c>
    </row>
    <row r="137" spans="1:15" s="1156" customFormat="1" ht="60" x14ac:dyDescent="0.25">
      <c r="A137" s="1169">
        <v>2022131</v>
      </c>
      <c r="B137" s="1169">
        <v>7655</v>
      </c>
      <c r="C137" s="1169" t="s">
        <v>648</v>
      </c>
      <c r="D137" s="1187" t="s">
        <v>690</v>
      </c>
      <c r="E137" s="1188" t="s">
        <v>781</v>
      </c>
      <c r="F137" s="1189" t="s">
        <v>832</v>
      </c>
      <c r="G137" s="1190">
        <v>44575</v>
      </c>
      <c r="H137" s="1190">
        <v>44575</v>
      </c>
      <c r="I137" s="1191" t="s">
        <v>1793</v>
      </c>
      <c r="J137" s="1192" t="s">
        <v>1783</v>
      </c>
      <c r="K137" s="1173" t="s">
        <v>678</v>
      </c>
      <c r="L137" s="1175" t="s">
        <v>679</v>
      </c>
      <c r="M137" s="1193">
        <v>29400000</v>
      </c>
      <c r="N137" s="1194" t="s">
        <v>729</v>
      </c>
      <c r="O137" s="1194" t="s">
        <v>1784</v>
      </c>
    </row>
    <row r="138" spans="1:15" s="1156" customFormat="1" ht="60" x14ac:dyDescent="0.25">
      <c r="A138" s="1169">
        <v>2022132</v>
      </c>
      <c r="B138" s="1169">
        <v>7655</v>
      </c>
      <c r="C138" s="1169" t="s">
        <v>648</v>
      </c>
      <c r="D138" s="1187" t="s">
        <v>690</v>
      </c>
      <c r="E138" s="1169" t="s">
        <v>781</v>
      </c>
      <c r="F138" s="1189" t="s">
        <v>837</v>
      </c>
      <c r="G138" s="1190">
        <v>44575</v>
      </c>
      <c r="H138" s="1190">
        <v>44575</v>
      </c>
      <c r="I138" s="1191" t="s">
        <v>1793</v>
      </c>
      <c r="J138" s="1192" t="s">
        <v>1783</v>
      </c>
      <c r="K138" s="1173" t="s">
        <v>678</v>
      </c>
      <c r="L138" s="1175" t="s">
        <v>679</v>
      </c>
      <c r="M138" s="1193">
        <v>87600000</v>
      </c>
      <c r="N138" s="1194" t="s">
        <v>729</v>
      </c>
      <c r="O138" s="1194" t="s">
        <v>1784</v>
      </c>
    </row>
    <row r="139" spans="1:15" s="1156" customFormat="1" ht="75" x14ac:dyDescent="0.25">
      <c r="A139" s="1169">
        <v>2022133</v>
      </c>
      <c r="B139" s="1169">
        <v>7655</v>
      </c>
      <c r="C139" s="1169" t="s">
        <v>648</v>
      </c>
      <c r="D139" s="1187" t="s">
        <v>690</v>
      </c>
      <c r="E139" s="1188" t="s">
        <v>781</v>
      </c>
      <c r="F139" s="1189" t="s">
        <v>838</v>
      </c>
      <c r="G139" s="1190">
        <v>44575</v>
      </c>
      <c r="H139" s="1190">
        <v>44575</v>
      </c>
      <c r="I139" s="1191" t="s">
        <v>1786</v>
      </c>
      <c r="J139" s="1192" t="s">
        <v>1783</v>
      </c>
      <c r="K139" s="1173" t="s">
        <v>678</v>
      </c>
      <c r="L139" s="1175" t="s">
        <v>679</v>
      </c>
      <c r="M139" s="1193">
        <v>42000000</v>
      </c>
      <c r="N139" s="1194" t="s">
        <v>729</v>
      </c>
      <c r="O139" s="1194" t="s">
        <v>1784</v>
      </c>
    </row>
    <row r="140" spans="1:15" s="1156" customFormat="1" ht="60" x14ac:dyDescent="0.25">
      <c r="A140" s="1169">
        <v>2022134</v>
      </c>
      <c r="B140" s="1169">
        <v>7655</v>
      </c>
      <c r="C140" s="1169" t="s">
        <v>648</v>
      </c>
      <c r="D140" s="1187" t="s">
        <v>690</v>
      </c>
      <c r="E140" s="1188" t="s">
        <v>781</v>
      </c>
      <c r="F140" s="1172" t="s">
        <v>839</v>
      </c>
      <c r="G140" s="1190">
        <v>44575</v>
      </c>
      <c r="H140" s="1190">
        <v>44575</v>
      </c>
      <c r="I140" s="1191" t="s">
        <v>1782</v>
      </c>
      <c r="J140" s="1192" t="s">
        <v>1783</v>
      </c>
      <c r="K140" s="1173" t="s">
        <v>678</v>
      </c>
      <c r="L140" s="1175" t="s">
        <v>679</v>
      </c>
      <c r="M140" s="1193">
        <v>64802500</v>
      </c>
      <c r="N140" s="1194" t="s">
        <v>729</v>
      </c>
      <c r="O140" s="1194" t="s">
        <v>1784</v>
      </c>
    </row>
    <row r="141" spans="1:15" s="1156" customFormat="1" ht="60" x14ac:dyDescent="0.25">
      <c r="A141" s="1169">
        <v>2022135</v>
      </c>
      <c r="B141" s="1169">
        <v>7655</v>
      </c>
      <c r="C141" s="1169" t="s">
        <v>648</v>
      </c>
      <c r="D141" s="1187" t="s">
        <v>690</v>
      </c>
      <c r="E141" s="1169" t="s">
        <v>781</v>
      </c>
      <c r="F141" s="1189" t="s">
        <v>839</v>
      </c>
      <c r="G141" s="1190">
        <v>44575</v>
      </c>
      <c r="H141" s="1190">
        <v>44575</v>
      </c>
      <c r="I141" s="1191" t="s">
        <v>1786</v>
      </c>
      <c r="J141" s="1192" t="s">
        <v>1783</v>
      </c>
      <c r="K141" s="1173" t="s">
        <v>678</v>
      </c>
      <c r="L141" s="1175" t="s">
        <v>679</v>
      </c>
      <c r="M141" s="1193">
        <v>31500000</v>
      </c>
      <c r="N141" s="1194" t="s">
        <v>729</v>
      </c>
      <c r="O141" s="1194" t="s">
        <v>1784</v>
      </c>
    </row>
    <row r="142" spans="1:15" s="1156" customFormat="1" ht="60" x14ac:dyDescent="0.25">
      <c r="A142" s="1169">
        <v>2022136</v>
      </c>
      <c r="B142" s="1169">
        <v>7655</v>
      </c>
      <c r="C142" s="1169" t="s">
        <v>648</v>
      </c>
      <c r="D142" s="1187" t="s">
        <v>690</v>
      </c>
      <c r="E142" s="1169" t="s">
        <v>781</v>
      </c>
      <c r="F142" s="1189" t="s">
        <v>840</v>
      </c>
      <c r="G142" s="1190">
        <v>44575</v>
      </c>
      <c r="H142" s="1190">
        <v>44575</v>
      </c>
      <c r="I142" s="1191" t="s">
        <v>1782</v>
      </c>
      <c r="J142" s="1192" t="s">
        <v>1783</v>
      </c>
      <c r="K142" s="1173" t="s">
        <v>678</v>
      </c>
      <c r="L142" s="1175" t="s">
        <v>679</v>
      </c>
      <c r="M142" s="1176">
        <v>28175000</v>
      </c>
      <c r="N142" s="1194" t="s">
        <v>729</v>
      </c>
      <c r="O142" s="1194" t="s">
        <v>1784</v>
      </c>
    </row>
    <row r="143" spans="1:15" s="1156" customFormat="1" ht="60" x14ac:dyDescent="0.25">
      <c r="A143" s="1169">
        <v>2022137</v>
      </c>
      <c r="B143" s="1169">
        <v>7655</v>
      </c>
      <c r="C143" s="1169" t="s">
        <v>648</v>
      </c>
      <c r="D143" s="1187" t="s">
        <v>690</v>
      </c>
      <c r="E143" s="1169" t="s">
        <v>781</v>
      </c>
      <c r="F143" s="1189" t="s">
        <v>841</v>
      </c>
      <c r="G143" s="1190">
        <v>44575</v>
      </c>
      <c r="H143" s="1190">
        <v>44575</v>
      </c>
      <c r="I143" s="1191" t="s">
        <v>1782</v>
      </c>
      <c r="J143" s="1192" t="s">
        <v>1783</v>
      </c>
      <c r="K143" s="1173" t="s">
        <v>678</v>
      </c>
      <c r="L143" s="1175" t="s">
        <v>679</v>
      </c>
      <c r="M143" s="1176">
        <v>83950000</v>
      </c>
      <c r="N143" s="1194" t="s">
        <v>729</v>
      </c>
      <c r="O143" s="1194" t="s">
        <v>1784</v>
      </c>
    </row>
    <row r="144" spans="1:15" s="1156" customFormat="1" ht="90" x14ac:dyDescent="0.25">
      <c r="A144" s="1169">
        <v>2022138</v>
      </c>
      <c r="B144" s="1169">
        <v>7655</v>
      </c>
      <c r="C144" s="1169" t="s">
        <v>648</v>
      </c>
      <c r="D144" s="1187" t="s">
        <v>690</v>
      </c>
      <c r="E144" s="1169" t="s">
        <v>781</v>
      </c>
      <c r="F144" s="1189" t="s">
        <v>842</v>
      </c>
      <c r="G144" s="1190">
        <v>44575</v>
      </c>
      <c r="H144" s="1190">
        <v>44575</v>
      </c>
      <c r="I144" s="1191" t="s">
        <v>1782</v>
      </c>
      <c r="J144" s="1192" t="s">
        <v>1783</v>
      </c>
      <c r="K144" s="1173" t="s">
        <v>678</v>
      </c>
      <c r="L144" s="1175" t="s">
        <v>679</v>
      </c>
      <c r="M144" s="1176">
        <v>44275000</v>
      </c>
      <c r="N144" s="1194" t="s">
        <v>729</v>
      </c>
      <c r="O144" s="1194" t="s">
        <v>1784</v>
      </c>
    </row>
    <row r="145" spans="1:15" s="1156" customFormat="1" ht="90" x14ac:dyDescent="0.25">
      <c r="A145" s="1169">
        <v>2022139</v>
      </c>
      <c r="B145" s="1169">
        <v>7655</v>
      </c>
      <c r="C145" s="1169" t="s">
        <v>648</v>
      </c>
      <c r="D145" s="1187" t="s">
        <v>690</v>
      </c>
      <c r="E145" s="1169" t="s">
        <v>781</v>
      </c>
      <c r="F145" s="1189" t="s">
        <v>842</v>
      </c>
      <c r="G145" s="1190">
        <v>44575</v>
      </c>
      <c r="H145" s="1190">
        <v>44575</v>
      </c>
      <c r="I145" s="1191" t="s">
        <v>1782</v>
      </c>
      <c r="J145" s="1192" t="s">
        <v>1783</v>
      </c>
      <c r="K145" s="1173" t="s">
        <v>678</v>
      </c>
      <c r="L145" s="1175" t="s">
        <v>679</v>
      </c>
      <c r="M145" s="1176">
        <v>58650000</v>
      </c>
      <c r="N145" s="1194" t="s">
        <v>729</v>
      </c>
      <c r="O145" s="1194" t="s">
        <v>1784</v>
      </c>
    </row>
    <row r="146" spans="1:15" s="1156" customFormat="1" ht="60" x14ac:dyDescent="0.25">
      <c r="A146" s="1169">
        <v>2022140</v>
      </c>
      <c r="B146" s="1169">
        <v>7655</v>
      </c>
      <c r="C146" s="1169" t="s">
        <v>648</v>
      </c>
      <c r="D146" s="1187" t="s">
        <v>696</v>
      </c>
      <c r="E146" s="1199">
        <v>80111600</v>
      </c>
      <c r="F146" s="1200" t="s">
        <v>843</v>
      </c>
      <c r="G146" s="1201" t="s">
        <v>1743</v>
      </c>
      <c r="H146" s="1201" t="s">
        <v>1743</v>
      </c>
      <c r="I146" s="1201" t="s">
        <v>1799</v>
      </c>
      <c r="J146" s="1192" t="s">
        <v>1783</v>
      </c>
      <c r="K146" s="1173" t="s">
        <v>678</v>
      </c>
      <c r="L146" s="1202" t="s">
        <v>679</v>
      </c>
      <c r="M146" s="1176">
        <v>26496000</v>
      </c>
      <c r="N146" s="1203" t="s">
        <v>729</v>
      </c>
      <c r="O146" s="1203" t="s">
        <v>1784</v>
      </c>
    </row>
    <row r="147" spans="1:15" s="1156" customFormat="1" ht="60" x14ac:dyDescent="0.25">
      <c r="A147" s="1169">
        <v>2022141</v>
      </c>
      <c r="B147" s="1169">
        <v>7655</v>
      </c>
      <c r="C147" s="1169" t="s">
        <v>648</v>
      </c>
      <c r="D147" s="1187" t="s">
        <v>696</v>
      </c>
      <c r="E147" s="1199">
        <v>80111600</v>
      </c>
      <c r="F147" s="1200" t="s">
        <v>844</v>
      </c>
      <c r="G147" s="1201" t="s">
        <v>1743</v>
      </c>
      <c r="H147" s="1201" t="s">
        <v>1743</v>
      </c>
      <c r="I147" s="1201" t="s">
        <v>1799</v>
      </c>
      <c r="J147" s="1192" t="s">
        <v>1783</v>
      </c>
      <c r="K147" s="1173" t="s">
        <v>678</v>
      </c>
      <c r="L147" s="1202" t="s">
        <v>679</v>
      </c>
      <c r="M147" s="1176">
        <v>34776000</v>
      </c>
      <c r="N147" s="1203" t="s">
        <v>729</v>
      </c>
      <c r="O147" s="1203" t="s">
        <v>1784</v>
      </c>
    </row>
    <row r="148" spans="1:15" s="1156" customFormat="1" ht="60" x14ac:dyDescent="0.25">
      <c r="A148" s="1169">
        <v>2022142</v>
      </c>
      <c r="B148" s="1169">
        <v>7655</v>
      </c>
      <c r="C148" s="1169" t="s">
        <v>648</v>
      </c>
      <c r="D148" s="1187" t="s">
        <v>696</v>
      </c>
      <c r="E148" s="1199">
        <v>80111600</v>
      </c>
      <c r="F148" s="1200" t="s">
        <v>845</v>
      </c>
      <c r="G148" s="1201" t="s">
        <v>1743</v>
      </c>
      <c r="H148" s="1201" t="s">
        <v>1743</v>
      </c>
      <c r="I148" s="1201" t="s">
        <v>1746</v>
      </c>
      <c r="J148" s="1192" t="s">
        <v>1783</v>
      </c>
      <c r="K148" s="1173" t="s">
        <v>678</v>
      </c>
      <c r="L148" s="1202" t="s">
        <v>679</v>
      </c>
      <c r="M148" s="1176">
        <v>56100000</v>
      </c>
      <c r="N148" s="1203" t="s">
        <v>729</v>
      </c>
      <c r="O148" s="1203" t="s">
        <v>1784</v>
      </c>
    </row>
    <row r="149" spans="1:15" s="1156" customFormat="1" ht="60" x14ac:dyDescent="0.25">
      <c r="A149" s="1169">
        <v>2022143</v>
      </c>
      <c r="B149" s="1169">
        <v>7655</v>
      </c>
      <c r="C149" s="1169" t="s">
        <v>648</v>
      </c>
      <c r="D149" s="1187" t="s">
        <v>696</v>
      </c>
      <c r="E149" s="1199">
        <v>80111600</v>
      </c>
      <c r="F149" s="1200" t="s">
        <v>846</v>
      </c>
      <c r="G149" s="1201" t="s">
        <v>1743</v>
      </c>
      <c r="H149" s="1201" t="s">
        <v>1743</v>
      </c>
      <c r="I149" s="1201" t="s">
        <v>1746</v>
      </c>
      <c r="J149" s="1192" t="s">
        <v>1783</v>
      </c>
      <c r="K149" s="1173" t="s">
        <v>678</v>
      </c>
      <c r="L149" s="1202" t="s">
        <v>679</v>
      </c>
      <c r="M149" s="1176">
        <v>47817000</v>
      </c>
      <c r="N149" s="1203" t="s">
        <v>729</v>
      </c>
      <c r="O149" s="1203" t="s">
        <v>1784</v>
      </c>
    </row>
    <row r="150" spans="1:15" s="1156" customFormat="1" ht="60" x14ac:dyDescent="0.25">
      <c r="A150" s="1169">
        <v>2022144</v>
      </c>
      <c r="B150" s="1169">
        <v>7655</v>
      </c>
      <c r="C150" s="1169" t="s">
        <v>648</v>
      </c>
      <c r="D150" s="1187" t="s">
        <v>696</v>
      </c>
      <c r="E150" s="1199">
        <v>80111600</v>
      </c>
      <c r="F150" s="1200" t="s">
        <v>844</v>
      </c>
      <c r="G150" s="1201" t="s">
        <v>1743</v>
      </c>
      <c r="H150" s="1201" t="s">
        <v>1743</v>
      </c>
      <c r="I150" s="1201" t="s">
        <v>1746</v>
      </c>
      <c r="J150" s="1192" t="s">
        <v>1783</v>
      </c>
      <c r="K150" s="1173" t="s">
        <v>678</v>
      </c>
      <c r="L150" s="1202" t="s">
        <v>679</v>
      </c>
      <c r="M150" s="1176">
        <v>56100000</v>
      </c>
      <c r="N150" s="1203" t="s">
        <v>729</v>
      </c>
      <c r="O150" s="1203" t="s">
        <v>1784</v>
      </c>
    </row>
    <row r="151" spans="1:15" s="1156" customFormat="1" ht="60" x14ac:dyDescent="0.25">
      <c r="A151" s="1169">
        <v>2022145</v>
      </c>
      <c r="B151" s="1169">
        <v>7655</v>
      </c>
      <c r="C151" s="1169" t="s">
        <v>648</v>
      </c>
      <c r="D151" s="1187" t="s">
        <v>696</v>
      </c>
      <c r="E151" s="1199">
        <v>80111600</v>
      </c>
      <c r="F151" s="1200" t="s">
        <v>846</v>
      </c>
      <c r="G151" s="1201" t="s">
        <v>1743</v>
      </c>
      <c r="H151" s="1201" t="s">
        <v>1743</v>
      </c>
      <c r="I151" s="1201" t="s">
        <v>1786</v>
      </c>
      <c r="J151" s="1192" t="s">
        <v>1783</v>
      </c>
      <c r="K151" s="1173" t="s">
        <v>678</v>
      </c>
      <c r="L151" s="1202" t="s">
        <v>679</v>
      </c>
      <c r="M151" s="1176">
        <v>27895000</v>
      </c>
      <c r="N151" s="1203" t="s">
        <v>729</v>
      </c>
      <c r="O151" s="1203" t="s">
        <v>1784</v>
      </c>
    </row>
    <row r="152" spans="1:15" s="1156" customFormat="1" ht="60" x14ac:dyDescent="0.25">
      <c r="A152" s="1169">
        <v>2022146</v>
      </c>
      <c r="B152" s="1169">
        <v>7655</v>
      </c>
      <c r="C152" s="1169" t="s">
        <v>648</v>
      </c>
      <c r="D152" s="1187" t="s">
        <v>696</v>
      </c>
      <c r="E152" s="1199">
        <v>80111600</v>
      </c>
      <c r="F152" s="1200" t="s">
        <v>846</v>
      </c>
      <c r="G152" s="1201" t="s">
        <v>1743</v>
      </c>
      <c r="H152" s="1201" t="s">
        <v>1743</v>
      </c>
      <c r="I152" s="1201" t="s">
        <v>1786</v>
      </c>
      <c r="J152" s="1192" t="s">
        <v>1783</v>
      </c>
      <c r="K152" s="1173" t="s">
        <v>678</v>
      </c>
      <c r="L152" s="1202" t="s">
        <v>679</v>
      </c>
      <c r="M152" s="1176">
        <v>26950000</v>
      </c>
      <c r="N152" s="1203" t="s">
        <v>729</v>
      </c>
      <c r="O152" s="1203" t="s">
        <v>1784</v>
      </c>
    </row>
    <row r="153" spans="1:15" s="1156" customFormat="1" ht="60" x14ac:dyDescent="0.25">
      <c r="A153" s="1169">
        <v>2022147</v>
      </c>
      <c r="B153" s="1169">
        <v>7655</v>
      </c>
      <c r="C153" s="1169" t="s">
        <v>648</v>
      </c>
      <c r="D153" s="1187" t="s">
        <v>696</v>
      </c>
      <c r="E153" s="1199">
        <v>80111600</v>
      </c>
      <c r="F153" s="1200" t="s">
        <v>847</v>
      </c>
      <c r="G153" s="1201" t="s">
        <v>1743</v>
      </c>
      <c r="H153" s="1201" t="s">
        <v>1743</v>
      </c>
      <c r="I153" s="1201" t="s">
        <v>1799</v>
      </c>
      <c r="J153" s="1192" t="s">
        <v>1783</v>
      </c>
      <c r="K153" s="1173" t="s">
        <v>678</v>
      </c>
      <c r="L153" s="1202" t="s">
        <v>679</v>
      </c>
      <c r="M153" s="1176">
        <v>19600000</v>
      </c>
      <c r="N153" s="1203" t="s">
        <v>729</v>
      </c>
      <c r="O153" s="1203" t="s">
        <v>1784</v>
      </c>
    </row>
    <row r="154" spans="1:15" s="1156" customFormat="1" ht="60" x14ac:dyDescent="0.25">
      <c r="A154" s="1169">
        <v>2022148</v>
      </c>
      <c r="B154" s="1169">
        <v>7655</v>
      </c>
      <c r="C154" s="1169" t="s">
        <v>648</v>
      </c>
      <c r="D154" s="1187" t="s">
        <v>696</v>
      </c>
      <c r="E154" s="1199">
        <v>80111600</v>
      </c>
      <c r="F154" s="1200" t="s">
        <v>848</v>
      </c>
      <c r="G154" s="1201" t="s">
        <v>1743</v>
      </c>
      <c r="H154" s="1201" t="s">
        <v>1743</v>
      </c>
      <c r="I154" s="1201" t="s">
        <v>1799</v>
      </c>
      <c r="J154" s="1192" t="s">
        <v>1783</v>
      </c>
      <c r="K154" s="1173" t="s">
        <v>678</v>
      </c>
      <c r="L154" s="1202" t="s">
        <v>679</v>
      </c>
      <c r="M154" s="1176">
        <v>40800000</v>
      </c>
      <c r="N154" s="1203" t="s">
        <v>729</v>
      </c>
      <c r="O154" s="1203" t="s">
        <v>1784</v>
      </c>
    </row>
    <row r="155" spans="1:15" s="1156" customFormat="1" ht="60" x14ac:dyDescent="0.25">
      <c r="A155" s="1169">
        <v>2022149</v>
      </c>
      <c r="B155" s="1169">
        <v>7655</v>
      </c>
      <c r="C155" s="1169" t="s">
        <v>648</v>
      </c>
      <c r="D155" s="1187" t="s">
        <v>696</v>
      </c>
      <c r="E155" s="1199">
        <v>80111600</v>
      </c>
      <c r="F155" s="1200" t="s">
        <v>849</v>
      </c>
      <c r="G155" s="1201" t="s">
        <v>1743</v>
      </c>
      <c r="H155" s="1201" t="s">
        <v>1743</v>
      </c>
      <c r="I155" s="1201" t="s">
        <v>1746</v>
      </c>
      <c r="J155" s="1192" t="s">
        <v>1783</v>
      </c>
      <c r="K155" s="1173" t="s">
        <v>678</v>
      </c>
      <c r="L155" s="1202" t="s">
        <v>679</v>
      </c>
      <c r="M155" s="1176">
        <v>56100000</v>
      </c>
      <c r="N155" s="1203" t="s">
        <v>729</v>
      </c>
      <c r="O155" s="1203" t="s">
        <v>1784</v>
      </c>
    </row>
    <row r="156" spans="1:15" s="1156" customFormat="1" ht="60" x14ac:dyDescent="0.25">
      <c r="A156" s="1169">
        <v>2022150</v>
      </c>
      <c r="B156" s="1169">
        <v>7655</v>
      </c>
      <c r="C156" s="1169" t="s">
        <v>648</v>
      </c>
      <c r="D156" s="1187" t="s">
        <v>696</v>
      </c>
      <c r="E156" s="1199">
        <v>80111600</v>
      </c>
      <c r="F156" s="1200" t="s">
        <v>848</v>
      </c>
      <c r="G156" s="1201" t="s">
        <v>1743</v>
      </c>
      <c r="H156" s="1201" t="s">
        <v>1743</v>
      </c>
      <c r="I156" s="1201" t="s">
        <v>1786</v>
      </c>
      <c r="J156" s="1192" t="s">
        <v>1783</v>
      </c>
      <c r="K156" s="1173" t="s">
        <v>678</v>
      </c>
      <c r="L156" s="1202" t="s">
        <v>679</v>
      </c>
      <c r="M156" s="1176">
        <v>35700000</v>
      </c>
      <c r="N156" s="1203" t="s">
        <v>729</v>
      </c>
      <c r="O156" s="1203" t="s">
        <v>1784</v>
      </c>
    </row>
    <row r="157" spans="1:15" s="1156" customFormat="1" ht="60" x14ac:dyDescent="0.25">
      <c r="A157" s="1169">
        <v>2022151</v>
      </c>
      <c r="B157" s="1169">
        <v>7655</v>
      </c>
      <c r="C157" s="1169" t="s">
        <v>648</v>
      </c>
      <c r="D157" s="1187" t="s">
        <v>696</v>
      </c>
      <c r="E157" s="1199">
        <v>80111600</v>
      </c>
      <c r="F157" s="1200" t="s">
        <v>850</v>
      </c>
      <c r="G157" s="1201" t="s">
        <v>1743</v>
      </c>
      <c r="H157" s="1201" t="s">
        <v>1743</v>
      </c>
      <c r="I157" s="1201" t="s">
        <v>1799</v>
      </c>
      <c r="J157" s="1192" t="s">
        <v>1783</v>
      </c>
      <c r="K157" s="1173" t="s">
        <v>678</v>
      </c>
      <c r="L157" s="1202" t="s">
        <v>679</v>
      </c>
      <c r="M157" s="1176">
        <v>41400000</v>
      </c>
      <c r="N157" s="1203" t="s">
        <v>729</v>
      </c>
      <c r="O157" s="1203" t="s">
        <v>1784</v>
      </c>
    </row>
    <row r="158" spans="1:15" s="1156" customFormat="1" ht="60" x14ac:dyDescent="0.25">
      <c r="A158" s="1169">
        <v>2022152</v>
      </c>
      <c r="B158" s="1169">
        <v>7655</v>
      </c>
      <c r="C158" s="1169" t="s">
        <v>648</v>
      </c>
      <c r="D158" s="1187" t="s">
        <v>696</v>
      </c>
      <c r="E158" s="1199">
        <v>80111600</v>
      </c>
      <c r="F158" s="1200" t="s">
        <v>851</v>
      </c>
      <c r="G158" s="1201" t="s">
        <v>1743</v>
      </c>
      <c r="H158" s="1201" t="s">
        <v>1743</v>
      </c>
      <c r="I158" s="1201" t="s">
        <v>1799</v>
      </c>
      <c r="J158" s="1192" t="s">
        <v>1783</v>
      </c>
      <c r="K158" s="1173" t="s">
        <v>678</v>
      </c>
      <c r="L158" s="1202" t="s">
        <v>679</v>
      </c>
      <c r="M158" s="1176">
        <v>45544000</v>
      </c>
      <c r="N158" s="1203" t="s">
        <v>729</v>
      </c>
      <c r="O158" s="1203" t="s">
        <v>1784</v>
      </c>
    </row>
    <row r="159" spans="1:15" s="1156" customFormat="1" ht="60" x14ac:dyDescent="0.25">
      <c r="A159" s="1169">
        <v>2022153</v>
      </c>
      <c r="B159" s="1169">
        <v>7655</v>
      </c>
      <c r="C159" s="1169" t="s">
        <v>648</v>
      </c>
      <c r="D159" s="1187" t="s">
        <v>696</v>
      </c>
      <c r="E159" s="1199">
        <v>80111600</v>
      </c>
      <c r="F159" s="1200" t="s">
        <v>852</v>
      </c>
      <c r="G159" s="1201" t="s">
        <v>1743</v>
      </c>
      <c r="H159" s="1201" t="s">
        <v>1743</v>
      </c>
      <c r="I159" s="1201" t="s">
        <v>1786</v>
      </c>
      <c r="J159" s="1192" t="s">
        <v>1783</v>
      </c>
      <c r="K159" s="1173" t="s">
        <v>678</v>
      </c>
      <c r="L159" s="1202" t="s">
        <v>679</v>
      </c>
      <c r="M159" s="1176">
        <v>23184000</v>
      </c>
      <c r="N159" s="1203" t="s">
        <v>729</v>
      </c>
      <c r="O159" s="1203" t="s">
        <v>1784</v>
      </c>
    </row>
    <row r="160" spans="1:15" s="1156" customFormat="1" ht="60" x14ac:dyDescent="0.25">
      <c r="A160" s="1169">
        <v>2022154</v>
      </c>
      <c r="B160" s="1169">
        <v>7655</v>
      </c>
      <c r="C160" s="1169" t="s">
        <v>648</v>
      </c>
      <c r="D160" s="1187" t="s">
        <v>696</v>
      </c>
      <c r="E160" s="1199">
        <v>80111600</v>
      </c>
      <c r="F160" s="1200" t="s">
        <v>853</v>
      </c>
      <c r="G160" s="1201" t="s">
        <v>1743</v>
      </c>
      <c r="H160" s="1201" t="s">
        <v>1743</v>
      </c>
      <c r="I160" s="1201" t="s">
        <v>1786</v>
      </c>
      <c r="J160" s="1192" t="s">
        <v>1783</v>
      </c>
      <c r="K160" s="1173" t="s">
        <v>678</v>
      </c>
      <c r="L160" s="1202" t="s">
        <v>679</v>
      </c>
      <c r="M160" s="1176">
        <v>30429000</v>
      </c>
      <c r="N160" s="1203" t="s">
        <v>729</v>
      </c>
      <c r="O160" s="1203" t="s">
        <v>1784</v>
      </c>
    </row>
    <row r="161" spans="1:18" s="1156" customFormat="1" ht="60" x14ac:dyDescent="0.25">
      <c r="A161" s="1169">
        <v>2022155</v>
      </c>
      <c r="B161" s="1169">
        <v>7655</v>
      </c>
      <c r="C161" s="1169" t="s">
        <v>648</v>
      </c>
      <c r="D161" s="1187" t="s">
        <v>696</v>
      </c>
      <c r="E161" s="1199">
        <v>80111600</v>
      </c>
      <c r="F161" s="1200" t="s">
        <v>854</v>
      </c>
      <c r="G161" s="1201" t="s">
        <v>1743</v>
      </c>
      <c r="H161" s="1201" t="s">
        <v>1743</v>
      </c>
      <c r="I161" s="1201" t="s">
        <v>1746</v>
      </c>
      <c r="J161" s="1192" t="s">
        <v>1783</v>
      </c>
      <c r="K161" s="1173" t="s">
        <v>678</v>
      </c>
      <c r="L161" s="1202" t="s">
        <v>679</v>
      </c>
      <c r="M161" s="1176">
        <v>83600000</v>
      </c>
      <c r="N161" s="1203" t="s">
        <v>729</v>
      </c>
      <c r="O161" s="1203" t="s">
        <v>1784</v>
      </c>
    </row>
    <row r="162" spans="1:18" s="1197" customFormat="1" ht="60" x14ac:dyDescent="0.2">
      <c r="A162" s="1169">
        <v>2022156</v>
      </c>
      <c r="B162" s="1169">
        <v>7655</v>
      </c>
      <c r="C162" s="1169" t="s">
        <v>648</v>
      </c>
      <c r="D162" s="1187" t="s">
        <v>696</v>
      </c>
      <c r="E162" s="1199">
        <v>80111600</v>
      </c>
      <c r="F162" s="1200" t="s">
        <v>855</v>
      </c>
      <c r="G162" s="1201" t="s">
        <v>1743</v>
      </c>
      <c r="H162" s="1201" t="s">
        <v>1743</v>
      </c>
      <c r="I162" s="1201" t="s">
        <v>1786</v>
      </c>
      <c r="J162" s="1192" t="s">
        <v>1783</v>
      </c>
      <c r="K162" s="1173" t="s">
        <v>678</v>
      </c>
      <c r="L162" s="1202" t="s">
        <v>679</v>
      </c>
      <c r="M162" s="1176">
        <v>26950000</v>
      </c>
      <c r="N162" s="1203" t="s">
        <v>729</v>
      </c>
      <c r="O162" s="1203" t="s">
        <v>1784</v>
      </c>
      <c r="R162" s="1204"/>
    </row>
    <row r="163" spans="1:18" s="1156" customFormat="1" ht="60" x14ac:dyDescent="0.2">
      <c r="A163" s="1169">
        <v>2022157</v>
      </c>
      <c r="B163" s="1169">
        <v>7655</v>
      </c>
      <c r="C163" s="1169" t="s">
        <v>648</v>
      </c>
      <c r="D163" s="1187" t="s">
        <v>696</v>
      </c>
      <c r="E163" s="1199">
        <v>80111600</v>
      </c>
      <c r="F163" s="1200" t="s">
        <v>850</v>
      </c>
      <c r="G163" s="1201" t="s">
        <v>1743</v>
      </c>
      <c r="H163" s="1201" t="s">
        <v>1743</v>
      </c>
      <c r="I163" s="1201" t="s">
        <v>1786</v>
      </c>
      <c r="J163" s="1192" t="s">
        <v>1783</v>
      </c>
      <c r="K163" s="1173" t="s">
        <v>678</v>
      </c>
      <c r="L163" s="1202" t="s">
        <v>679</v>
      </c>
      <c r="M163" s="1176">
        <v>36225000</v>
      </c>
      <c r="N163" s="1203" t="s">
        <v>729</v>
      </c>
      <c r="O163" s="1203" t="s">
        <v>1784</v>
      </c>
      <c r="R163" s="1204"/>
    </row>
    <row r="164" spans="1:18" s="1156" customFormat="1" ht="60" x14ac:dyDescent="0.2">
      <c r="A164" s="1169">
        <v>2022158</v>
      </c>
      <c r="B164" s="1169">
        <v>7655</v>
      </c>
      <c r="C164" s="1169" t="s">
        <v>648</v>
      </c>
      <c r="D164" s="1187" t="s">
        <v>696</v>
      </c>
      <c r="E164" s="1199">
        <v>80111600</v>
      </c>
      <c r="F164" s="1200" t="s">
        <v>851</v>
      </c>
      <c r="G164" s="1201" t="s">
        <v>1743</v>
      </c>
      <c r="H164" s="1201" t="s">
        <v>1743</v>
      </c>
      <c r="I164" s="1201" t="s">
        <v>1799</v>
      </c>
      <c r="J164" s="1192" t="s">
        <v>1783</v>
      </c>
      <c r="K164" s="1173" t="s">
        <v>678</v>
      </c>
      <c r="L164" s="1202" t="s">
        <v>679</v>
      </c>
      <c r="M164" s="1176">
        <v>45544000</v>
      </c>
      <c r="N164" s="1203" t="s">
        <v>729</v>
      </c>
      <c r="O164" s="1203" t="s">
        <v>1784</v>
      </c>
      <c r="R164" s="1204"/>
    </row>
    <row r="165" spans="1:18" s="1156" customFormat="1" ht="60" x14ac:dyDescent="0.2">
      <c r="A165" s="1169">
        <v>2022159</v>
      </c>
      <c r="B165" s="1169">
        <v>7655</v>
      </c>
      <c r="C165" s="1169" t="s">
        <v>648</v>
      </c>
      <c r="D165" s="1187" t="s">
        <v>696</v>
      </c>
      <c r="E165" s="1199">
        <v>80111600</v>
      </c>
      <c r="F165" s="1200" t="s">
        <v>856</v>
      </c>
      <c r="G165" s="1201" t="s">
        <v>1743</v>
      </c>
      <c r="H165" s="1201" t="s">
        <v>1743</v>
      </c>
      <c r="I165" s="1201" t="s">
        <v>1799</v>
      </c>
      <c r="J165" s="1192" t="s">
        <v>1783</v>
      </c>
      <c r="K165" s="1173" t="s">
        <v>678</v>
      </c>
      <c r="L165" s="1202" t="s">
        <v>679</v>
      </c>
      <c r="M165" s="1176">
        <v>19600000</v>
      </c>
      <c r="N165" s="1203" t="s">
        <v>729</v>
      </c>
      <c r="O165" s="1203" t="s">
        <v>1784</v>
      </c>
      <c r="R165" s="1204"/>
    </row>
    <row r="166" spans="1:18" s="1156" customFormat="1" ht="60" x14ac:dyDescent="0.2">
      <c r="A166" s="1169">
        <v>2022160</v>
      </c>
      <c r="B166" s="1169">
        <v>7655</v>
      </c>
      <c r="C166" s="1169" t="s">
        <v>648</v>
      </c>
      <c r="D166" s="1187" t="s">
        <v>696</v>
      </c>
      <c r="E166" s="1199">
        <v>80111600</v>
      </c>
      <c r="F166" s="1200" t="s">
        <v>857</v>
      </c>
      <c r="G166" s="1201" t="s">
        <v>1743</v>
      </c>
      <c r="H166" s="1201" t="s">
        <v>1743</v>
      </c>
      <c r="I166" s="1201" t="s">
        <v>1746</v>
      </c>
      <c r="J166" s="1192" t="s">
        <v>1783</v>
      </c>
      <c r="K166" s="1173" t="s">
        <v>678</v>
      </c>
      <c r="L166" s="1202" t="s">
        <v>679</v>
      </c>
      <c r="M166" s="1176">
        <v>31306000</v>
      </c>
      <c r="N166" s="1203" t="s">
        <v>729</v>
      </c>
      <c r="O166" s="1203" t="s">
        <v>1784</v>
      </c>
      <c r="R166" s="1204"/>
    </row>
    <row r="167" spans="1:18" s="1156" customFormat="1" ht="90" x14ac:dyDescent="0.2">
      <c r="A167" s="1169">
        <v>2022161</v>
      </c>
      <c r="B167" s="1169">
        <v>7655</v>
      </c>
      <c r="C167" s="1169" t="s">
        <v>648</v>
      </c>
      <c r="D167" s="1187" t="s">
        <v>696</v>
      </c>
      <c r="E167" s="1199">
        <v>80111600</v>
      </c>
      <c r="F167" s="1205" t="s">
        <v>858</v>
      </c>
      <c r="G167" s="1201" t="s">
        <v>1743</v>
      </c>
      <c r="H167" s="1201" t="s">
        <v>1743</v>
      </c>
      <c r="I167" s="1201" t="s">
        <v>1799</v>
      </c>
      <c r="J167" s="1192" t="s">
        <v>1783</v>
      </c>
      <c r="K167" s="1173" t="s">
        <v>678</v>
      </c>
      <c r="L167" s="1202" t="s">
        <v>679</v>
      </c>
      <c r="M167" s="1176">
        <v>34776000</v>
      </c>
      <c r="N167" s="1203" t="s">
        <v>729</v>
      </c>
      <c r="O167" s="1203" t="s">
        <v>1784</v>
      </c>
      <c r="R167" s="1204"/>
    </row>
    <row r="168" spans="1:18" s="1156" customFormat="1" ht="60" x14ac:dyDescent="0.2">
      <c r="A168" s="1169">
        <v>2022162</v>
      </c>
      <c r="B168" s="1169">
        <v>7655</v>
      </c>
      <c r="C168" s="1169" t="s">
        <v>648</v>
      </c>
      <c r="D168" s="1187" t="s">
        <v>696</v>
      </c>
      <c r="E168" s="1199">
        <v>80111600</v>
      </c>
      <c r="F168" s="1200" t="s">
        <v>859</v>
      </c>
      <c r="G168" s="1201" t="s">
        <v>1743</v>
      </c>
      <c r="H168" s="1201" t="s">
        <v>1743</v>
      </c>
      <c r="I168" s="1201" t="s">
        <v>1799</v>
      </c>
      <c r="J168" s="1192" t="s">
        <v>1783</v>
      </c>
      <c r="K168" s="1173" t="s">
        <v>678</v>
      </c>
      <c r="L168" s="1202" t="s">
        <v>679</v>
      </c>
      <c r="M168" s="1176">
        <v>34776000</v>
      </c>
      <c r="N168" s="1203" t="s">
        <v>729</v>
      </c>
      <c r="O168" s="1203" t="s">
        <v>1784</v>
      </c>
      <c r="R168" s="1204"/>
    </row>
    <row r="169" spans="1:18" s="1156" customFormat="1" ht="90" x14ac:dyDescent="0.2">
      <c r="A169" s="1169">
        <v>2022163</v>
      </c>
      <c r="B169" s="1169">
        <v>7655</v>
      </c>
      <c r="C169" s="1169" t="s">
        <v>648</v>
      </c>
      <c r="D169" s="1187" t="s">
        <v>696</v>
      </c>
      <c r="E169" s="1199">
        <v>80111600</v>
      </c>
      <c r="F169" s="1205" t="s">
        <v>860</v>
      </c>
      <c r="G169" s="1201" t="s">
        <v>1743</v>
      </c>
      <c r="H169" s="1201" t="s">
        <v>1743</v>
      </c>
      <c r="I169" s="1201" t="s">
        <v>1746</v>
      </c>
      <c r="J169" s="1192" t="s">
        <v>1783</v>
      </c>
      <c r="K169" s="1173" t="s">
        <v>678</v>
      </c>
      <c r="L169" s="1202" t="s">
        <v>679</v>
      </c>
      <c r="M169" s="1176">
        <v>36850000</v>
      </c>
      <c r="N169" s="1203" t="s">
        <v>729</v>
      </c>
      <c r="O169" s="1203" t="s">
        <v>1784</v>
      </c>
      <c r="R169" s="1204"/>
    </row>
    <row r="170" spans="1:18" s="1156" customFormat="1" ht="60" x14ac:dyDescent="0.2">
      <c r="A170" s="1169">
        <v>2022164</v>
      </c>
      <c r="B170" s="1169">
        <v>7655</v>
      </c>
      <c r="C170" s="1169" t="s">
        <v>648</v>
      </c>
      <c r="D170" s="1187" t="s">
        <v>696</v>
      </c>
      <c r="E170" s="1199">
        <v>80111600</v>
      </c>
      <c r="F170" s="1200" t="s">
        <v>861</v>
      </c>
      <c r="G170" s="1201" t="s">
        <v>1743</v>
      </c>
      <c r="H170" s="1201" t="s">
        <v>1743</v>
      </c>
      <c r="I170" s="1201" t="s">
        <v>1786</v>
      </c>
      <c r="J170" s="1192" t="s">
        <v>1783</v>
      </c>
      <c r="K170" s="1173" t="s">
        <v>678</v>
      </c>
      <c r="L170" s="1202" t="s">
        <v>679</v>
      </c>
      <c r="M170" s="1176">
        <v>26950000</v>
      </c>
      <c r="N170" s="1203" t="s">
        <v>729</v>
      </c>
      <c r="O170" s="1203" t="s">
        <v>1784</v>
      </c>
      <c r="R170" s="1204"/>
    </row>
    <row r="171" spans="1:18" s="1156" customFormat="1" ht="60" x14ac:dyDescent="0.2">
      <c r="A171" s="1169">
        <v>2022165</v>
      </c>
      <c r="B171" s="1169">
        <v>7655</v>
      </c>
      <c r="C171" s="1169" t="s">
        <v>648</v>
      </c>
      <c r="D171" s="1187" t="s">
        <v>696</v>
      </c>
      <c r="E171" s="1199">
        <v>80111600</v>
      </c>
      <c r="F171" s="1200" t="s">
        <v>862</v>
      </c>
      <c r="G171" s="1201" t="s">
        <v>1743</v>
      </c>
      <c r="H171" s="1201" t="s">
        <v>1743</v>
      </c>
      <c r="I171" s="1201" t="s">
        <v>1799</v>
      </c>
      <c r="J171" s="1192" t="s">
        <v>1783</v>
      </c>
      <c r="K171" s="1173" t="s">
        <v>678</v>
      </c>
      <c r="L171" s="1202" t="s">
        <v>679</v>
      </c>
      <c r="M171" s="1176">
        <v>41400000</v>
      </c>
      <c r="N171" s="1203" t="s">
        <v>729</v>
      </c>
      <c r="O171" s="1203" t="s">
        <v>1784</v>
      </c>
      <c r="R171" s="1204"/>
    </row>
    <row r="172" spans="1:18" s="1156" customFormat="1" ht="60" x14ac:dyDescent="0.2">
      <c r="A172" s="1169">
        <v>2022166</v>
      </c>
      <c r="B172" s="1169">
        <v>7655</v>
      </c>
      <c r="C172" s="1169" t="s">
        <v>648</v>
      </c>
      <c r="D172" s="1187" t="s">
        <v>696</v>
      </c>
      <c r="E172" s="1199">
        <v>80111600</v>
      </c>
      <c r="F172" s="1200" t="s">
        <v>863</v>
      </c>
      <c r="G172" s="1201" t="s">
        <v>1743</v>
      </c>
      <c r="H172" s="1201" t="s">
        <v>1743</v>
      </c>
      <c r="I172" s="1201" t="s">
        <v>1799</v>
      </c>
      <c r="J172" s="1192" t="s">
        <v>1783</v>
      </c>
      <c r="K172" s="1173" t="s">
        <v>678</v>
      </c>
      <c r="L172" s="1202" t="s">
        <v>679</v>
      </c>
      <c r="M172" s="1176">
        <v>41400000</v>
      </c>
      <c r="N172" s="1203" t="s">
        <v>729</v>
      </c>
      <c r="O172" s="1203" t="s">
        <v>1784</v>
      </c>
      <c r="R172" s="1204"/>
    </row>
    <row r="173" spans="1:18" s="1156" customFormat="1" ht="60" x14ac:dyDescent="0.2">
      <c r="A173" s="1169">
        <v>2022167</v>
      </c>
      <c r="B173" s="1169">
        <v>7655</v>
      </c>
      <c r="C173" s="1169" t="s">
        <v>648</v>
      </c>
      <c r="D173" s="1187" t="s">
        <v>696</v>
      </c>
      <c r="E173" s="1199">
        <v>80111600</v>
      </c>
      <c r="F173" s="1200" t="s">
        <v>864</v>
      </c>
      <c r="G173" s="1201" t="s">
        <v>1743</v>
      </c>
      <c r="H173" s="1201" t="s">
        <v>1743</v>
      </c>
      <c r="I173" s="1201" t="s">
        <v>1746</v>
      </c>
      <c r="J173" s="1192" t="s">
        <v>1783</v>
      </c>
      <c r="K173" s="1173" t="s">
        <v>678</v>
      </c>
      <c r="L173" s="1202" t="s">
        <v>679</v>
      </c>
      <c r="M173" s="1176">
        <v>80036000</v>
      </c>
      <c r="N173" s="1203" t="s">
        <v>729</v>
      </c>
      <c r="O173" s="1203" t="s">
        <v>1784</v>
      </c>
      <c r="R173" s="1204"/>
    </row>
    <row r="174" spans="1:18" s="1156" customFormat="1" ht="60" x14ac:dyDescent="0.2">
      <c r="A174" s="1169">
        <v>2022168</v>
      </c>
      <c r="B174" s="1169">
        <v>7655</v>
      </c>
      <c r="C174" s="1169" t="s">
        <v>648</v>
      </c>
      <c r="D174" s="1187" t="s">
        <v>696</v>
      </c>
      <c r="E174" s="1199">
        <v>80111600</v>
      </c>
      <c r="F174" s="1206" t="s">
        <v>862</v>
      </c>
      <c r="G174" s="1201" t="s">
        <v>1743</v>
      </c>
      <c r="H174" s="1201" t="s">
        <v>1743</v>
      </c>
      <c r="I174" s="1201" t="s">
        <v>1791</v>
      </c>
      <c r="J174" s="1192" t="s">
        <v>1783</v>
      </c>
      <c r="K174" s="1173" t="s">
        <v>678</v>
      </c>
      <c r="L174" s="1202" t="s">
        <v>679</v>
      </c>
      <c r="M174" s="1176">
        <v>60000000</v>
      </c>
      <c r="N174" s="1203" t="s">
        <v>729</v>
      </c>
      <c r="O174" s="1203" t="s">
        <v>1784</v>
      </c>
      <c r="R174" s="1204"/>
    </row>
    <row r="175" spans="1:18" s="1156" customFormat="1" ht="90" x14ac:dyDescent="0.2">
      <c r="A175" s="1169">
        <v>2022169</v>
      </c>
      <c r="B175" s="1169">
        <v>7655</v>
      </c>
      <c r="C175" s="1169" t="s">
        <v>648</v>
      </c>
      <c r="D175" s="1187" t="s">
        <v>696</v>
      </c>
      <c r="E175" s="1199">
        <v>80111600</v>
      </c>
      <c r="F175" s="1205" t="s">
        <v>860</v>
      </c>
      <c r="G175" s="1201" t="s">
        <v>1743</v>
      </c>
      <c r="H175" s="1201" t="s">
        <v>1743</v>
      </c>
      <c r="I175" s="1201" t="s">
        <v>1746</v>
      </c>
      <c r="J175" s="1192" t="s">
        <v>1783</v>
      </c>
      <c r="K175" s="1173" t="s">
        <v>678</v>
      </c>
      <c r="L175" s="1202" t="s">
        <v>679</v>
      </c>
      <c r="M175" s="1176">
        <v>34155000</v>
      </c>
      <c r="N175" s="1203" t="s">
        <v>729</v>
      </c>
      <c r="O175" s="1203" t="s">
        <v>1784</v>
      </c>
      <c r="R175" s="1204"/>
    </row>
    <row r="176" spans="1:18" s="1156" customFormat="1" ht="60" x14ac:dyDescent="0.2">
      <c r="A176" s="1169">
        <v>2022170</v>
      </c>
      <c r="B176" s="1169">
        <v>7655</v>
      </c>
      <c r="C176" s="1169" t="s">
        <v>648</v>
      </c>
      <c r="D176" s="1187" t="s">
        <v>696</v>
      </c>
      <c r="E176" s="1199">
        <v>80111600</v>
      </c>
      <c r="F176" s="1200" t="s">
        <v>863</v>
      </c>
      <c r="G176" s="1201" t="s">
        <v>1743</v>
      </c>
      <c r="H176" s="1201" t="s">
        <v>1743</v>
      </c>
      <c r="I176" s="1201" t="s">
        <v>1785</v>
      </c>
      <c r="J176" s="1192" t="s">
        <v>1783</v>
      </c>
      <c r="K176" s="1173" t="s">
        <v>678</v>
      </c>
      <c r="L176" s="1202" t="s">
        <v>679</v>
      </c>
      <c r="M176" s="1176">
        <v>26082000</v>
      </c>
      <c r="N176" s="1203" t="s">
        <v>729</v>
      </c>
      <c r="O176" s="1203" t="s">
        <v>1784</v>
      </c>
      <c r="R176" s="1204"/>
    </row>
    <row r="177" spans="1:18" s="1156" customFormat="1" ht="60" x14ac:dyDescent="0.2">
      <c r="A177" s="1169">
        <v>2022171</v>
      </c>
      <c r="B177" s="1169">
        <v>7655</v>
      </c>
      <c r="C177" s="1169" t="s">
        <v>648</v>
      </c>
      <c r="D177" s="1187" t="s">
        <v>696</v>
      </c>
      <c r="E177" s="1199">
        <v>80111600</v>
      </c>
      <c r="F177" s="1206" t="s">
        <v>865</v>
      </c>
      <c r="G177" s="1201" t="s">
        <v>1743</v>
      </c>
      <c r="H177" s="1201" t="s">
        <v>1743</v>
      </c>
      <c r="I177" s="1201" t="s">
        <v>1786</v>
      </c>
      <c r="J177" s="1192" t="s">
        <v>1783</v>
      </c>
      <c r="K177" s="1173" t="s">
        <v>678</v>
      </c>
      <c r="L177" s="1202" t="s">
        <v>679</v>
      </c>
      <c r="M177" s="1176">
        <v>36225000</v>
      </c>
      <c r="N177" s="1203" t="s">
        <v>729</v>
      </c>
      <c r="O177" s="1203" t="s">
        <v>1784</v>
      </c>
      <c r="R177" s="1204"/>
    </row>
    <row r="178" spans="1:18" s="1156" customFormat="1" ht="60" x14ac:dyDescent="0.2">
      <c r="A178" s="1169">
        <v>2022172</v>
      </c>
      <c r="B178" s="1169">
        <v>7655</v>
      </c>
      <c r="C178" s="1169" t="s">
        <v>648</v>
      </c>
      <c r="D178" s="1187" t="s">
        <v>696</v>
      </c>
      <c r="E178" s="1199">
        <v>80111600</v>
      </c>
      <c r="F178" s="1206" t="s">
        <v>862</v>
      </c>
      <c r="G178" s="1201" t="s">
        <v>1743</v>
      </c>
      <c r="H178" s="1201" t="s">
        <v>1743</v>
      </c>
      <c r="I178" s="1201" t="s">
        <v>1786</v>
      </c>
      <c r="J178" s="1192" t="s">
        <v>1783</v>
      </c>
      <c r="K178" s="1173" t="s">
        <v>678</v>
      </c>
      <c r="L178" s="1202" t="s">
        <v>679</v>
      </c>
      <c r="M178" s="1176">
        <v>36225000</v>
      </c>
      <c r="N178" s="1203" t="s">
        <v>729</v>
      </c>
      <c r="O178" s="1203" t="s">
        <v>1784</v>
      </c>
      <c r="R178" s="1204"/>
    </row>
    <row r="179" spans="1:18" s="1156" customFormat="1" ht="60" x14ac:dyDescent="0.2">
      <c r="A179" s="1169">
        <v>2022173</v>
      </c>
      <c r="B179" s="1169">
        <v>7655</v>
      </c>
      <c r="C179" s="1169" t="s">
        <v>648</v>
      </c>
      <c r="D179" s="1187" t="s">
        <v>696</v>
      </c>
      <c r="E179" s="1199">
        <v>80111600</v>
      </c>
      <c r="F179" s="1206" t="s">
        <v>866</v>
      </c>
      <c r="G179" s="1201" t="s">
        <v>1743</v>
      </c>
      <c r="H179" s="1201" t="s">
        <v>1743</v>
      </c>
      <c r="I179" s="1201" t="s">
        <v>1785</v>
      </c>
      <c r="J179" s="1192" t="s">
        <v>1783</v>
      </c>
      <c r="K179" s="1173" t="s">
        <v>678</v>
      </c>
      <c r="L179" s="1202" t="s">
        <v>679</v>
      </c>
      <c r="M179" s="1176">
        <v>12000000</v>
      </c>
      <c r="N179" s="1203" t="s">
        <v>729</v>
      </c>
      <c r="O179" s="1203" t="s">
        <v>1784</v>
      </c>
      <c r="R179" s="1204"/>
    </row>
    <row r="180" spans="1:18" s="1156" customFormat="1" ht="60" x14ac:dyDescent="0.2">
      <c r="A180" s="1169">
        <v>2022174</v>
      </c>
      <c r="B180" s="1169">
        <v>7655</v>
      </c>
      <c r="C180" s="1169" t="s">
        <v>648</v>
      </c>
      <c r="D180" s="1187" t="s">
        <v>696</v>
      </c>
      <c r="E180" s="1199">
        <v>80111600</v>
      </c>
      <c r="F180" s="1206" t="s">
        <v>867</v>
      </c>
      <c r="G180" s="1201" t="s">
        <v>1743</v>
      </c>
      <c r="H180" s="1201" t="s">
        <v>1758</v>
      </c>
      <c r="I180" s="1201" t="s">
        <v>1800</v>
      </c>
      <c r="J180" s="1192" t="s">
        <v>1783</v>
      </c>
      <c r="K180" s="1173" t="s">
        <v>678</v>
      </c>
      <c r="L180" s="1202" t="s">
        <v>679</v>
      </c>
      <c r="M180" s="1176">
        <v>282051000</v>
      </c>
      <c r="N180" s="1203" t="s">
        <v>729</v>
      </c>
      <c r="O180" s="1203" t="s">
        <v>1784</v>
      </c>
      <c r="R180" s="1204"/>
    </row>
    <row r="181" spans="1:18" s="1156" customFormat="1" ht="60" x14ac:dyDescent="0.2">
      <c r="A181" s="1169">
        <v>2022175</v>
      </c>
      <c r="B181" s="1169">
        <v>7655</v>
      </c>
      <c r="C181" s="1169" t="s">
        <v>648</v>
      </c>
      <c r="D181" s="1187" t="s">
        <v>702</v>
      </c>
      <c r="E181" s="1207">
        <v>80111600</v>
      </c>
      <c r="F181" s="1208" t="s">
        <v>868</v>
      </c>
      <c r="G181" s="1190" t="s">
        <v>1743</v>
      </c>
      <c r="H181" s="1209" t="s">
        <v>1743</v>
      </c>
      <c r="I181" s="1173" t="s">
        <v>1785</v>
      </c>
      <c r="J181" s="1207" t="s">
        <v>1801</v>
      </c>
      <c r="K181" s="1173" t="s">
        <v>678</v>
      </c>
      <c r="L181" s="1210" t="s">
        <v>679</v>
      </c>
      <c r="M181" s="1176">
        <v>1000000000</v>
      </c>
      <c r="N181" s="1211" t="s">
        <v>727</v>
      </c>
      <c r="O181" s="1203" t="s">
        <v>1784</v>
      </c>
      <c r="R181" s="1204"/>
    </row>
    <row r="182" spans="1:18" s="1156" customFormat="1" ht="54.75" customHeight="1" x14ac:dyDescent="0.25">
      <c r="A182" s="1169">
        <v>2022176</v>
      </c>
      <c r="B182" s="1169">
        <v>7655</v>
      </c>
      <c r="C182" s="1169" t="s">
        <v>648</v>
      </c>
      <c r="D182" s="1187" t="s">
        <v>702</v>
      </c>
      <c r="E182" s="1188">
        <v>80111600</v>
      </c>
      <c r="F182" s="1189" t="s">
        <v>1802</v>
      </c>
      <c r="G182" s="1190" t="s">
        <v>1743</v>
      </c>
      <c r="H182" s="1209" t="s">
        <v>1743</v>
      </c>
      <c r="I182" s="1212" t="s">
        <v>1803</v>
      </c>
      <c r="J182" s="1192" t="s">
        <v>1783</v>
      </c>
      <c r="K182" s="1173" t="s">
        <v>678</v>
      </c>
      <c r="L182" s="1173" t="s">
        <v>679</v>
      </c>
      <c r="M182" s="1193">
        <f>80500000-42000000</f>
        <v>38500000</v>
      </c>
      <c r="N182" s="1211" t="s">
        <v>727</v>
      </c>
      <c r="O182" s="1203" t="s">
        <v>1784</v>
      </c>
    </row>
    <row r="183" spans="1:18" s="1156" customFormat="1" ht="60" x14ac:dyDescent="0.25">
      <c r="A183" s="1169">
        <v>2022177</v>
      </c>
      <c r="B183" s="1169">
        <v>7655</v>
      </c>
      <c r="C183" s="1169" t="s">
        <v>648</v>
      </c>
      <c r="D183" s="1187" t="s">
        <v>699</v>
      </c>
      <c r="E183" s="1169">
        <v>80111600</v>
      </c>
      <c r="F183" s="1213" t="s">
        <v>869</v>
      </c>
      <c r="G183" s="1201" t="s">
        <v>1743</v>
      </c>
      <c r="H183" s="1214" t="s">
        <v>1753</v>
      </c>
      <c r="I183" s="1201" t="s">
        <v>1746</v>
      </c>
      <c r="J183" s="1192" t="s">
        <v>1783</v>
      </c>
      <c r="K183" s="1173" t="s">
        <v>678</v>
      </c>
      <c r="L183" s="1215" t="s">
        <v>679</v>
      </c>
      <c r="M183" s="1176">
        <v>80000000</v>
      </c>
      <c r="N183" s="1203" t="s">
        <v>729</v>
      </c>
      <c r="O183" s="1203" t="s">
        <v>1784</v>
      </c>
    </row>
    <row r="184" spans="1:18" s="1156" customFormat="1" ht="60" x14ac:dyDescent="0.25">
      <c r="A184" s="1169">
        <v>2022178</v>
      </c>
      <c r="B184" s="1169">
        <v>7655</v>
      </c>
      <c r="C184" s="1169" t="s">
        <v>648</v>
      </c>
      <c r="D184" s="1187" t="s">
        <v>693</v>
      </c>
      <c r="E184" s="1169">
        <v>80111600</v>
      </c>
      <c r="F184" s="1213" t="s">
        <v>870</v>
      </c>
      <c r="G184" s="1201" t="s">
        <v>1743</v>
      </c>
      <c r="H184" s="1214" t="s">
        <v>1753</v>
      </c>
      <c r="I184" s="1201" t="s">
        <v>1791</v>
      </c>
      <c r="J184" s="1192" t="s">
        <v>1783</v>
      </c>
      <c r="K184" s="1173" t="s">
        <v>678</v>
      </c>
      <c r="L184" s="1215" t="s">
        <v>679</v>
      </c>
      <c r="M184" s="1176">
        <v>80000000</v>
      </c>
      <c r="N184" s="1203" t="s">
        <v>729</v>
      </c>
      <c r="O184" s="1203" t="s">
        <v>1784</v>
      </c>
    </row>
    <row r="185" spans="1:18" s="1156" customFormat="1" ht="60" x14ac:dyDescent="0.25">
      <c r="A185" s="1169">
        <v>2022179</v>
      </c>
      <c r="B185" s="1169">
        <v>7655</v>
      </c>
      <c r="C185" s="1169" t="s">
        <v>648</v>
      </c>
      <c r="D185" s="1187" t="s">
        <v>686</v>
      </c>
      <c r="E185" s="1207">
        <v>80111600</v>
      </c>
      <c r="F185" s="1213" t="s">
        <v>871</v>
      </c>
      <c r="G185" s="1201" t="s">
        <v>1743</v>
      </c>
      <c r="H185" s="1201" t="s">
        <v>1743</v>
      </c>
      <c r="I185" s="1201" t="s">
        <v>1793</v>
      </c>
      <c r="J185" s="1192" t="s">
        <v>1783</v>
      </c>
      <c r="K185" s="1173" t="s">
        <v>678</v>
      </c>
      <c r="L185" s="1215" t="s">
        <v>679</v>
      </c>
      <c r="M185" s="1176">
        <v>39371000</v>
      </c>
      <c r="N185" s="1194" t="s">
        <v>729</v>
      </c>
      <c r="O185" s="1203" t="s">
        <v>1784</v>
      </c>
    </row>
    <row r="186" spans="1:18" s="1156" customFormat="1" ht="60" x14ac:dyDescent="0.25">
      <c r="A186" s="1169">
        <v>2022180</v>
      </c>
      <c r="B186" s="1169">
        <v>7655</v>
      </c>
      <c r="C186" s="1169" t="s">
        <v>648</v>
      </c>
      <c r="D186" s="1187" t="s">
        <v>686</v>
      </c>
      <c r="E186" s="1207">
        <v>80111600</v>
      </c>
      <c r="F186" s="1213" t="s">
        <v>872</v>
      </c>
      <c r="G186" s="1201" t="s">
        <v>1743</v>
      </c>
      <c r="H186" s="1201" t="s">
        <v>1743</v>
      </c>
      <c r="I186" s="1201" t="s">
        <v>1793</v>
      </c>
      <c r="J186" s="1192" t="s">
        <v>1783</v>
      </c>
      <c r="K186" s="1173" t="s">
        <v>678</v>
      </c>
      <c r="L186" s="1215" t="s">
        <v>679</v>
      </c>
      <c r="M186" s="1176">
        <v>45697000</v>
      </c>
      <c r="N186" s="1194" t="s">
        <v>729</v>
      </c>
      <c r="O186" s="1203" t="s">
        <v>1784</v>
      </c>
    </row>
    <row r="187" spans="1:18" s="1156" customFormat="1" ht="60" x14ac:dyDescent="0.25">
      <c r="A187" s="1169">
        <v>2022181</v>
      </c>
      <c r="B187" s="1169">
        <v>7655</v>
      </c>
      <c r="C187" s="1169" t="s">
        <v>648</v>
      </c>
      <c r="D187" s="1187" t="s">
        <v>686</v>
      </c>
      <c r="E187" s="1207">
        <v>80111600</v>
      </c>
      <c r="F187" s="1213" t="s">
        <v>872</v>
      </c>
      <c r="G187" s="1201" t="s">
        <v>1743</v>
      </c>
      <c r="H187" s="1201" t="s">
        <v>1743</v>
      </c>
      <c r="I187" s="1201" t="s">
        <v>1793</v>
      </c>
      <c r="J187" s="1192" t="s">
        <v>1783</v>
      </c>
      <c r="K187" s="1173" t="s">
        <v>678</v>
      </c>
      <c r="L187" s="1215" t="s">
        <v>679</v>
      </c>
      <c r="M187" s="1176">
        <v>79351000</v>
      </c>
      <c r="N187" s="1194" t="s">
        <v>729</v>
      </c>
      <c r="O187" s="1203" t="s">
        <v>1784</v>
      </c>
    </row>
    <row r="188" spans="1:18" s="1156" customFormat="1" ht="60" x14ac:dyDescent="0.25">
      <c r="A188" s="1169">
        <v>2022182</v>
      </c>
      <c r="B188" s="1169">
        <v>7655</v>
      </c>
      <c r="C188" s="1169" t="s">
        <v>648</v>
      </c>
      <c r="D188" s="1187" t="s">
        <v>686</v>
      </c>
      <c r="E188" s="1207">
        <v>80111600</v>
      </c>
      <c r="F188" s="1213" t="s">
        <v>872</v>
      </c>
      <c r="G188" s="1201" t="s">
        <v>1743</v>
      </c>
      <c r="H188" s="1201" t="s">
        <v>1743</v>
      </c>
      <c r="I188" s="1201" t="s">
        <v>1793</v>
      </c>
      <c r="J188" s="1192" t="s">
        <v>1783</v>
      </c>
      <c r="K188" s="1173" t="s">
        <v>678</v>
      </c>
      <c r="L188" s="1215" t="s">
        <v>679</v>
      </c>
      <c r="M188" s="1176">
        <v>79351000</v>
      </c>
      <c r="N188" s="1194" t="s">
        <v>729</v>
      </c>
      <c r="O188" s="1203" t="s">
        <v>1784</v>
      </c>
    </row>
    <row r="189" spans="1:18" s="1156" customFormat="1" ht="60" x14ac:dyDescent="0.25">
      <c r="A189" s="1169">
        <v>2022183</v>
      </c>
      <c r="B189" s="1169">
        <v>7655</v>
      </c>
      <c r="C189" s="1169" t="s">
        <v>648</v>
      </c>
      <c r="D189" s="1187" t="s">
        <v>686</v>
      </c>
      <c r="E189" s="1207">
        <v>80111600</v>
      </c>
      <c r="F189" s="1213" t="s">
        <v>872</v>
      </c>
      <c r="G189" s="1201" t="s">
        <v>1743</v>
      </c>
      <c r="H189" s="1201" t="s">
        <v>1743</v>
      </c>
      <c r="I189" s="1201" t="s">
        <v>1793</v>
      </c>
      <c r="J189" s="1192" t="s">
        <v>1783</v>
      </c>
      <c r="K189" s="1173" t="s">
        <v>678</v>
      </c>
      <c r="L189" s="1215" t="s">
        <v>679</v>
      </c>
      <c r="M189" s="1176">
        <v>79351000</v>
      </c>
      <c r="N189" s="1194" t="s">
        <v>729</v>
      </c>
      <c r="O189" s="1203" t="s">
        <v>1784</v>
      </c>
    </row>
    <row r="190" spans="1:18" s="1156" customFormat="1" ht="60" x14ac:dyDescent="0.25">
      <c r="A190" s="1169">
        <v>2022184</v>
      </c>
      <c r="B190" s="1169">
        <v>7655</v>
      </c>
      <c r="C190" s="1169" t="s">
        <v>648</v>
      </c>
      <c r="D190" s="1187" t="s">
        <v>1804</v>
      </c>
      <c r="E190" s="1188">
        <v>80111600</v>
      </c>
      <c r="F190" s="1195" t="s">
        <v>873</v>
      </c>
      <c r="G190" s="1190">
        <v>44566</v>
      </c>
      <c r="H190" s="1190">
        <v>44568</v>
      </c>
      <c r="I190" s="1201" t="s">
        <v>1805</v>
      </c>
      <c r="J190" s="1192" t="s">
        <v>1783</v>
      </c>
      <c r="K190" s="1173" t="s">
        <v>678</v>
      </c>
      <c r="L190" s="1175" t="s">
        <v>783</v>
      </c>
      <c r="M190" s="1193">
        <v>106950000</v>
      </c>
      <c r="N190" s="1194" t="s">
        <v>729</v>
      </c>
      <c r="O190" s="1203" t="s">
        <v>1784</v>
      </c>
    </row>
    <row r="191" spans="1:18" s="1156" customFormat="1" ht="60" x14ac:dyDescent="0.25">
      <c r="A191" s="1169">
        <v>2022185</v>
      </c>
      <c r="B191" s="1169">
        <v>7655</v>
      </c>
      <c r="C191" s="1169" t="s">
        <v>648</v>
      </c>
      <c r="D191" s="1187" t="s">
        <v>1804</v>
      </c>
      <c r="E191" s="1188">
        <v>80111600</v>
      </c>
      <c r="F191" s="1195" t="s">
        <v>874</v>
      </c>
      <c r="G191" s="1190">
        <v>44566</v>
      </c>
      <c r="H191" s="1190">
        <v>44568</v>
      </c>
      <c r="I191" s="1201" t="s">
        <v>1805</v>
      </c>
      <c r="J191" s="1192" t="s">
        <v>1783</v>
      </c>
      <c r="K191" s="1173" t="s">
        <v>678</v>
      </c>
      <c r="L191" s="1175" t="s">
        <v>783</v>
      </c>
      <c r="M191" s="1193">
        <v>78200000</v>
      </c>
      <c r="N191" s="1194" t="s">
        <v>729</v>
      </c>
      <c r="O191" s="1203" t="s">
        <v>1784</v>
      </c>
    </row>
    <row r="192" spans="1:18" s="1156" customFormat="1" ht="60" x14ac:dyDescent="0.25">
      <c r="A192" s="1169">
        <v>2022186</v>
      </c>
      <c r="B192" s="1169">
        <v>7655</v>
      </c>
      <c r="C192" s="1169" t="s">
        <v>648</v>
      </c>
      <c r="D192" s="1187" t="s">
        <v>1804</v>
      </c>
      <c r="E192" s="1188">
        <v>80111600</v>
      </c>
      <c r="F192" s="1195" t="s">
        <v>875</v>
      </c>
      <c r="G192" s="1190">
        <v>44566</v>
      </c>
      <c r="H192" s="1190">
        <v>44568</v>
      </c>
      <c r="I192" s="1201" t="s">
        <v>1805</v>
      </c>
      <c r="J192" s="1192" t="s">
        <v>1783</v>
      </c>
      <c r="K192" s="1173" t="s">
        <v>678</v>
      </c>
      <c r="L192" s="1175" t="s">
        <v>783</v>
      </c>
      <c r="M192" s="1193">
        <v>92000000</v>
      </c>
      <c r="N192" s="1194" t="s">
        <v>729</v>
      </c>
      <c r="O192" s="1203" t="s">
        <v>1784</v>
      </c>
    </row>
    <row r="193" spans="1:15" s="1156" customFormat="1" ht="60" x14ac:dyDescent="0.25">
      <c r="A193" s="1169">
        <v>2022187</v>
      </c>
      <c r="B193" s="1169">
        <v>7655</v>
      </c>
      <c r="C193" s="1169" t="s">
        <v>648</v>
      </c>
      <c r="D193" s="1187" t="s">
        <v>1804</v>
      </c>
      <c r="E193" s="1188">
        <v>80111600</v>
      </c>
      <c r="F193" s="1195" t="s">
        <v>876</v>
      </c>
      <c r="G193" s="1190">
        <v>44566</v>
      </c>
      <c r="H193" s="1190">
        <v>44568</v>
      </c>
      <c r="I193" s="1201" t="s">
        <v>1805</v>
      </c>
      <c r="J193" s="1192" t="s">
        <v>1783</v>
      </c>
      <c r="K193" s="1173" t="s">
        <v>678</v>
      </c>
      <c r="L193" s="1175" t="s">
        <v>679</v>
      </c>
      <c r="M193" s="1193">
        <v>80500000</v>
      </c>
      <c r="N193" s="1194" t="s">
        <v>729</v>
      </c>
      <c r="O193" s="1203" t="s">
        <v>1784</v>
      </c>
    </row>
    <row r="194" spans="1:15" s="1156" customFormat="1" ht="60" x14ac:dyDescent="0.25">
      <c r="A194" s="1169">
        <v>2022188</v>
      </c>
      <c r="B194" s="1169">
        <v>7655</v>
      </c>
      <c r="C194" s="1169" t="s">
        <v>648</v>
      </c>
      <c r="D194" s="1187" t="s">
        <v>1804</v>
      </c>
      <c r="E194" s="1188">
        <v>80111600</v>
      </c>
      <c r="F194" s="1195" t="s">
        <v>877</v>
      </c>
      <c r="G194" s="1190">
        <v>44566</v>
      </c>
      <c r="H194" s="1190">
        <v>44568</v>
      </c>
      <c r="I194" s="1201" t="s">
        <v>1805</v>
      </c>
      <c r="J194" s="1192" t="s">
        <v>1783</v>
      </c>
      <c r="K194" s="1173" t="s">
        <v>678</v>
      </c>
      <c r="L194" s="1175" t="s">
        <v>783</v>
      </c>
      <c r="M194" s="1193">
        <v>87975000</v>
      </c>
      <c r="N194" s="1194" t="s">
        <v>729</v>
      </c>
      <c r="O194" s="1203" t="s">
        <v>1784</v>
      </c>
    </row>
    <row r="195" spans="1:15" s="1156" customFormat="1" ht="60" x14ac:dyDescent="0.25">
      <c r="A195" s="1169">
        <v>2022189</v>
      </c>
      <c r="B195" s="1169">
        <v>7655</v>
      </c>
      <c r="C195" s="1169" t="s">
        <v>648</v>
      </c>
      <c r="D195" s="1187" t="s">
        <v>1804</v>
      </c>
      <c r="E195" s="1188">
        <v>80111600</v>
      </c>
      <c r="F195" s="1195" t="s">
        <v>877</v>
      </c>
      <c r="G195" s="1190">
        <v>44566</v>
      </c>
      <c r="H195" s="1190">
        <v>44568</v>
      </c>
      <c r="I195" s="1201" t="s">
        <v>1805</v>
      </c>
      <c r="J195" s="1192" t="s">
        <v>1783</v>
      </c>
      <c r="K195" s="1173" t="s">
        <v>678</v>
      </c>
      <c r="L195" s="1175" t="s">
        <v>783</v>
      </c>
      <c r="M195" s="1193">
        <v>87975000</v>
      </c>
      <c r="N195" s="1194" t="s">
        <v>729</v>
      </c>
      <c r="O195" s="1203" t="s">
        <v>1784</v>
      </c>
    </row>
    <row r="196" spans="1:15" s="1156" customFormat="1" ht="60" x14ac:dyDescent="0.25">
      <c r="A196" s="1169">
        <v>2022190</v>
      </c>
      <c r="B196" s="1169">
        <v>7655</v>
      </c>
      <c r="C196" s="1169" t="s">
        <v>648</v>
      </c>
      <c r="D196" s="1187" t="s">
        <v>1804</v>
      </c>
      <c r="E196" s="1188">
        <v>80111600</v>
      </c>
      <c r="F196" s="1195" t="s">
        <v>877</v>
      </c>
      <c r="G196" s="1190">
        <v>44566</v>
      </c>
      <c r="H196" s="1190">
        <v>44568</v>
      </c>
      <c r="I196" s="1201" t="s">
        <v>1805</v>
      </c>
      <c r="J196" s="1192" t="s">
        <v>1783</v>
      </c>
      <c r="K196" s="1173" t="s">
        <v>678</v>
      </c>
      <c r="L196" s="1175" t="s">
        <v>783</v>
      </c>
      <c r="M196" s="1193">
        <v>87975000</v>
      </c>
      <c r="N196" s="1194" t="s">
        <v>729</v>
      </c>
      <c r="O196" s="1203" t="s">
        <v>1784</v>
      </c>
    </row>
    <row r="197" spans="1:15" s="1156" customFormat="1" ht="60" x14ac:dyDescent="0.25">
      <c r="A197" s="1169">
        <v>2022191</v>
      </c>
      <c r="B197" s="1169">
        <v>7655</v>
      </c>
      <c r="C197" s="1169" t="s">
        <v>648</v>
      </c>
      <c r="D197" s="1187" t="s">
        <v>1804</v>
      </c>
      <c r="E197" s="1188">
        <v>80111600</v>
      </c>
      <c r="F197" s="1195" t="s">
        <v>877</v>
      </c>
      <c r="G197" s="1190">
        <v>44566</v>
      </c>
      <c r="H197" s="1190">
        <v>44568</v>
      </c>
      <c r="I197" s="1201" t="s">
        <v>1805</v>
      </c>
      <c r="J197" s="1192" t="s">
        <v>1783</v>
      </c>
      <c r="K197" s="1173" t="s">
        <v>678</v>
      </c>
      <c r="L197" s="1175" t="s">
        <v>783</v>
      </c>
      <c r="M197" s="1193">
        <v>87975000</v>
      </c>
      <c r="N197" s="1194" t="s">
        <v>729</v>
      </c>
      <c r="O197" s="1203" t="s">
        <v>1784</v>
      </c>
    </row>
    <row r="198" spans="1:15" s="1156" customFormat="1" ht="60" x14ac:dyDescent="0.25">
      <c r="A198" s="1169">
        <v>2022192</v>
      </c>
      <c r="B198" s="1169">
        <v>7655</v>
      </c>
      <c r="C198" s="1169" t="s">
        <v>648</v>
      </c>
      <c r="D198" s="1187" t="s">
        <v>1804</v>
      </c>
      <c r="E198" s="1188">
        <v>80111600</v>
      </c>
      <c r="F198" s="1195" t="s">
        <v>877</v>
      </c>
      <c r="G198" s="1190">
        <v>44566</v>
      </c>
      <c r="H198" s="1190">
        <v>44568</v>
      </c>
      <c r="I198" s="1201" t="s">
        <v>1805</v>
      </c>
      <c r="J198" s="1192" t="s">
        <v>1783</v>
      </c>
      <c r="K198" s="1173" t="s">
        <v>678</v>
      </c>
      <c r="L198" s="1175" t="s">
        <v>783</v>
      </c>
      <c r="M198" s="1193">
        <v>87975000</v>
      </c>
      <c r="N198" s="1194" t="s">
        <v>729</v>
      </c>
      <c r="O198" s="1203" t="s">
        <v>1784</v>
      </c>
    </row>
    <row r="199" spans="1:15" s="1156" customFormat="1" ht="60" x14ac:dyDescent="0.25">
      <c r="A199" s="1169">
        <v>2022193</v>
      </c>
      <c r="B199" s="1169">
        <v>7655</v>
      </c>
      <c r="C199" s="1169" t="s">
        <v>648</v>
      </c>
      <c r="D199" s="1187" t="s">
        <v>1804</v>
      </c>
      <c r="E199" s="1188">
        <v>80111600</v>
      </c>
      <c r="F199" s="1195" t="s">
        <v>877</v>
      </c>
      <c r="G199" s="1190">
        <v>44566</v>
      </c>
      <c r="H199" s="1190">
        <v>44568</v>
      </c>
      <c r="I199" s="1201" t="s">
        <v>1805</v>
      </c>
      <c r="J199" s="1192" t="s">
        <v>1783</v>
      </c>
      <c r="K199" s="1173" t="s">
        <v>678</v>
      </c>
      <c r="L199" s="1175" t="s">
        <v>783</v>
      </c>
      <c r="M199" s="1193">
        <v>87975000</v>
      </c>
      <c r="N199" s="1194" t="s">
        <v>729</v>
      </c>
      <c r="O199" s="1203" t="s">
        <v>1784</v>
      </c>
    </row>
    <row r="200" spans="1:15" s="1156" customFormat="1" ht="60" x14ac:dyDescent="0.25">
      <c r="A200" s="1169">
        <v>2022194</v>
      </c>
      <c r="B200" s="1169">
        <v>7655</v>
      </c>
      <c r="C200" s="1169" t="s">
        <v>648</v>
      </c>
      <c r="D200" s="1187" t="s">
        <v>1804</v>
      </c>
      <c r="E200" s="1188">
        <v>80111600</v>
      </c>
      <c r="F200" s="1195" t="s">
        <v>878</v>
      </c>
      <c r="G200" s="1190">
        <v>44566</v>
      </c>
      <c r="H200" s="1190">
        <v>44568</v>
      </c>
      <c r="I200" s="1201" t="s">
        <v>1805</v>
      </c>
      <c r="J200" s="1192" t="s">
        <v>1783</v>
      </c>
      <c r="K200" s="1173" t="s">
        <v>678</v>
      </c>
      <c r="L200" s="1175" t="s">
        <v>783</v>
      </c>
      <c r="M200" s="1193">
        <v>42642000</v>
      </c>
      <c r="N200" s="1194" t="s">
        <v>729</v>
      </c>
      <c r="O200" s="1203" t="s">
        <v>1784</v>
      </c>
    </row>
    <row r="201" spans="1:15" s="1156" customFormat="1" ht="60" x14ac:dyDescent="0.25">
      <c r="A201" s="1169">
        <v>2022195</v>
      </c>
      <c r="B201" s="1169">
        <v>7655</v>
      </c>
      <c r="C201" s="1169" t="s">
        <v>648</v>
      </c>
      <c r="D201" s="1187" t="s">
        <v>1804</v>
      </c>
      <c r="E201" s="1188">
        <v>80111600</v>
      </c>
      <c r="F201" s="1195" t="s">
        <v>878</v>
      </c>
      <c r="G201" s="1190">
        <v>44566</v>
      </c>
      <c r="H201" s="1190">
        <v>44568</v>
      </c>
      <c r="I201" s="1201" t="s">
        <v>1805</v>
      </c>
      <c r="J201" s="1192" t="s">
        <v>1783</v>
      </c>
      <c r="K201" s="1173" t="s">
        <v>678</v>
      </c>
      <c r="L201" s="1175" t="s">
        <v>783</v>
      </c>
      <c r="M201" s="1193">
        <v>42642000</v>
      </c>
      <c r="N201" s="1194" t="s">
        <v>729</v>
      </c>
      <c r="O201" s="1203" t="s">
        <v>1784</v>
      </c>
    </row>
    <row r="202" spans="1:15" s="1156" customFormat="1" ht="60" x14ac:dyDescent="0.25">
      <c r="A202" s="1169">
        <v>2022196</v>
      </c>
      <c r="B202" s="1169">
        <v>7655</v>
      </c>
      <c r="C202" s="1169" t="s">
        <v>648</v>
      </c>
      <c r="D202" s="1187" t="s">
        <v>1804</v>
      </c>
      <c r="E202" s="1188">
        <v>80111600</v>
      </c>
      <c r="F202" s="1195" t="s">
        <v>877</v>
      </c>
      <c r="G202" s="1190">
        <v>44566</v>
      </c>
      <c r="H202" s="1190">
        <v>44568</v>
      </c>
      <c r="I202" s="1201" t="s">
        <v>1806</v>
      </c>
      <c r="J202" s="1192" t="s">
        <v>1783</v>
      </c>
      <c r="K202" s="1173" t="s">
        <v>678</v>
      </c>
      <c r="L202" s="1175" t="s">
        <v>783</v>
      </c>
      <c r="M202" s="1193">
        <v>71103000</v>
      </c>
      <c r="N202" s="1194" t="s">
        <v>729</v>
      </c>
      <c r="O202" s="1203" t="s">
        <v>1784</v>
      </c>
    </row>
    <row r="203" spans="1:15" s="1156" customFormat="1" ht="60" x14ac:dyDescent="0.25">
      <c r="A203" s="1169">
        <v>2022197</v>
      </c>
      <c r="B203" s="1169">
        <v>7655</v>
      </c>
      <c r="C203" s="1169" t="s">
        <v>648</v>
      </c>
      <c r="D203" s="1187" t="s">
        <v>1804</v>
      </c>
      <c r="E203" s="1188">
        <v>80111600</v>
      </c>
      <c r="F203" s="1195" t="s">
        <v>879</v>
      </c>
      <c r="G203" s="1190">
        <v>44566</v>
      </c>
      <c r="H203" s="1190">
        <v>44568</v>
      </c>
      <c r="I203" s="1201" t="s">
        <v>1805</v>
      </c>
      <c r="J203" s="1192" t="s">
        <v>1783</v>
      </c>
      <c r="K203" s="1173" t="s">
        <v>678</v>
      </c>
      <c r="L203" s="1175" t="s">
        <v>783</v>
      </c>
      <c r="M203" s="1193">
        <v>61295000</v>
      </c>
      <c r="N203" s="1194" t="s">
        <v>729</v>
      </c>
      <c r="O203" s="1203" t="s">
        <v>1784</v>
      </c>
    </row>
    <row r="204" spans="1:15" s="1156" customFormat="1" ht="60" x14ac:dyDescent="0.25">
      <c r="A204" s="1169">
        <v>2022198</v>
      </c>
      <c r="B204" s="1169">
        <v>7655</v>
      </c>
      <c r="C204" s="1169" t="s">
        <v>648</v>
      </c>
      <c r="D204" s="1187" t="s">
        <v>1804</v>
      </c>
      <c r="E204" s="1188">
        <v>80111600</v>
      </c>
      <c r="F204" s="1195" t="s">
        <v>880</v>
      </c>
      <c r="G204" s="1190">
        <v>44566</v>
      </c>
      <c r="H204" s="1190">
        <v>44568</v>
      </c>
      <c r="I204" s="1201" t="s">
        <v>1805</v>
      </c>
      <c r="J204" s="1192" t="s">
        <v>1783</v>
      </c>
      <c r="K204" s="1173" t="s">
        <v>678</v>
      </c>
      <c r="L204" s="1175" t="s">
        <v>783</v>
      </c>
      <c r="M204" s="1193">
        <v>358041000</v>
      </c>
      <c r="N204" s="1194" t="s">
        <v>729</v>
      </c>
      <c r="O204" s="1203" t="s">
        <v>1784</v>
      </c>
    </row>
    <row r="205" spans="1:15" s="1156" customFormat="1" ht="60" x14ac:dyDescent="0.25">
      <c r="A205" s="1169">
        <v>2022199</v>
      </c>
      <c r="B205" s="1169">
        <v>7655</v>
      </c>
      <c r="C205" s="1169" t="s">
        <v>648</v>
      </c>
      <c r="D205" s="1187" t="s">
        <v>1804</v>
      </c>
      <c r="E205" s="1188">
        <v>80111600</v>
      </c>
      <c r="F205" s="1195" t="s">
        <v>881</v>
      </c>
      <c r="G205" s="1190">
        <v>44566</v>
      </c>
      <c r="H205" s="1190">
        <v>44568</v>
      </c>
      <c r="I205" s="1201" t="s">
        <v>1805</v>
      </c>
      <c r="J205" s="1192" t="s">
        <v>1783</v>
      </c>
      <c r="K205" s="1173" t="s">
        <v>678</v>
      </c>
      <c r="L205" s="1175" t="s">
        <v>679</v>
      </c>
      <c r="M205" s="1193">
        <v>38525000</v>
      </c>
      <c r="N205" s="1194" t="s">
        <v>729</v>
      </c>
      <c r="O205" s="1203" t="s">
        <v>1784</v>
      </c>
    </row>
    <row r="206" spans="1:15" s="1156" customFormat="1" ht="60" x14ac:dyDescent="0.25">
      <c r="A206" s="1169">
        <v>2022200</v>
      </c>
      <c r="B206" s="1169">
        <v>7655</v>
      </c>
      <c r="C206" s="1169" t="s">
        <v>648</v>
      </c>
      <c r="D206" s="1187" t="s">
        <v>1804</v>
      </c>
      <c r="E206" s="1188">
        <v>80111600</v>
      </c>
      <c r="F206" s="1195" t="s">
        <v>882</v>
      </c>
      <c r="G206" s="1190">
        <v>44566</v>
      </c>
      <c r="H206" s="1190">
        <v>44568</v>
      </c>
      <c r="I206" s="1201" t="s">
        <v>1805</v>
      </c>
      <c r="J206" s="1192" t="s">
        <v>1783</v>
      </c>
      <c r="K206" s="1173" t="s">
        <v>678</v>
      </c>
      <c r="L206" s="1175" t="s">
        <v>679</v>
      </c>
      <c r="M206" s="1193">
        <v>32200000</v>
      </c>
      <c r="N206" s="1194" t="s">
        <v>729</v>
      </c>
      <c r="O206" s="1203" t="s">
        <v>1784</v>
      </c>
    </row>
    <row r="207" spans="1:15" s="1156" customFormat="1" ht="60" x14ac:dyDescent="0.25">
      <c r="A207" s="1169">
        <v>2022201</v>
      </c>
      <c r="B207" s="1169">
        <v>7655</v>
      </c>
      <c r="C207" s="1169" t="s">
        <v>648</v>
      </c>
      <c r="D207" s="1187" t="s">
        <v>1804</v>
      </c>
      <c r="E207" s="1188">
        <v>80111600</v>
      </c>
      <c r="F207" s="1195" t="s">
        <v>882</v>
      </c>
      <c r="G207" s="1190">
        <v>44566</v>
      </c>
      <c r="H207" s="1190">
        <v>44568</v>
      </c>
      <c r="I207" s="1201" t="s">
        <v>1805</v>
      </c>
      <c r="J207" s="1192" t="s">
        <v>1783</v>
      </c>
      <c r="K207" s="1173" t="s">
        <v>678</v>
      </c>
      <c r="L207" s="1175" t="s">
        <v>679</v>
      </c>
      <c r="M207" s="1193">
        <v>32200000</v>
      </c>
      <c r="N207" s="1194" t="s">
        <v>729</v>
      </c>
      <c r="O207" s="1203" t="s">
        <v>1784</v>
      </c>
    </row>
    <row r="208" spans="1:15" s="1156" customFormat="1" ht="60" x14ac:dyDescent="0.25">
      <c r="A208" s="1169">
        <v>2022202</v>
      </c>
      <c r="B208" s="1169">
        <v>7655</v>
      </c>
      <c r="C208" s="1169" t="s">
        <v>648</v>
      </c>
      <c r="D208" s="1187" t="s">
        <v>1804</v>
      </c>
      <c r="E208" s="1188">
        <v>80111600</v>
      </c>
      <c r="F208" s="1195" t="s">
        <v>882</v>
      </c>
      <c r="G208" s="1190">
        <v>44566</v>
      </c>
      <c r="H208" s="1190">
        <v>44568</v>
      </c>
      <c r="I208" s="1201" t="s">
        <v>1805</v>
      </c>
      <c r="J208" s="1192" t="s">
        <v>1783</v>
      </c>
      <c r="K208" s="1173" t="s">
        <v>678</v>
      </c>
      <c r="L208" s="1175" t="s">
        <v>679</v>
      </c>
      <c r="M208" s="1193">
        <v>32200000</v>
      </c>
      <c r="N208" s="1194" t="s">
        <v>729</v>
      </c>
      <c r="O208" s="1203" t="s">
        <v>1784</v>
      </c>
    </row>
    <row r="209" spans="1:17" s="1156" customFormat="1" ht="60" x14ac:dyDescent="0.25">
      <c r="A209" s="1169">
        <v>2022203</v>
      </c>
      <c r="B209" s="1169">
        <v>7655</v>
      </c>
      <c r="C209" s="1169" t="s">
        <v>648</v>
      </c>
      <c r="D209" s="1187" t="s">
        <v>1804</v>
      </c>
      <c r="E209" s="1188">
        <v>80111600</v>
      </c>
      <c r="F209" s="1195" t="s">
        <v>882</v>
      </c>
      <c r="G209" s="1190">
        <v>44566</v>
      </c>
      <c r="H209" s="1190">
        <v>44568</v>
      </c>
      <c r="I209" s="1201" t="s">
        <v>1805</v>
      </c>
      <c r="J209" s="1192" t="s">
        <v>1783</v>
      </c>
      <c r="K209" s="1173" t="s">
        <v>678</v>
      </c>
      <c r="L209" s="1175" t="s">
        <v>679</v>
      </c>
      <c r="M209" s="1193">
        <v>37950000</v>
      </c>
      <c r="N209" s="1194" t="s">
        <v>729</v>
      </c>
      <c r="O209" s="1203" t="s">
        <v>1784</v>
      </c>
    </row>
    <row r="210" spans="1:17" s="1156" customFormat="1" ht="60" x14ac:dyDescent="0.25">
      <c r="A210" s="1169">
        <v>2022204</v>
      </c>
      <c r="B210" s="1169">
        <v>7655</v>
      </c>
      <c r="C210" s="1169" t="s">
        <v>648</v>
      </c>
      <c r="D210" s="1187" t="s">
        <v>1804</v>
      </c>
      <c r="E210" s="1188">
        <v>80111600</v>
      </c>
      <c r="F210" s="1195" t="s">
        <v>883</v>
      </c>
      <c r="G210" s="1190">
        <v>44566</v>
      </c>
      <c r="H210" s="1190">
        <v>44568</v>
      </c>
      <c r="I210" s="1201" t="s">
        <v>1805</v>
      </c>
      <c r="J210" s="1192" t="s">
        <v>1783</v>
      </c>
      <c r="K210" s="1173" t="s">
        <v>678</v>
      </c>
      <c r="L210" s="1175" t="s">
        <v>679</v>
      </c>
      <c r="M210" s="1193">
        <v>52900000</v>
      </c>
      <c r="N210" s="1194" t="s">
        <v>729</v>
      </c>
      <c r="O210" s="1203" t="s">
        <v>1784</v>
      </c>
    </row>
    <row r="211" spans="1:17" s="1156" customFormat="1" ht="60" x14ac:dyDescent="0.25">
      <c r="A211" s="1169">
        <v>2022205</v>
      </c>
      <c r="B211" s="1169">
        <v>7655</v>
      </c>
      <c r="C211" s="1169" t="s">
        <v>648</v>
      </c>
      <c r="D211" s="1187" t="s">
        <v>1804</v>
      </c>
      <c r="E211" s="1188">
        <v>80111600</v>
      </c>
      <c r="F211" s="1195" t="s">
        <v>884</v>
      </c>
      <c r="G211" s="1190">
        <v>44566</v>
      </c>
      <c r="H211" s="1190">
        <v>44568</v>
      </c>
      <c r="I211" s="1201" t="s">
        <v>1785</v>
      </c>
      <c r="J211" s="1192" t="s">
        <v>1783</v>
      </c>
      <c r="K211" s="1173" t="s">
        <v>678</v>
      </c>
      <c r="L211" s="1175" t="s">
        <v>679</v>
      </c>
      <c r="M211" s="1193">
        <v>37080000</v>
      </c>
      <c r="N211" s="1194" t="s">
        <v>729</v>
      </c>
      <c r="O211" s="1203" t="s">
        <v>1784</v>
      </c>
    </row>
    <row r="212" spans="1:17" s="1156" customFormat="1" ht="60" x14ac:dyDescent="0.25">
      <c r="A212" s="1169">
        <v>2022206</v>
      </c>
      <c r="B212" s="1169">
        <v>7655</v>
      </c>
      <c r="C212" s="1169" t="s">
        <v>648</v>
      </c>
      <c r="D212" s="1187" t="s">
        <v>1804</v>
      </c>
      <c r="E212" s="1169">
        <v>80111600</v>
      </c>
      <c r="F212" s="1189" t="s">
        <v>885</v>
      </c>
      <c r="G212" s="1190">
        <v>44566</v>
      </c>
      <c r="H212" s="1190">
        <v>44568</v>
      </c>
      <c r="I212" s="1201" t="s">
        <v>1785</v>
      </c>
      <c r="J212" s="1192" t="s">
        <v>1783</v>
      </c>
      <c r="K212" s="1173" t="s">
        <v>678</v>
      </c>
      <c r="L212" s="1175" t="s">
        <v>679</v>
      </c>
      <c r="M212" s="1176">
        <v>16800000</v>
      </c>
      <c r="N212" s="1194" t="s">
        <v>729</v>
      </c>
      <c r="O212" s="1203" t="s">
        <v>1784</v>
      </c>
    </row>
    <row r="213" spans="1:17" s="1156" customFormat="1" ht="60" x14ac:dyDescent="0.25">
      <c r="A213" s="1169">
        <v>2022207</v>
      </c>
      <c r="B213" s="1169">
        <v>7655</v>
      </c>
      <c r="C213" s="1169" t="s">
        <v>648</v>
      </c>
      <c r="D213" s="1187" t="s">
        <v>1804</v>
      </c>
      <c r="E213" s="1169">
        <v>80111600</v>
      </c>
      <c r="F213" s="1189" t="s">
        <v>886</v>
      </c>
      <c r="G213" s="1190">
        <v>44566</v>
      </c>
      <c r="H213" s="1190">
        <v>44568</v>
      </c>
      <c r="I213" s="1201" t="s">
        <v>1807</v>
      </c>
      <c r="J213" s="1192" t="s">
        <v>1783</v>
      </c>
      <c r="K213" s="1173" t="s">
        <v>678</v>
      </c>
      <c r="L213" s="1175" t="s">
        <v>679</v>
      </c>
      <c r="M213" s="1176">
        <v>17500000</v>
      </c>
      <c r="N213" s="1194" t="s">
        <v>729</v>
      </c>
      <c r="O213" s="1203" t="s">
        <v>1784</v>
      </c>
    </row>
    <row r="214" spans="1:17" s="1156" customFormat="1" ht="60" x14ac:dyDescent="0.25">
      <c r="A214" s="1169">
        <v>2022208</v>
      </c>
      <c r="B214" s="1169">
        <v>7655</v>
      </c>
      <c r="C214" s="1169" t="s">
        <v>648</v>
      </c>
      <c r="D214" s="1187" t="s">
        <v>674</v>
      </c>
      <c r="E214" s="1188">
        <v>80111600</v>
      </c>
      <c r="F214" s="1189" t="s">
        <v>887</v>
      </c>
      <c r="G214" s="1190" t="s">
        <v>1743</v>
      </c>
      <c r="H214" s="1209" t="s">
        <v>1743</v>
      </c>
      <c r="I214" s="1212" t="s">
        <v>1808</v>
      </c>
      <c r="J214" s="1192" t="s">
        <v>1783</v>
      </c>
      <c r="K214" s="1173" t="s">
        <v>678</v>
      </c>
      <c r="L214" s="1216" t="s">
        <v>679</v>
      </c>
      <c r="M214" s="1193">
        <v>106950000</v>
      </c>
      <c r="N214" s="1194" t="s">
        <v>729</v>
      </c>
      <c r="O214" s="1203" t="s">
        <v>1784</v>
      </c>
    </row>
    <row r="215" spans="1:17" s="1156" customFormat="1" ht="60" x14ac:dyDescent="0.25">
      <c r="A215" s="1169">
        <v>2022209</v>
      </c>
      <c r="B215" s="1169">
        <v>7655</v>
      </c>
      <c r="C215" s="1169" t="s">
        <v>648</v>
      </c>
      <c r="D215" s="1187" t="s">
        <v>674</v>
      </c>
      <c r="E215" s="1188">
        <v>80111600</v>
      </c>
      <c r="F215" s="1172" t="s">
        <v>888</v>
      </c>
      <c r="G215" s="1190" t="s">
        <v>1743</v>
      </c>
      <c r="H215" s="1209" t="s">
        <v>1743</v>
      </c>
      <c r="I215" s="1212" t="s">
        <v>1808</v>
      </c>
      <c r="J215" s="1192" t="s">
        <v>1783</v>
      </c>
      <c r="K215" s="1173" t="s">
        <v>678</v>
      </c>
      <c r="L215" s="1216" t="s">
        <v>679</v>
      </c>
      <c r="M215" s="1193">
        <v>97750000</v>
      </c>
      <c r="N215" s="1194" t="s">
        <v>729</v>
      </c>
      <c r="O215" s="1203" t="s">
        <v>1784</v>
      </c>
    </row>
    <row r="216" spans="1:17" s="1156" customFormat="1" ht="60" x14ac:dyDescent="0.25">
      <c r="A216" s="1169">
        <v>2022210</v>
      </c>
      <c r="B216" s="1169">
        <v>7655</v>
      </c>
      <c r="C216" s="1169" t="s">
        <v>648</v>
      </c>
      <c r="D216" s="1187" t="s">
        <v>674</v>
      </c>
      <c r="E216" s="1188">
        <v>80111600</v>
      </c>
      <c r="F216" s="1189" t="s">
        <v>889</v>
      </c>
      <c r="G216" s="1190" t="s">
        <v>1743</v>
      </c>
      <c r="H216" s="1209" t="s">
        <v>1743</v>
      </c>
      <c r="I216" s="1212" t="s">
        <v>1808</v>
      </c>
      <c r="J216" s="1192" t="s">
        <v>1783</v>
      </c>
      <c r="K216" s="1173" t="s">
        <v>678</v>
      </c>
      <c r="L216" s="1216" t="s">
        <v>679</v>
      </c>
      <c r="M216" s="1193">
        <v>92000000</v>
      </c>
      <c r="N216" s="1194" t="s">
        <v>729</v>
      </c>
      <c r="O216" s="1203" t="s">
        <v>1784</v>
      </c>
    </row>
    <row r="217" spans="1:17" s="1156" customFormat="1" ht="60" x14ac:dyDescent="0.25">
      <c r="A217" s="1169">
        <v>2022211</v>
      </c>
      <c r="B217" s="1169">
        <v>7655</v>
      </c>
      <c r="C217" s="1169" t="s">
        <v>648</v>
      </c>
      <c r="D217" s="1187" t="s">
        <v>674</v>
      </c>
      <c r="E217" s="1188">
        <v>80111600</v>
      </c>
      <c r="F217" s="1189" t="s">
        <v>890</v>
      </c>
      <c r="G217" s="1190" t="s">
        <v>1743</v>
      </c>
      <c r="H217" s="1209" t="s">
        <v>1743</v>
      </c>
      <c r="I217" s="1212" t="s">
        <v>1808</v>
      </c>
      <c r="J217" s="1192" t="s">
        <v>1783</v>
      </c>
      <c r="K217" s="1173" t="s">
        <v>678</v>
      </c>
      <c r="L217" s="1216" t="s">
        <v>679</v>
      </c>
      <c r="M217" s="1193">
        <v>80500000</v>
      </c>
      <c r="N217" s="1194" t="s">
        <v>729</v>
      </c>
      <c r="O217" s="1203" t="s">
        <v>1784</v>
      </c>
    </row>
    <row r="218" spans="1:17" s="1156" customFormat="1" ht="60" x14ac:dyDescent="0.25">
      <c r="A218" s="1169">
        <v>2022212</v>
      </c>
      <c r="B218" s="1169">
        <v>7655</v>
      </c>
      <c r="C218" s="1169" t="s">
        <v>648</v>
      </c>
      <c r="D218" s="1187" t="s">
        <v>674</v>
      </c>
      <c r="E218" s="1188">
        <v>80111600</v>
      </c>
      <c r="F218" s="1189" t="s">
        <v>891</v>
      </c>
      <c r="G218" s="1190" t="s">
        <v>1743</v>
      </c>
      <c r="H218" s="1209" t="s">
        <v>1743</v>
      </c>
      <c r="I218" s="1212" t="s">
        <v>1808</v>
      </c>
      <c r="J218" s="1192" t="s">
        <v>1783</v>
      </c>
      <c r="K218" s="1173" t="s">
        <v>678</v>
      </c>
      <c r="L218" s="1216" t="s">
        <v>783</v>
      </c>
      <c r="M218" s="1193">
        <v>92000000</v>
      </c>
      <c r="N218" s="1194" t="s">
        <v>729</v>
      </c>
      <c r="O218" s="1203" t="s">
        <v>1784</v>
      </c>
    </row>
    <row r="219" spans="1:17" s="1156" customFormat="1" ht="60" x14ac:dyDescent="0.25">
      <c r="A219" s="1169">
        <v>2022213</v>
      </c>
      <c r="B219" s="1169">
        <v>7655</v>
      </c>
      <c r="C219" s="1169" t="s">
        <v>648</v>
      </c>
      <c r="D219" s="1187" t="s">
        <v>674</v>
      </c>
      <c r="E219" s="1188">
        <v>80111600</v>
      </c>
      <c r="F219" s="1189" t="s">
        <v>892</v>
      </c>
      <c r="G219" s="1190" t="s">
        <v>1743</v>
      </c>
      <c r="H219" s="1209" t="s">
        <v>1743</v>
      </c>
      <c r="I219" s="1212" t="s">
        <v>1808</v>
      </c>
      <c r="J219" s="1192" t="s">
        <v>1783</v>
      </c>
      <c r="K219" s="1173" t="s">
        <v>678</v>
      </c>
      <c r="L219" s="1216" t="s">
        <v>783</v>
      </c>
      <c r="M219" s="1193">
        <v>51750000</v>
      </c>
      <c r="N219" s="1194" t="s">
        <v>729</v>
      </c>
      <c r="O219" s="1203" t="s">
        <v>1784</v>
      </c>
    </row>
    <row r="220" spans="1:17" s="1156" customFormat="1" ht="60" x14ac:dyDescent="0.25">
      <c r="A220" s="1169">
        <v>2022214</v>
      </c>
      <c r="B220" s="1169">
        <v>7655</v>
      </c>
      <c r="C220" s="1169" t="s">
        <v>648</v>
      </c>
      <c r="D220" s="1187" t="s">
        <v>674</v>
      </c>
      <c r="E220" s="1188">
        <v>80111600</v>
      </c>
      <c r="F220" s="1189" t="s">
        <v>893</v>
      </c>
      <c r="G220" s="1190" t="s">
        <v>1743</v>
      </c>
      <c r="H220" s="1209" t="s">
        <v>1743</v>
      </c>
      <c r="I220" s="1212" t="s">
        <v>1809</v>
      </c>
      <c r="J220" s="1192" t="s">
        <v>1783</v>
      </c>
      <c r="K220" s="1173" t="s">
        <v>678</v>
      </c>
      <c r="L220" s="1216" t="s">
        <v>679</v>
      </c>
      <c r="M220" s="1193">
        <f>4500000*10.6666666</f>
        <v>47999999.699999996</v>
      </c>
      <c r="N220" s="1194" t="s">
        <v>729</v>
      </c>
      <c r="O220" s="1203" t="s">
        <v>1784</v>
      </c>
      <c r="Q220" s="1217">
        <f>80500000-M220</f>
        <v>32500000.300000004</v>
      </c>
    </row>
    <row r="221" spans="1:17" s="1156" customFormat="1" ht="60" x14ac:dyDescent="0.25">
      <c r="A221" s="1169">
        <v>2022215</v>
      </c>
      <c r="B221" s="1169">
        <v>7655</v>
      </c>
      <c r="C221" s="1169" t="s">
        <v>648</v>
      </c>
      <c r="D221" s="1187" t="s">
        <v>674</v>
      </c>
      <c r="E221" s="1188">
        <v>80111600</v>
      </c>
      <c r="F221" s="1189" t="s">
        <v>894</v>
      </c>
      <c r="G221" s="1190" t="s">
        <v>1743</v>
      </c>
      <c r="H221" s="1209" t="s">
        <v>1743</v>
      </c>
      <c r="I221" s="1212" t="s">
        <v>1808</v>
      </c>
      <c r="J221" s="1192" t="s">
        <v>1783</v>
      </c>
      <c r="K221" s="1173" t="s">
        <v>678</v>
      </c>
      <c r="L221" s="1216" t="s">
        <v>679</v>
      </c>
      <c r="M221" s="1193">
        <v>57500000</v>
      </c>
      <c r="N221" s="1194" t="s">
        <v>729</v>
      </c>
      <c r="O221" s="1203" t="s">
        <v>1784</v>
      </c>
      <c r="Q221" s="1165"/>
    </row>
    <row r="222" spans="1:17" s="1156" customFormat="1" ht="75" x14ac:dyDescent="0.25">
      <c r="A222" s="1169">
        <v>2022216</v>
      </c>
      <c r="B222" s="1169">
        <v>7655</v>
      </c>
      <c r="C222" s="1169" t="s">
        <v>648</v>
      </c>
      <c r="D222" s="1187" t="s">
        <v>674</v>
      </c>
      <c r="E222" s="1188">
        <v>80111600</v>
      </c>
      <c r="F222" s="1189" t="s">
        <v>895</v>
      </c>
      <c r="G222" s="1190" t="s">
        <v>1743</v>
      </c>
      <c r="H222" s="1209" t="s">
        <v>1743</v>
      </c>
      <c r="I222" s="1212" t="s">
        <v>1808</v>
      </c>
      <c r="J222" s="1192" t="s">
        <v>1783</v>
      </c>
      <c r="K222" s="1173" t="s">
        <v>678</v>
      </c>
      <c r="L222" s="1216" t="s">
        <v>679</v>
      </c>
      <c r="M222" s="1193">
        <v>80500000</v>
      </c>
      <c r="N222" s="1194" t="s">
        <v>729</v>
      </c>
      <c r="O222" s="1203" t="s">
        <v>1784</v>
      </c>
    </row>
    <row r="223" spans="1:17" s="1156" customFormat="1" ht="60" x14ac:dyDescent="0.25">
      <c r="A223" s="1169">
        <v>2022217</v>
      </c>
      <c r="B223" s="1169">
        <v>7655</v>
      </c>
      <c r="C223" s="1169" t="s">
        <v>648</v>
      </c>
      <c r="D223" s="1187" t="s">
        <v>674</v>
      </c>
      <c r="E223" s="1188">
        <v>80111600</v>
      </c>
      <c r="F223" s="1189" t="s">
        <v>896</v>
      </c>
      <c r="G223" s="1190" t="s">
        <v>1743</v>
      </c>
      <c r="H223" s="1209" t="s">
        <v>1743</v>
      </c>
      <c r="I223" s="1212" t="s">
        <v>1808</v>
      </c>
      <c r="J223" s="1192" t="s">
        <v>1783</v>
      </c>
      <c r="K223" s="1173" t="s">
        <v>678</v>
      </c>
      <c r="L223" s="1216" t="s">
        <v>679</v>
      </c>
      <c r="M223" s="1193">
        <v>57500000</v>
      </c>
      <c r="N223" s="1194" t="s">
        <v>729</v>
      </c>
      <c r="O223" s="1203" t="s">
        <v>1784</v>
      </c>
    </row>
    <row r="224" spans="1:17" s="1156" customFormat="1" ht="75" x14ac:dyDescent="0.25">
      <c r="A224" s="1169">
        <v>2022218</v>
      </c>
      <c r="B224" s="1169">
        <v>7655</v>
      </c>
      <c r="C224" s="1169" t="s">
        <v>648</v>
      </c>
      <c r="D224" s="1187" t="s">
        <v>674</v>
      </c>
      <c r="E224" s="1188">
        <v>80111600</v>
      </c>
      <c r="F224" s="1189" t="s">
        <v>897</v>
      </c>
      <c r="G224" s="1190" t="s">
        <v>1743</v>
      </c>
      <c r="H224" s="1209" t="s">
        <v>1743</v>
      </c>
      <c r="I224" s="1212" t="s">
        <v>1808</v>
      </c>
      <c r="J224" s="1192" t="s">
        <v>1783</v>
      </c>
      <c r="K224" s="1173" t="s">
        <v>678</v>
      </c>
      <c r="L224" s="1216" t="s">
        <v>679</v>
      </c>
      <c r="M224" s="1193">
        <v>57500000</v>
      </c>
      <c r="N224" s="1194" t="s">
        <v>729</v>
      </c>
      <c r="O224" s="1203" t="s">
        <v>1784</v>
      </c>
    </row>
    <row r="225" spans="1:17" s="1156" customFormat="1" ht="60" x14ac:dyDescent="0.25">
      <c r="A225" s="1169">
        <v>2022219</v>
      </c>
      <c r="B225" s="1169">
        <v>7655</v>
      </c>
      <c r="C225" s="1169" t="s">
        <v>648</v>
      </c>
      <c r="D225" s="1187" t="s">
        <v>674</v>
      </c>
      <c r="E225" s="1188">
        <v>80111600</v>
      </c>
      <c r="F225" s="1189" t="s">
        <v>898</v>
      </c>
      <c r="G225" s="1190" t="s">
        <v>1743</v>
      </c>
      <c r="H225" s="1209" t="s">
        <v>1743</v>
      </c>
      <c r="I225" s="1212" t="s">
        <v>1808</v>
      </c>
      <c r="J225" s="1192" t="s">
        <v>1783</v>
      </c>
      <c r="K225" s="1173" t="s">
        <v>678</v>
      </c>
      <c r="L225" s="1216" t="s">
        <v>679</v>
      </c>
      <c r="M225" s="1193">
        <v>57500000</v>
      </c>
      <c r="N225" s="1194" t="s">
        <v>729</v>
      </c>
      <c r="O225" s="1203" t="s">
        <v>1784</v>
      </c>
    </row>
    <row r="226" spans="1:17" s="1156" customFormat="1" ht="60" x14ac:dyDescent="0.25">
      <c r="A226" s="1169">
        <v>2022220</v>
      </c>
      <c r="B226" s="1169">
        <v>7655</v>
      </c>
      <c r="C226" s="1169" t="s">
        <v>648</v>
      </c>
      <c r="D226" s="1187" t="s">
        <v>674</v>
      </c>
      <c r="E226" s="1188">
        <v>80111600</v>
      </c>
      <c r="F226" s="1189" t="s">
        <v>899</v>
      </c>
      <c r="G226" s="1190" t="s">
        <v>1743</v>
      </c>
      <c r="H226" s="1209" t="s">
        <v>1743</v>
      </c>
      <c r="I226" s="1212" t="s">
        <v>1791</v>
      </c>
      <c r="J226" s="1192" t="s">
        <v>1783</v>
      </c>
      <c r="K226" s="1173" t="s">
        <v>678</v>
      </c>
      <c r="L226" s="1216" t="s">
        <v>679</v>
      </c>
      <c r="M226" s="1193">
        <f>10*4500000</f>
        <v>45000000</v>
      </c>
      <c r="N226" s="1194" t="s">
        <v>729</v>
      </c>
      <c r="O226" s="1203" t="s">
        <v>1784</v>
      </c>
      <c r="Q226" s="1165">
        <f>57500000-M226</f>
        <v>12500000</v>
      </c>
    </row>
    <row r="227" spans="1:17" s="1156" customFormat="1" ht="60" x14ac:dyDescent="0.25">
      <c r="A227" s="1169">
        <v>2022221</v>
      </c>
      <c r="B227" s="1169">
        <v>7655</v>
      </c>
      <c r="C227" s="1169" t="s">
        <v>648</v>
      </c>
      <c r="D227" s="1187" t="s">
        <v>674</v>
      </c>
      <c r="E227" s="1188">
        <v>80111600</v>
      </c>
      <c r="F227" s="1189" t="s">
        <v>900</v>
      </c>
      <c r="G227" s="1190" t="s">
        <v>1743</v>
      </c>
      <c r="H227" s="1209" t="s">
        <v>1743</v>
      </c>
      <c r="I227" s="1212" t="s">
        <v>1808</v>
      </c>
      <c r="J227" s="1192" t="s">
        <v>1783</v>
      </c>
      <c r="K227" s="1173" t="s">
        <v>678</v>
      </c>
      <c r="L227" s="1216" t="s">
        <v>679</v>
      </c>
      <c r="M227" s="1193">
        <v>57500000</v>
      </c>
      <c r="N227" s="1194" t="s">
        <v>729</v>
      </c>
      <c r="O227" s="1203" t="s">
        <v>1784</v>
      </c>
    </row>
    <row r="228" spans="1:17" s="1156" customFormat="1" ht="60" x14ac:dyDescent="0.25">
      <c r="A228" s="1169">
        <v>2022222</v>
      </c>
      <c r="B228" s="1169">
        <v>7655</v>
      </c>
      <c r="C228" s="1169" t="s">
        <v>648</v>
      </c>
      <c r="D228" s="1187" t="s">
        <v>674</v>
      </c>
      <c r="E228" s="1188">
        <v>80111600</v>
      </c>
      <c r="F228" s="1189" t="s">
        <v>901</v>
      </c>
      <c r="G228" s="1190" t="s">
        <v>1743</v>
      </c>
      <c r="H228" s="1209" t="s">
        <v>1743</v>
      </c>
      <c r="I228" s="1212" t="s">
        <v>1808</v>
      </c>
      <c r="J228" s="1192" t="s">
        <v>1783</v>
      </c>
      <c r="K228" s="1173" t="s">
        <v>678</v>
      </c>
      <c r="L228" s="1216" t="s">
        <v>679</v>
      </c>
      <c r="M228" s="1193">
        <v>57500000</v>
      </c>
      <c r="N228" s="1194" t="s">
        <v>729</v>
      </c>
      <c r="O228" s="1203" t="s">
        <v>1784</v>
      </c>
    </row>
    <row r="229" spans="1:17" s="1156" customFormat="1" ht="60" x14ac:dyDescent="0.25">
      <c r="A229" s="1169">
        <v>2022223</v>
      </c>
      <c r="B229" s="1169">
        <v>7655</v>
      </c>
      <c r="C229" s="1169" t="s">
        <v>648</v>
      </c>
      <c r="D229" s="1187" t="s">
        <v>674</v>
      </c>
      <c r="E229" s="1188">
        <v>80111600</v>
      </c>
      <c r="F229" s="1189" t="s">
        <v>902</v>
      </c>
      <c r="G229" s="1190" t="s">
        <v>1743</v>
      </c>
      <c r="H229" s="1209" t="s">
        <v>1743</v>
      </c>
      <c r="I229" s="1212" t="s">
        <v>1808</v>
      </c>
      <c r="J229" s="1192" t="s">
        <v>1783</v>
      </c>
      <c r="K229" s="1173" t="s">
        <v>678</v>
      </c>
      <c r="L229" s="1216" t="s">
        <v>679</v>
      </c>
      <c r="M229" s="1193">
        <v>72450000</v>
      </c>
      <c r="N229" s="1194" t="s">
        <v>729</v>
      </c>
      <c r="O229" s="1203" t="s">
        <v>1784</v>
      </c>
    </row>
    <row r="230" spans="1:17" s="1156" customFormat="1" ht="60" x14ac:dyDescent="0.25">
      <c r="A230" s="1169">
        <v>2022224</v>
      </c>
      <c r="B230" s="1169">
        <v>7655</v>
      </c>
      <c r="C230" s="1169" t="s">
        <v>648</v>
      </c>
      <c r="D230" s="1187" t="s">
        <v>674</v>
      </c>
      <c r="E230" s="1188">
        <v>80111600</v>
      </c>
      <c r="F230" s="1189" t="s">
        <v>903</v>
      </c>
      <c r="G230" s="1190" t="s">
        <v>1743</v>
      </c>
      <c r="H230" s="1209" t="s">
        <v>1743</v>
      </c>
      <c r="I230" s="1212" t="s">
        <v>1808</v>
      </c>
      <c r="J230" s="1192" t="s">
        <v>1783</v>
      </c>
      <c r="K230" s="1173" t="s">
        <v>678</v>
      </c>
      <c r="L230" s="1216" t="s">
        <v>679</v>
      </c>
      <c r="M230" s="1176">
        <v>59800000</v>
      </c>
      <c r="N230" s="1194" t="s">
        <v>729</v>
      </c>
      <c r="O230" s="1203" t="s">
        <v>1784</v>
      </c>
    </row>
    <row r="231" spans="1:17" s="1156" customFormat="1" ht="60" x14ac:dyDescent="0.25">
      <c r="A231" s="1169">
        <v>2022225</v>
      </c>
      <c r="B231" s="1169">
        <v>7655</v>
      </c>
      <c r="C231" s="1169" t="s">
        <v>648</v>
      </c>
      <c r="D231" s="1187" t="s">
        <v>674</v>
      </c>
      <c r="E231" s="1188">
        <v>80111600</v>
      </c>
      <c r="F231" s="1189" t="s">
        <v>904</v>
      </c>
      <c r="G231" s="1190" t="s">
        <v>1743</v>
      </c>
      <c r="H231" s="1209" t="s">
        <v>1743</v>
      </c>
      <c r="I231" s="1212" t="s">
        <v>1810</v>
      </c>
      <c r="J231" s="1192" t="s">
        <v>1783</v>
      </c>
      <c r="K231" s="1173" t="s">
        <v>678</v>
      </c>
      <c r="L231" s="1216" t="s">
        <v>679</v>
      </c>
      <c r="M231" s="1176">
        <v>57000000</v>
      </c>
      <c r="N231" s="1194" t="s">
        <v>729</v>
      </c>
      <c r="O231" s="1203" t="s">
        <v>1784</v>
      </c>
    </row>
    <row r="232" spans="1:17" s="1156" customFormat="1" ht="60" x14ac:dyDescent="0.25">
      <c r="A232" s="1169">
        <v>2022226</v>
      </c>
      <c r="B232" s="1169">
        <v>7655</v>
      </c>
      <c r="C232" s="1169" t="s">
        <v>648</v>
      </c>
      <c r="D232" s="1187" t="s">
        <v>674</v>
      </c>
      <c r="E232" s="1188">
        <v>80111600</v>
      </c>
      <c r="F232" s="1194" t="s">
        <v>1811</v>
      </c>
      <c r="G232" s="1218"/>
      <c r="H232" s="1218"/>
      <c r="I232" s="1175"/>
      <c r="J232" s="1192" t="s">
        <v>1783</v>
      </c>
      <c r="K232" s="1173" t="s">
        <v>678</v>
      </c>
      <c r="L232" s="1216" t="s">
        <v>679</v>
      </c>
      <c r="M232" s="1219">
        <v>13800000</v>
      </c>
      <c r="N232" s="1194" t="s">
        <v>729</v>
      </c>
      <c r="O232" s="1203" t="s">
        <v>1784</v>
      </c>
    </row>
    <row r="233" spans="1:17" s="1156" customFormat="1" ht="60" x14ac:dyDescent="0.25">
      <c r="A233" s="1169">
        <v>2022227</v>
      </c>
      <c r="B233" s="1169">
        <v>7655</v>
      </c>
      <c r="C233" s="1169" t="s">
        <v>648</v>
      </c>
      <c r="D233" s="1187" t="s">
        <v>649</v>
      </c>
      <c r="E233" s="1188">
        <v>80111600</v>
      </c>
      <c r="F233" s="1220" t="s">
        <v>905</v>
      </c>
      <c r="G233" s="1221" t="s">
        <v>1743</v>
      </c>
      <c r="H233" s="1201" t="s">
        <v>1743</v>
      </c>
      <c r="I233" s="1222" t="s">
        <v>1812</v>
      </c>
      <c r="J233" s="1192" t="s">
        <v>1783</v>
      </c>
      <c r="K233" s="1173" t="s">
        <v>678</v>
      </c>
      <c r="L233" s="1216" t="s">
        <v>679</v>
      </c>
      <c r="M233" s="1193">
        <v>29920000</v>
      </c>
      <c r="N233" s="1194" t="s">
        <v>729</v>
      </c>
      <c r="O233" s="1203" t="s">
        <v>1784</v>
      </c>
    </row>
    <row r="234" spans="1:17" s="1156" customFormat="1" ht="60" x14ac:dyDescent="0.25">
      <c r="A234" s="1169">
        <v>2022228</v>
      </c>
      <c r="B234" s="1169">
        <v>7655</v>
      </c>
      <c r="C234" s="1169" t="s">
        <v>648</v>
      </c>
      <c r="D234" s="1187" t="s">
        <v>649</v>
      </c>
      <c r="E234" s="1188">
        <v>80111600</v>
      </c>
      <c r="F234" s="1220" t="s">
        <v>906</v>
      </c>
      <c r="G234" s="1221" t="s">
        <v>1743</v>
      </c>
      <c r="H234" s="1201" t="s">
        <v>1743</v>
      </c>
      <c r="I234" s="1222" t="s">
        <v>1812</v>
      </c>
      <c r="J234" s="1192" t="s">
        <v>1783</v>
      </c>
      <c r="K234" s="1173" t="s">
        <v>678</v>
      </c>
      <c r="L234" s="1216" t="s">
        <v>679</v>
      </c>
      <c r="M234" s="1193">
        <v>30800000</v>
      </c>
      <c r="N234" s="1194" t="s">
        <v>729</v>
      </c>
      <c r="O234" s="1203" t="s">
        <v>1784</v>
      </c>
    </row>
    <row r="235" spans="1:17" s="1156" customFormat="1" ht="60" x14ac:dyDescent="0.25">
      <c r="A235" s="1169">
        <v>2022229</v>
      </c>
      <c r="B235" s="1169">
        <v>7655</v>
      </c>
      <c r="C235" s="1169" t="s">
        <v>648</v>
      </c>
      <c r="D235" s="1187" t="s">
        <v>649</v>
      </c>
      <c r="E235" s="1188">
        <v>80111600</v>
      </c>
      <c r="F235" s="1220" t="s">
        <v>907</v>
      </c>
      <c r="G235" s="1221" t="s">
        <v>1743</v>
      </c>
      <c r="H235" s="1201" t="s">
        <v>1743</v>
      </c>
      <c r="I235" s="1222" t="s">
        <v>1812</v>
      </c>
      <c r="J235" s="1192" t="s">
        <v>1783</v>
      </c>
      <c r="K235" s="1173" t="s">
        <v>678</v>
      </c>
      <c r="L235" s="1216" t="s">
        <v>679</v>
      </c>
      <c r="M235" s="1193">
        <v>78320000</v>
      </c>
      <c r="N235" s="1194" t="s">
        <v>729</v>
      </c>
      <c r="O235" s="1203" t="s">
        <v>1784</v>
      </c>
    </row>
    <row r="236" spans="1:17" s="1156" customFormat="1" ht="60" x14ac:dyDescent="0.25">
      <c r="A236" s="1169">
        <v>2022230</v>
      </c>
      <c r="B236" s="1169">
        <v>7655</v>
      </c>
      <c r="C236" s="1169" t="s">
        <v>648</v>
      </c>
      <c r="D236" s="1187" t="s">
        <v>649</v>
      </c>
      <c r="E236" s="1188">
        <v>80111600</v>
      </c>
      <c r="F236" s="1220" t="s">
        <v>908</v>
      </c>
      <c r="G236" s="1221" t="s">
        <v>1743</v>
      </c>
      <c r="H236" s="1201" t="s">
        <v>1743</v>
      </c>
      <c r="I236" s="1222" t="s">
        <v>1812</v>
      </c>
      <c r="J236" s="1192" t="s">
        <v>1783</v>
      </c>
      <c r="K236" s="1173" t="s">
        <v>678</v>
      </c>
      <c r="L236" s="1216" t="s">
        <v>679</v>
      </c>
      <c r="M236" s="1193">
        <v>102520000</v>
      </c>
      <c r="N236" s="1194" t="s">
        <v>729</v>
      </c>
      <c r="O236" s="1203" t="s">
        <v>1784</v>
      </c>
    </row>
    <row r="237" spans="1:17" s="1156" customFormat="1" ht="75" x14ac:dyDescent="0.25">
      <c r="A237" s="1169">
        <v>2022231</v>
      </c>
      <c r="B237" s="1169">
        <v>7655</v>
      </c>
      <c r="C237" s="1169" t="s">
        <v>648</v>
      </c>
      <c r="D237" s="1187" t="s">
        <v>649</v>
      </c>
      <c r="E237" s="1188">
        <v>80111600</v>
      </c>
      <c r="F237" s="1220" t="s">
        <v>909</v>
      </c>
      <c r="G237" s="1221" t="s">
        <v>1743</v>
      </c>
      <c r="H237" s="1201" t="s">
        <v>1743</v>
      </c>
      <c r="I237" s="1222" t="s">
        <v>1812</v>
      </c>
      <c r="J237" s="1192" t="s">
        <v>1783</v>
      </c>
      <c r="K237" s="1173" t="s">
        <v>678</v>
      </c>
      <c r="L237" s="1216" t="s">
        <v>679</v>
      </c>
      <c r="M237" s="1193">
        <f>101200000-8800000-19200000</f>
        <v>73200000</v>
      </c>
      <c r="N237" s="1194" t="s">
        <v>729</v>
      </c>
      <c r="O237" s="1203" t="s">
        <v>1784</v>
      </c>
    </row>
    <row r="238" spans="1:17" s="1156" customFormat="1" ht="60" x14ac:dyDescent="0.25">
      <c r="A238" s="1169">
        <v>2022232</v>
      </c>
      <c r="B238" s="1169">
        <v>7655</v>
      </c>
      <c r="C238" s="1169" t="s">
        <v>648</v>
      </c>
      <c r="D238" s="1187" t="s">
        <v>649</v>
      </c>
      <c r="E238" s="1188">
        <v>80111600</v>
      </c>
      <c r="F238" s="1213" t="s">
        <v>910</v>
      </c>
      <c r="G238" s="1221" t="s">
        <v>1743</v>
      </c>
      <c r="H238" s="1201" t="s">
        <v>1743</v>
      </c>
      <c r="I238" s="1222" t="s">
        <v>1812</v>
      </c>
      <c r="J238" s="1192" t="s">
        <v>1783</v>
      </c>
      <c r="K238" s="1173" t="s">
        <v>678</v>
      </c>
      <c r="L238" s="1216" t="s">
        <v>679</v>
      </c>
      <c r="M238" s="1176">
        <v>58080000</v>
      </c>
      <c r="N238" s="1194" t="s">
        <v>729</v>
      </c>
      <c r="O238" s="1203" t="s">
        <v>1784</v>
      </c>
    </row>
    <row r="239" spans="1:17" s="1156" customFormat="1" ht="90" x14ac:dyDescent="0.25">
      <c r="A239" s="1169">
        <v>2022233</v>
      </c>
      <c r="B239" s="1169">
        <v>7655</v>
      </c>
      <c r="C239" s="1169" t="s">
        <v>648</v>
      </c>
      <c r="D239" s="1187" t="s">
        <v>649</v>
      </c>
      <c r="E239" s="1188">
        <v>80111600</v>
      </c>
      <c r="F239" s="1189" t="s">
        <v>911</v>
      </c>
      <c r="G239" s="1221" t="s">
        <v>1743</v>
      </c>
      <c r="H239" s="1201" t="s">
        <v>1743</v>
      </c>
      <c r="I239" s="1222" t="s">
        <v>1812</v>
      </c>
      <c r="J239" s="1192" t="s">
        <v>1783</v>
      </c>
      <c r="K239" s="1173" t="s">
        <v>678</v>
      </c>
      <c r="L239" s="1216" t="s">
        <v>679</v>
      </c>
      <c r="M239" s="1176">
        <v>42350000</v>
      </c>
      <c r="N239" s="1194" t="s">
        <v>729</v>
      </c>
      <c r="O239" s="1203" t="s">
        <v>1784</v>
      </c>
    </row>
    <row r="240" spans="1:17" s="1156" customFormat="1" ht="60" x14ac:dyDescent="0.25">
      <c r="A240" s="1169">
        <v>2022234</v>
      </c>
      <c r="B240" s="1169">
        <v>7655</v>
      </c>
      <c r="C240" s="1169" t="s">
        <v>648</v>
      </c>
      <c r="D240" s="1187" t="s">
        <v>649</v>
      </c>
      <c r="E240" s="1188">
        <v>80111600</v>
      </c>
      <c r="F240" s="1213" t="s">
        <v>912</v>
      </c>
      <c r="G240" s="1221" t="s">
        <v>1743</v>
      </c>
      <c r="H240" s="1201" t="s">
        <v>1743</v>
      </c>
      <c r="I240" s="1222" t="s">
        <v>1746</v>
      </c>
      <c r="J240" s="1192" t="s">
        <v>1783</v>
      </c>
      <c r="K240" s="1173" t="s">
        <v>678</v>
      </c>
      <c r="L240" s="1223" t="s">
        <v>679</v>
      </c>
      <c r="M240" s="1176">
        <v>39600000</v>
      </c>
      <c r="N240" s="1194" t="s">
        <v>729</v>
      </c>
      <c r="O240" s="1203" t="s">
        <v>1784</v>
      </c>
    </row>
    <row r="241" spans="1:15" s="1156" customFormat="1" ht="60" x14ac:dyDescent="0.25">
      <c r="A241" s="1169">
        <v>2022235</v>
      </c>
      <c r="B241" s="1169">
        <v>7655</v>
      </c>
      <c r="C241" s="1169" t="s">
        <v>648</v>
      </c>
      <c r="D241" s="1187" t="s">
        <v>649</v>
      </c>
      <c r="E241" s="1188">
        <v>80111600</v>
      </c>
      <c r="F241" s="1189" t="s">
        <v>913</v>
      </c>
      <c r="G241" s="1221" t="s">
        <v>1743</v>
      </c>
      <c r="H241" s="1201" t="s">
        <v>1743</v>
      </c>
      <c r="I241" s="1222" t="s">
        <v>1812</v>
      </c>
      <c r="J241" s="1192" t="s">
        <v>1783</v>
      </c>
      <c r="K241" s="1173" t="s">
        <v>678</v>
      </c>
      <c r="L241" s="1216" t="s">
        <v>679</v>
      </c>
      <c r="M241" s="1176">
        <v>39600000</v>
      </c>
      <c r="N241" s="1194" t="s">
        <v>729</v>
      </c>
      <c r="O241" s="1203" t="s">
        <v>1784</v>
      </c>
    </row>
    <row r="242" spans="1:15" s="1156" customFormat="1" ht="90" x14ac:dyDescent="0.25">
      <c r="A242" s="1179">
        <v>2022236</v>
      </c>
      <c r="B242" s="1179">
        <v>7658</v>
      </c>
      <c r="C242" s="1179" t="s">
        <v>673</v>
      </c>
      <c r="D242" s="1224" t="s">
        <v>699</v>
      </c>
      <c r="E242" s="1225">
        <v>80111600</v>
      </c>
      <c r="F242" s="1182" t="s">
        <v>914</v>
      </c>
      <c r="G242" s="1181" t="s">
        <v>1743</v>
      </c>
      <c r="H242" s="1181" t="s">
        <v>1743</v>
      </c>
      <c r="I242" s="1181" t="s">
        <v>1808</v>
      </c>
      <c r="J242" s="1181" t="s">
        <v>1783</v>
      </c>
      <c r="K242" s="1181" t="s">
        <v>678</v>
      </c>
      <c r="L242" s="1180" t="s">
        <v>679</v>
      </c>
      <c r="M242" s="1226">
        <f>39100000-1700000</f>
        <v>37400000</v>
      </c>
      <c r="N242" s="1182" t="s">
        <v>725</v>
      </c>
      <c r="O242" s="1182" t="s">
        <v>1815</v>
      </c>
    </row>
    <row r="243" spans="1:15" s="1156" customFormat="1" ht="60" x14ac:dyDescent="0.25">
      <c r="A243" s="1169">
        <v>2022237</v>
      </c>
      <c r="B243" s="1169">
        <v>7655</v>
      </c>
      <c r="C243" s="1169" t="s">
        <v>648</v>
      </c>
      <c r="D243" s="1187" t="s">
        <v>649</v>
      </c>
      <c r="E243" s="1188">
        <v>80111600</v>
      </c>
      <c r="F243" s="1189" t="s">
        <v>1813</v>
      </c>
      <c r="G243" s="1221" t="s">
        <v>1743</v>
      </c>
      <c r="H243" s="1201" t="s">
        <v>1743</v>
      </c>
      <c r="I243" s="1222" t="s">
        <v>1812</v>
      </c>
      <c r="J243" s="1192" t="s">
        <v>1783</v>
      </c>
      <c r="K243" s="1173" t="s">
        <v>678</v>
      </c>
      <c r="L243" s="1216" t="s">
        <v>679</v>
      </c>
      <c r="M243" s="1176">
        <v>48735000</v>
      </c>
      <c r="N243" s="1194" t="s">
        <v>729</v>
      </c>
      <c r="O243" s="1203" t="s">
        <v>1784</v>
      </c>
    </row>
    <row r="244" spans="1:15" s="1156" customFormat="1" ht="60" x14ac:dyDescent="0.25">
      <c r="A244" s="1169">
        <v>2022238</v>
      </c>
      <c r="B244" s="1169">
        <v>7655</v>
      </c>
      <c r="C244" s="1169" t="s">
        <v>648</v>
      </c>
      <c r="D244" s="1187" t="s">
        <v>649</v>
      </c>
      <c r="E244" s="1188">
        <v>80111600</v>
      </c>
      <c r="F244" s="1213" t="s">
        <v>917</v>
      </c>
      <c r="G244" s="1221" t="s">
        <v>1743</v>
      </c>
      <c r="H244" s="1201" t="s">
        <v>1743</v>
      </c>
      <c r="I244" s="1222" t="s">
        <v>1812</v>
      </c>
      <c r="J244" s="1192" t="s">
        <v>1783</v>
      </c>
      <c r="K244" s="1173" t="s">
        <v>678</v>
      </c>
      <c r="L244" s="1216" t="s">
        <v>679</v>
      </c>
      <c r="M244" s="1176">
        <f>44000000+8800000</f>
        <v>52800000</v>
      </c>
      <c r="N244" s="1194" t="s">
        <v>729</v>
      </c>
      <c r="O244" s="1203" t="s">
        <v>1784</v>
      </c>
    </row>
    <row r="245" spans="1:15" s="1156" customFormat="1" ht="60" x14ac:dyDescent="0.25">
      <c r="A245" s="1169">
        <v>2022239</v>
      </c>
      <c r="B245" s="1169">
        <v>7655</v>
      </c>
      <c r="C245" s="1169" t="s">
        <v>648</v>
      </c>
      <c r="D245" s="1187" t="s">
        <v>1814</v>
      </c>
      <c r="E245" s="1188">
        <v>80111600</v>
      </c>
      <c r="F245" s="1213" t="s">
        <v>918</v>
      </c>
      <c r="G245" s="1221" t="s">
        <v>1743</v>
      </c>
      <c r="H245" s="1221" t="s">
        <v>1743</v>
      </c>
      <c r="I245" s="1222" t="s">
        <v>1812</v>
      </c>
      <c r="J245" s="1192" t="s">
        <v>1783</v>
      </c>
      <c r="K245" s="1173" t="s">
        <v>678</v>
      </c>
      <c r="L245" s="1216" t="s">
        <v>679</v>
      </c>
      <c r="M245" s="1176">
        <v>102520000</v>
      </c>
      <c r="N245" s="1194" t="s">
        <v>729</v>
      </c>
      <c r="O245" s="1203" t="s">
        <v>1784</v>
      </c>
    </row>
    <row r="246" spans="1:15" s="1156" customFormat="1" ht="75" x14ac:dyDescent="0.25">
      <c r="A246" s="1169">
        <v>2022240</v>
      </c>
      <c r="B246" s="1169">
        <v>7655</v>
      </c>
      <c r="C246" s="1169" t="s">
        <v>648</v>
      </c>
      <c r="D246" s="1187" t="s">
        <v>1814</v>
      </c>
      <c r="E246" s="1188">
        <v>80111600</v>
      </c>
      <c r="F246" s="1213" t="s">
        <v>919</v>
      </c>
      <c r="G246" s="1221" t="s">
        <v>1743</v>
      </c>
      <c r="H246" s="1221" t="s">
        <v>1743</v>
      </c>
      <c r="I246" s="1222" t="s">
        <v>1812</v>
      </c>
      <c r="J246" s="1192" t="s">
        <v>1783</v>
      </c>
      <c r="K246" s="1173" t="s">
        <v>678</v>
      </c>
      <c r="L246" s="1216" t="s">
        <v>679</v>
      </c>
      <c r="M246" s="1176">
        <v>90200000</v>
      </c>
      <c r="N246" s="1194" t="s">
        <v>729</v>
      </c>
      <c r="O246" s="1203" t="s">
        <v>1784</v>
      </c>
    </row>
    <row r="247" spans="1:15" s="1156" customFormat="1" ht="60" x14ac:dyDescent="0.25">
      <c r="A247" s="1169">
        <v>2022241</v>
      </c>
      <c r="B247" s="1169">
        <v>7655</v>
      </c>
      <c r="C247" s="1169" t="s">
        <v>648</v>
      </c>
      <c r="D247" s="1187" t="s">
        <v>1814</v>
      </c>
      <c r="E247" s="1188">
        <v>80111600</v>
      </c>
      <c r="F247" s="1213" t="s">
        <v>920</v>
      </c>
      <c r="G247" s="1221" t="s">
        <v>1743</v>
      </c>
      <c r="H247" s="1221" t="s">
        <v>1743</v>
      </c>
      <c r="I247" s="1222" t="s">
        <v>1812</v>
      </c>
      <c r="J247" s="1192" t="s">
        <v>1783</v>
      </c>
      <c r="K247" s="1173" t="s">
        <v>678</v>
      </c>
      <c r="L247" s="1216" t="s">
        <v>679</v>
      </c>
      <c r="M247" s="1176">
        <v>82500000</v>
      </c>
      <c r="N247" s="1194" t="s">
        <v>729</v>
      </c>
      <c r="O247" s="1203" t="s">
        <v>1784</v>
      </c>
    </row>
    <row r="248" spans="1:15" s="1156" customFormat="1" ht="60" x14ac:dyDescent="0.25">
      <c r="A248" s="1169">
        <v>2022242</v>
      </c>
      <c r="B248" s="1169">
        <v>7655</v>
      </c>
      <c r="C248" s="1169" t="s">
        <v>648</v>
      </c>
      <c r="D248" s="1187" t="s">
        <v>1814</v>
      </c>
      <c r="E248" s="1188">
        <v>80111600</v>
      </c>
      <c r="F248" s="1213" t="s">
        <v>921</v>
      </c>
      <c r="G248" s="1221" t="s">
        <v>1743</v>
      </c>
      <c r="H248" s="1221" t="s">
        <v>1743</v>
      </c>
      <c r="I248" s="1222" t="s">
        <v>1812</v>
      </c>
      <c r="J248" s="1192" t="s">
        <v>1783</v>
      </c>
      <c r="K248" s="1173" t="s">
        <v>678</v>
      </c>
      <c r="L248" s="1216" t="s">
        <v>679</v>
      </c>
      <c r="M248" s="1176">
        <v>50600000</v>
      </c>
      <c r="N248" s="1194" t="s">
        <v>729</v>
      </c>
      <c r="O248" s="1203" t="s">
        <v>1784</v>
      </c>
    </row>
    <row r="249" spans="1:15" s="1156" customFormat="1" ht="60" x14ac:dyDescent="0.25">
      <c r="A249" s="1169">
        <v>2022243</v>
      </c>
      <c r="B249" s="1169">
        <v>7655</v>
      </c>
      <c r="C249" s="1169" t="s">
        <v>648</v>
      </c>
      <c r="D249" s="1187" t="s">
        <v>1814</v>
      </c>
      <c r="E249" s="1188">
        <v>80111600</v>
      </c>
      <c r="F249" s="1213" t="s">
        <v>922</v>
      </c>
      <c r="G249" s="1221" t="s">
        <v>1743</v>
      </c>
      <c r="H249" s="1221" t="s">
        <v>1743</v>
      </c>
      <c r="I249" s="1222" t="s">
        <v>1812</v>
      </c>
      <c r="J249" s="1192" t="s">
        <v>1783</v>
      </c>
      <c r="K249" s="1173" t="s">
        <v>678</v>
      </c>
      <c r="L249" s="1216" t="s">
        <v>679</v>
      </c>
      <c r="M249" s="1176">
        <v>35200000</v>
      </c>
      <c r="N249" s="1194" t="s">
        <v>729</v>
      </c>
      <c r="O249" s="1203" t="s">
        <v>1784</v>
      </c>
    </row>
    <row r="250" spans="1:15" s="1156" customFormat="1" ht="60" x14ac:dyDescent="0.25">
      <c r="A250" s="1169">
        <v>2022244</v>
      </c>
      <c r="B250" s="1169">
        <v>7655</v>
      </c>
      <c r="C250" s="1169" t="s">
        <v>648</v>
      </c>
      <c r="D250" s="1187" t="s">
        <v>1814</v>
      </c>
      <c r="E250" s="1188">
        <v>80111600</v>
      </c>
      <c r="F250" s="1213" t="s">
        <v>923</v>
      </c>
      <c r="G250" s="1221" t="s">
        <v>1743</v>
      </c>
      <c r="H250" s="1221" t="s">
        <v>1743</v>
      </c>
      <c r="I250" s="1222" t="s">
        <v>1812</v>
      </c>
      <c r="J250" s="1192" t="s">
        <v>1783</v>
      </c>
      <c r="K250" s="1173" t="s">
        <v>678</v>
      </c>
      <c r="L250" s="1216" t="s">
        <v>679</v>
      </c>
      <c r="M250" s="1176">
        <v>39050000</v>
      </c>
      <c r="N250" s="1194" t="s">
        <v>729</v>
      </c>
      <c r="O250" s="1203" t="s">
        <v>1784</v>
      </c>
    </row>
    <row r="251" spans="1:15" s="1156" customFormat="1" ht="60" x14ac:dyDescent="0.25">
      <c r="A251" s="1169">
        <v>2022245</v>
      </c>
      <c r="B251" s="1169">
        <v>7655</v>
      </c>
      <c r="C251" s="1169" t="s">
        <v>648</v>
      </c>
      <c r="D251" s="1187" t="s">
        <v>1814</v>
      </c>
      <c r="E251" s="1188">
        <v>80111600</v>
      </c>
      <c r="F251" s="1213" t="s">
        <v>924</v>
      </c>
      <c r="G251" s="1221" t="s">
        <v>1743</v>
      </c>
      <c r="H251" s="1221" t="s">
        <v>1743</v>
      </c>
      <c r="I251" s="1222" t="s">
        <v>1812</v>
      </c>
      <c r="J251" s="1192" t="s">
        <v>1783</v>
      </c>
      <c r="K251" s="1173" t="s">
        <v>678</v>
      </c>
      <c r="L251" s="1216" t="s">
        <v>679</v>
      </c>
      <c r="M251" s="1176">
        <v>39050000</v>
      </c>
      <c r="N251" s="1194" t="s">
        <v>729</v>
      </c>
      <c r="O251" s="1203" t="s">
        <v>1784</v>
      </c>
    </row>
    <row r="252" spans="1:15" s="1156" customFormat="1" ht="60" x14ac:dyDescent="0.25">
      <c r="A252" s="1169">
        <v>2022246</v>
      </c>
      <c r="B252" s="1169">
        <v>7655</v>
      </c>
      <c r="C252" s="1169" t="s">
        <v>648</v>
      </c>
      <c r="D252" s="1187" t="s">
        <v>1814</v>
      </c>
      <c r="E252" s="1188">
        <v>80111600</v>
      </c>
      <c r="F252" s="1213" t="s">
        <v>925</v>
      </c>
      <c r="G252" s="1221" t="s">
        <v>1743</v>
      </c>
      <c r="H252" s="1221" t="s">
        <v>1743</v>
      </c>
      <c r="I252" s="1222" t="s">
        <v>1812</v>
      </c>
      <c r="J252" s="1192" t="s">
        <v>1783</v>
      </c>
      <c r="K252" s="1173" t="s">
        <v>678</v>
      </c>
      <c r="L252" s="1216" t="s">
        <v>679</v>
      </c>
      <c r="M252" s="1176">
        <v>39050000</v>
      </c>
      <c r="N252" s="1194" t="s">
        <v>729</v>
      </c>
      <c r="O252" s="1203" t="s">
        <v>1784</v>
      </c>
    </row>
    <row r="253" spans="1:15" s="1156" customFormat="1" ht="75" x14ac:dyDescent="0.25">
      <c r="A253" s="1169">
        <v>2022247</v>
      </c>
      <c r="B253" s="1169">
        <v>7655</v>
      </c>
      <c r="C253" s="1169" t="s">
        <v>648</v>
      </c>
      <c r="D253" s="1187" t="s">
        <v>1814</v>
      </c>
      <c r="E253" s="1188">
        <v>80111600</v>
      </c>
      <c r="F253" s="1213" t="s">
        <v>926</v>
      </c>
      <c r="G253" s="1221" t="s">
        <v>1743</v>
      </c>
      <c r="H253" s="1221" t="s">
        <v>1743</v>
      </c>
      <c r="I253" s="1222" t="s">
        <v>1812</v>
      </c>
      <c r="J253" s="1192" t="s">
        <v>1783</v>
      </c>
      <c r="K253" s="1173" t="s">
        <v>678</v>
      </c>
      <c r="L253" s="1216" t="s">
        <v>679</v>
      </c>
      <c r="M253" s="1176">
        <v>30250000</v>
      </c>
      <c r="N253" s="1194" t="s">
        <v>729</v>
      </c>
      <c r="O253" s="1203" t="s">
        <v>1784</v>
      </c>
    </row>
    <row r="254" spans="1:15" s="1156" customFormat="1" ht="60" x14ac:dyDescent="0.25">
      <c r="A254" s="1169">
        <v>2022248</v>
      </c>
      <c r="B254" s="1169">
        <v>7655</v>
      </c>
      <c r="C254" s="1169" t="s">
        <v>648</v>
      </c>
      <c r="D254" s="1187" t="s">
        <v>1814</v>
      </c>
      <c r="E254" s="1188">
        <v>80111600</v>
      </c>
      <c r="F254" s="1213" t="s">
        <v>927</v>
      </c>
      <c r="G254" s="1221" t="s">
        <v>1743</v>
      </c>
      <c r="H254" s="1221" t="s">
        <v>1743</v>
      </c>
      <c r="I254" s="1222" t="s">
        <v>1812</v>
      </c>
      <c r="J254" s="1192" t="s">
        <v>1783</v>
      </c>
      <c r="K254" s="1173" t="s">
        <v>678</v>
      </c>
      <c r="L254" s="1216" t="s">
        <v>679</v>
      </c>
      <c r="M254" s="1176">
        <v>36850000</v>
      </c>
      <c r="N254" s="1194" t="s">
        <v>729</v>
      </c>
      <c r="O254" s="1203" t="s">
        <v>1784</v>
      </c>
    </row>
    <row r="255" spans="1:15" s="1156" customFormat="1" ht="60" x14ac:dyDescent="0.25">
      <c r="A255" s="1169">
        <v>2022249</v>
      </c>
      <c r="B255" s="1169">
        <v>7655</v>
      </c>
      <c r="C255" s="1169" t="s">
        <v>648</v>
      </c>
      <c r="D255" s="1187" t="s">
        <v>1814</v>
      </c>
      <c r="E255" s="1169">
        <v>80111600</v>
      </c>
      <c r="F255" s="1189" t="s">
        <v>928</v>
      </c>
      <c r="G255" s="1221" t="s">
        <v>1743</v>
      </c>
      <c r="H255" s="1201" t="s">
        <v>1743</v>
      </c>
      <c r="I255" s="1222" t="s">
        <v>1812</v>
      </c>
      <c r="J255" s="1192" t="s">
        <v>1783</v>
      </c>
      <c r="K255" s="1173" t="s">
        <v>678</v>
      </c>
      <c r="L255" s="1216" t="s">
        <v>679</v>
      </c>
      <c r="M255" s="1176">
        <v>38500000</v>
      </c>
      <c r="N255" s="1194" t="s">
        <v>729</v>
      </c>
      <c r="O255" s="1203" t="s">
        <v>1784</v>
      </c>
    </row>
    <row r="256" spans="1:15" s="1156" customFormat="1" ht="60" x14ac:dyDescent="0.25">
      <c r="A256" s="1169">
        <v>2022250</v>
      </c>
      <c r="B256" s="1169">
        <v>7655</v>
      </c>
      <c r="C256" s="1169" t="s">
        <v>648</v>
      </c>
      <c r="D256" s="1187" t="s">
        <v>1814</v>
      </c>
      <c r="E256" s="1188">
        <v>80111600</v>
      </c>
      <c r="F256" s="1220" t="s">
        <v>929</v>
      </c>
      <c r="G256" s="1221" t="s">
        <v>1743</v>
      </c>
      <c r="H256" s="1221" t="s">
        <v>1743</v>
      </c>
      <c r="I256" s="1222" t="s">
        <v>1812</v>
      </c>
      <c r="J256" s="1192" t="s">
        <v>1783</v>
      </c>
      <c r="K256" s="1173" t="s">
        <v>678</v>
      </c>
      <c r="L256" s="1216" t="s">
        <v>679</v>
      </c>
      <c r="M256" s="1193">
        <v>95700000</v>
      </c>
      <c r="N256" s="1194" t="s">
        <v>729</v>
      </c>
      <c r="O256" s="1203" t="s">
        <v>1784</v>
      </c>
    </row>
    <row r="257" spans="1:15" s="1156" customFormat="1" ht="90" x14ac:dyDescent="0.25">
      <c r="A257" s="1169">
        <v>2022251</v>
      </c>
      <c r="B257" s="1169">
        <v>7658</v>
      </c>
      <c r="C257" s="1169" t="s">
        <v>673</v>
      </c>
      <c r="D257" s="1187" t="s">
        <v>690</v>
      </c>
      <c r="E257" s="1227">
        <v>80111600</v>
      </c>
      <c r="F257" s="1196" t="s">
        <v>930</v>
      </c>
      <c r="G257" s="1228">
        <v>44575</v>
      </c>
      <c r="H257" s="1228">
        <v>44575</v>
      </c>
      <c r="I257" s="1191" t="s">
        <v>1782</v>
      </c>
      <c r="J257" s="1192" t="s">
        <v>1783</v>
      </c>
      <c r="K257" s="1173" t="s">
        <v>678</v>
      </c>
      <c r="L257" s="1175" t="s">
        <v>679</v>
      </c>
      <c r="M257" s="1193">
        <v>103500000</v>
      </c>
      <c r="N257" s="1172" t="s">
        <v>744</v>
      </c>
      <c r="O257" s="1172" t="s">
        <v>1815</v>
      </c>
    </row>
    <row r="258" spans="1:15" s="1156" customFormat="1" ht="90" x14ac:dyDescent="0.25">
      <c r="A258" s="1169">
        <v>2022252</v>
      </c>
      <c r="B258" s="1169">
        <v>7658</v>
      </c>
      <c r="C258" s="1169" t="s">
        <v>673</v>
      </c>
      <c r="D258" s="1187" t="s">
        <v>690</v>
      </c>
      <c r="E258" s="1227">
        <v>80111600</v>
      </c>
      <c r="F258" s="1196" t="s">
        <v>932</v>
      </c>
      <c r="G258" s="1228">
        <v>44575</v>
      </c>
      <c r="H258" s="1228">
        <v>44575</v>
      </c>
      <c r="I258" s="1191" t="s">
        <v>1782</v>
      </c>
      <c r="J258" s="1192" t="s">
        <v>1783</v>
      </c>
      <c r="K258" s="1173" t="s">
        <v>678</v>
      </c>
      <c r="L258" s="1175" t="s">
        <v>783</v>
      </c>
      <c r="M258" s="1193">
        <v>103500000</v>
      </c>
      <c r="N258" s="1172" t="s">
        <v>744</v>
      </c>
      <c r="O258" s="1172" t="s">
        <v>1815</v>
      </c>
    </row>
    <row r="259" spans="1:15" s="1156" customFormat="1" ht="90" x14ac:dyDescent="0.25">
      <c r="A259" s="1169">
        <v>2022253</v>
      </c>
      <c r="B259" s="1169">
        <v>7658</v>
      </c>
      <c r="C259" s="1169" t="s">
        <v>673</v>
      </c>
      <c r="D259" s="1187" t="s">
        <v>690</v>
      </c>
      <c r="E259" s="1227">
        <v>80111600</v>
      </c>
      <c r="F259" s="1196" t="s">
        <v>933</v>
      </c>
      <c r="G259" s="1228">
        <v>44575</v>
      </c>
      <c r="H259" s="1228">
        <v>44575</v>
      </c>
      <c r="I259" s="1191" t="s">
        <v>1782</v>
      </c>
      <c r="J259" s="1192" t="s">
        <v>1783</v>
      </c>
      <c r="K259" s="1173" t="s">
        <v>678</v>
      </c>
      <c r="L259" s="1175" t="s">
        <v>679</v>
      </c>
      <c r="M259" s="1193">
        <v>32775000</v>
      </c>
      <c r="N259" s="1172" t="s">
        <v>744</v>
      </c>
      <c r="O259" s="1172" t="s">
        <v>1815</v>
      </c>
    </row>
    <row r="260" spans="1:15" s="1156" customFormat="1" ht="90" x14ac:dyDescent="0.25">
      <c r="A260" s="1169">
        <v>2022254</v>
      </c>
      <c r="B260" s="1169">
        <v>7658</v>
      </c>
      <c r="C260" s="1169" t="s">
        <v>673</v>
      </c>
      <c r="D260" s="1187" t="s">
        <v>690</v>
      </c>
      <c r="E260" s="1227">
        <v>80111600</v>
      </c>
      <c r="F260" s="1172" t="s">
        <v>1818</v>
      </c>
      <c r="G260" s="1228">
        <v>44575</v>
      </c>
      <c r="H260" s="1228">
        <v>44575</v>
      </c>
      <c r="I260" s="1191" t="s">
        <v>1782</v>
      </c>
      <c r="J260" s="1192" t="s">
        <v>1783</v>
      </c>
      <c r="K260" s="1173" t="s">
        <v>678</v>
      </c>
      <c r="L260" s="1175" t="s">
        <v>679</v>
      </c>
      <c r="M260" s="1193">
        <v>63250000</v>
      </c>
      <c r="N260" s="1172" t="s">
        <v>744</v>
      </c>
      <c r="O260" s="1172" t="s">
        <v>1815</v>
      </c>
    </row>
    <row r="261" spans="1:15" s="1156" customFormat="1" ht="90" x14ac:dyDescent="0.25">
      <c r="A261" s="1169">
        <v>2022255</v>
      </c>
      <c r="B261" s="1169">
        <v>7658</v>
      </c>
      <c r="C261" s="1169" t="s">
        <v>673</v>
      </c>
      <c r="D261" s="1187" t="s">
        <v>690</v>
      </c>
      <c r="E261" s="1227">
        <v>80111600</v>
      </c>
      <c r="F261" s="1196" t="s">
        <v>934</v>
      </c>
      <c r="G261" s="1228">
        <v>44575</v>
      </c>
      <c r="H261" s="1228">
        <v>44575</v>
      </c>
      <c r="I261" s="1191" t="s">
        <v>1782</v>
      </c>
      <c r="J261" s="1192" t="s">
        <v>1783</v>
      </c>
      <c r="K261" s="1173" t="s">
        <v>678</v>
      </c>
      <c r="L261" s="1175" t="s">
        <v>679</v>
      </c>
      <c r="M261" s="1193">
        <v>83950000</v>
      </c>
      <c r="N261" s="1172" t="s">
        <v>744</v>
      </c>
      <c r="O261" s="1172" t="s">
        <v>1815</v>
      </c>
    </row>
    <row r="262" spans="1:15" s="1156" customFormat="1" ht="90" x14ac:dyDescent="0.25">
      <c r="A262" s="1169">
        <v>2022256</v>
      </c>
      <c r="B262" s="1169">
        <v>7658</v>
      </c>
      <c r="C262" s="1169" t="s">
        <v>673</v>
      </c>
      <c r="D262" s="1187" t="s">
        <v>690</v>
      </c>
      <c r="E262" s="1227">
        <v>80111600</v>
      </c>
      <c r="F262" s="1196" t="s">
        <v>1819</v>
      </c>
      <c r="G262" s="1228">
        <v>44575</v>
      </c>
      <c r="H262" s="1228">
        <v>44575</v>
      </c>
      <c r="I262" s="1191" t="s">
        <v>1782</v>
      </c>
      <c r="J262" s="1192" t="s">
        <v>1783</v>
      </c>
      <c r="K262" s="1173" t="s">
        <v>678</v>
      </c>
      <c r="L262" s="1175" t="s">
        <v>679</v>
      </c>
      <c r="M262" s="1193">
        <v>51750000</v>
      </c>
      <c r="N262" s="1172" t="s">
        <v>744</v>
      </c>
      <c r="O262" s="1172" t="s">
        <v>1815</v>
      </c>
    </row>
    <row r="263" spans="1:15" s="1156" customFormat="1" ht="90" x14ac:dyDescent="0.25">
      <c r="A263" s="1169">
        <v>2022257</v>
      </c>
      <c r="B263" s="1169">
        <v>7658</v>
      </c>
      <c r="C263" s="1169" t="s">
        <v>673</v>
      </c>
      <c r="D263" s="1187" t="s">
        <v>690</v>
      </c>
      <c r="E263" s="1227">
        <v>80111600</v>
      </c>
      <c r="F263" s="1172" t="s">
        <v>935</v>
      </c>
      <c r="G263" s="1228">
        <v>44575</v>
      </c>
      <c r="H263" s="1228">
        <v>44575</v>
      </c>
      <c r="I263" s="1191" t="s">
        <v>1782</v>
      </c>
      <c r="J263" s="1192" t="s">
        <v>1783</v>
      </c>
      <c r="K263" s="1173" t="s">
        <v>678</v>
      </c>
      <c r="L263" s="1175" t="s">
        <v>679</v>
      </c>
      <c r="M263" s="1193">
        <v>83950000</v>
      </c>
      <c r="N263" s="1172" t="s">
        <v>744</v>
      </c>
      <c r="O263" s="1172" t="s">
        <v>1815</v>
      </c>
    </row>
    <row r="264" spans="1:15" s="1156" customFormat="1" ht="90" x14ac:dyDescent="0.25">
      <c r="A264" s="1169">
        <v>2022258</v>
      </c>
      <c r="B264" s="1169">
        <v>7658</v>
      </c>
      <c r="C264" s="1169" t="s">
        <v>673</v>
      </c>
      <c r="D264" s="1187" t="s">
        <v>690</v>
      </c>
      <c r="E264" s="1227">
        <v>80111600</v>
      </c>
      <c r="F264" s="1196" t="s">
        <v>936</v>
      </c>
      <c r="G264" s="1228">
        <v>44575</v>
      </c>
      <c r="H264" s="1228">
        <v>44575</v>
      </c>
      <c r="I264" s="1191" t="s">
        <v>1782</v>
      </c>
      <c r="J264" s="1192" t="s">
        <v>1783</v>
      </c>
      <c r="K264" s="1173" t="s">
        <v>678</v>
      </c>
      <c r="L264" s="1175" t="s">
        <v>679</v>
      </c>
      <c r="M264" s="1193">
        <v>83950000</v>
      </c>
      <c r="N264" s="1172" t="s">
        <v>744</v>
      </c>
      <c r="O264" s="1172" t="s">
        <v>1815</v>
      </c>
    </row>
    <row r="265" spans="1:15" s="1156" customFormat="1" ht="90" x14ac:dyDescent="0.25">
      <c r="A265" s="1169">
        <v>2022259</v>
      </c>
      <c r="B265" s="1169">
        <v>7658</v>
      </c>
      <c r="C265" s="1169" t="s">
        <v>673</v>
      </c>
      <c r="D265" s="1187" t="s">
        <v>690</v>
      </c>
      <c r="E265" s="1227">
        <v>80111600</v>
      </c>
      <c r="F265" s="1172" t="s">
        <v>1820</v>
      </c>
      <c r="G265" s="1228">
        <v>44575</v>
      </c>
      <c r="H265" s="1228">
        <v>44575</v>
      </c>
      <c r="I265" s="1191" t="s">
        <v>1782</v>
      </c>
      <c r="J265" s="1192" t="s">
        <v>1783</v>
      </c>
      <c r="K265" s="1173" t="s">
        <v>678</v>
      </c>
      <c r="L265" s="1175" t="s">
        <v>679</v>
      </c>
      <c r="M265" s="1193">
        <v>94300000</v>
      </c>
      <c r="N265" s="1172" t="s">
        <v>744</v>
      </c>
      <c r="O265" s="1172" t="s">
        <v>1815</v>
      </c>
    </row>
    <row r="266" spans="1:15" s="1156" customFormat="1" ht="90" x14ac:dyDescent="0.25">
      <c r="A266" s="1169">
        <v>2022260</v>
      </c>
      <c r="B266" s="1169">
        <v>7658</v>
      </c>
      <c r="C266" s="1169" t="s">
        <v>673</v>
      </c>
      <c r="D266" s="1187" t="s">
        <v>690</v>
      </c>
      <c r="E266" s="1227">
        <v>80111600</v>
      </c>
      <c r="F266" s="1172" t="s">
        <v>936</v>
      </c>
      <c r="G266" s="1228">
        <v>44575</v>
      </c>
      <c r="H266" s="1228">
        <v>44575</v>
      </c>
      <c r="I266" s="1191" t="s">
        <v>1782</v>
      </c>
      <c r="J266" s="1192" t="s">
        <v>1783</v>
      </c>
      <c r="K266" s="1173" t="s">
        <v>678</v>
      </c>
      <c r="L266" s="1175" t="s">
        <v>679</v>
      </c>
      <c r="M266" s="1193">
        <v>83950000</v>
      </c>
      <c r="N266" s="1172" t="s">
        <v>744</v>
      </c>
      <c r="O266" s="1172" t="s">
        <v>1815</v>
      </c>
    </row>
    <row r="267" spans="1:15" s="1156" customFormat="1" ht="90" x14ac:dyDescent="0.25">
      <c r="A267" s="1169">
        <v>2022261</v>
      </c>
      <c r="B267" s="1169">
        <v>7658</v>
      </c>
      <c r="C267" s="1169" t="s">
        <v>673</v>
      </c>
      <c r="D267" s="1187" t="s">
        <v>690</v>
      </c>
      <c r="E267" s="1227">
        <v>80111600</v>
      </c>
      <c r="F267" s="1172" t="s">
        <v>936</v>
      </c>
      <c r="G267" s="1228">
        <v>44575</v>
      </c>
      <c r="H267" s="1228">
        <v>44575</v>
      </c>
      <c r="I267" s="1191" t="s">
        <v>1782</v>
      </c>
      <c r="J267" s="1192" t="s">
        <v>1783</v>
      </c>
      <c r="K267" s="1173" t="s">
        <v>678</v>
      </c>
      <c r="L267" s="1175" t="s">
        <v>679</v>
      </c>
      <c r="M267" s="1193">
        <v>83950000</v>
      </c>
      <c r="N267" s="1172" t="s">
        <v>744</v>
      </c>
      <c r="O267" s="1172" t="s">
        <v>1815</v>
      </c>
    </row>
    <row r="268" spans="1:15" s="1156" customFormat="1" ht="90" x14ac:dyDescent="0.25">
      <c r="A268" s="1169">
        <v>2022262</v>
      </c>
      <c r="B268" s="1169">
        <v>7658</v>
      </c>
      <c r="C268" s="1169" t="s">
        <v>673</v>
      </c>
      <c r="D268" s="1187" t="s">
        <v>690</v>
      </c>
      <c r="E268" s="1227">
        <v>80111600</v>
      </c>
      <c r="F268" s="1196" t="s">
        <v>936</v>
      </c>
      <c r="G268" s="1228">
        <v>44575</v>
      </c>
      <c r="H268" s="1228">
        <v>44575</v>
      </c>
      <c r="I268" s="1191" t="s">
        <v>1782</v>
      </c>
      <c r="J268" s="1192" t="s">
        <v>1783</v>
      </c>
      <c r="K268" s="1173" t="s">
        <v>678</v>
      </c>
      <c r="L268" s="1175" t="s">
        <v>679</v>
      </c>
      <c r="M268" s="1193">
        <v>83950000</v>
      </c>
      <c r="N268" s="1172" t="s">
        <v>744</v>
      </c>
      <c r="O268" s="1172" t="s">
        <v>1815</v>
      </c>
    </row>
    <row r="269" spans="1:15" s="1156" customFormat="1" ht="90" x14ac:dyDescent="0.25">
      <c r="A269" s="1169">
        <v>2022263</v>
      </c>
      <c r="B269" s="1169">
        <v>7658</v>
      </c>
      <c r="C269" s="1169" t="s">
        <v>673</v>
      </c>
      <c r="D269" s="1187" t="s">
        <v>690</v>
      </c>
      <c r="E269" s="1227">
        <v>80111600</v>
      </c>
      <c r="F269" s="1196" t="s">
        <v>935</v>
      </c>
      <c r="G269" s="1228">
        <v>44575</v>
      </c>
      <c r="H269" s="1228">
        <v>44575</v>
      </c>
      <c r="I269" s="1191" t="s">
        <v>1782</v>
      </c>
      <c r="J269" s="1192" t="s">
        <v>1783</v>
      </c>
      <c r="K269" s="1173" t="s">
        <v>678</v>
      </c>
      <c r="L269" s="1175" t="s">
        <v>679</v>
      </c>
      <c r="M269" s="1193">
        <v>78200000</v>
      </c>
      <c r="N269" s="1172" t="s">
        <v>744</v>
      </c>
      <c r="O269" s="1172" t="s">
        <v>1815</v>
      </c>
    </row>
    <row r="270" spans="1:15" s="1156" customFormat="1" ht="90" x14ac:dyDescent="0.25">
      <c r="A270" s="1169">
        <v>2022264</v>
      </c>
      <c r="B270" s="1169">
        <v>7658</v>
      </c>
      <c r="C270" s="1169" t="s">
        <v>673</v>
      </c>
      <c r="D270" s="1187" t="s">
        <v>690</v>
      </c>
      <c r="E270" s="1227">
        <v>80111600</v>
      </c>
      <c r="F270" s="1196" t="s">
        <v>937</v>
      </c>
      <c r="G270" s="1228">
        <v>44575</v>
      </c>
      <c r="H270" s="1228">
        <v>44575</v>
      </c>
      <c r="I270" s="1191" t="s">
        <v>1782</v>
      </c>
      <c r="J270" s="1192" t="s">
        <v>1783</v>
      </c>
      <c r="K270" s="1173" t="s">
        <v>678</v>
      </c>
      <c r="L270" s="1175" t="s">
        <v>679</v>
      </c>
      <c r="M270" s="1193">
        <v>44275000</v>
      </c>
      <c r="N270" s="1172" t="s">
        <v>744</v>
      </c>
      <c r="O270" s="1172" t="s">
        <v>1815</v>
      </c>
    </row>
    <row r="271" spans="1:15" s="1156" customFormat="1" ht="90" x14ac:dyDescent="0.25">
      <c r="A271" s="1169">
        <v>2022265</v>
      </c>
      <c r="B271" s="1169">
        <v>7658</v>
      </c>
      <c r="C271" s="1169" t="s">
        <v>673</v>
      </c>
      <c r="D271" s="1187" t="s">
        <v>690</v>
      </c>
      <c r="E271" s="1227">
        <v>80111600</v>
      </c>
      <c r="F271" s="1196" t="s">
        <v>938</v>
      </c>
      <c r="G271" s="1228">
        <v>44575</v>
      </c>
      <c r="H271" s="1228">
        <v>44575</v>
      </c>
      <c r="I271" s="1191" t="s">
        <v>1782</v>
      </c>
      <c r="J271" s="1192" t="s">
        <v>1783</v>
      </c>
      <c r="K271" s="1173" t="s">
        <v>678</v>
      </c>
      <c r="L271" s="1175" t="s">
        <v>679</v>
      </c>
      <c r="M271" s="1193">
        <v>28175000</v>
      </c>
      <c r="N271" s="1172" t="s">
        <v>744</v>
      </c>
      <c r="O271" s="1172" t="s">
        <v>1815</v>
      </c>
    </row>
    <row r="272" spans="1:15" s="1156" customFormat="1" ht="90" x14ac:dyDescent="0.25">
      <c r="A272" s="1169">
        <v>2022266</v>
      </c>
      <c r="B272" s="1169">
        <v>7658</v>
      </c>
      <c r="C272" s="1169" t="s">
        <v>673</v>
      </c>
      <c r="D272" s="1187" t="s">
        <v>690</v>
      </c>
      <c r="E272" s="1227">
        <v>80111600</v>
      </c>
      <c r="F272" s="1196" t="s">
        <v>939</v>
      </c>
      <c r="G272" s="1228">
        <v>44575</v>
      </c>
      <c r="H272" s="1228">
        <v>44575</v>
      </c>
      <c r="I272" s="1191" t="s">
        <v>1782</v>
      </c>
      <c r="J272" s="1192" t="s">
        <v>1783</v>
      </c>
      <c r="K272" s="1173" t="s">
        <v>678</v>
      </c>
      <c r="L272" s="1175" t="s">
        <v>679</v>
      </c>
      <c r="M272" s="1193">
        <v>63250000</v>
      </c>
      <c r="N272" s="1172" t="s">
        <v>744</v>
      </c>
      <c r="O272" s="1172" t="s">
        <v>1815</v>
      </c>
    </row>
    <row r="273" spans="1:15" s="1156" customFormat="1" ht="90" x14ac:dyDescent="0.25">
      <c r="A273" s="1169">
        <v>2022267</v>
      </c>
      <c r="B273" s="1169">
        <v>7658</v>
      </c>
      <c r="C273" s="1169" t="s">
        <v>673</v>
      </c>
      <c r="D273" s="1187" t="s">
        <v>690</v>
      </c>
      <c r="E273" s="1227">
        <v>80111600</v>
      </c>
      <c r="F273" s="1196" t="s">
        <v>940</v>
      </c>
      <c r="G273" s="1228">
        <v>44575</v>
      </c>
      <c r="H273" s="1228">
        <v>44575</v>
      </c>
      <c r="I273" s="1191" t="s">
        <v>1782</v>
      </c>
      <c r="J273" s="1192" t="s">
        <v>1783</v>
      </c>
      <c r="K273" s="1173" t="s">
        <v>678</v>
      </c>
      <c r="L273" s="1175" t="s">
        <v>679</v>
      </c>
      <c r="M273" s="1193">
        <v>28175000</v>
      </c>
      <c r="N273" s="1172" t="s">
        <v>744</v>
      </c>
      <c r="O273" s="1172" t="s">
        <v>1815</v>
      </c>
    </row>
    <row r="274" spans="1:15" s="1156" customFormat="1" ht="90" x14ac:dyDescent="0.25">
      <c r="A274" s="1169">
        <v>2022268</v>
      </c>
      <c r="B274" s="1169">
        <v>7658</v>
      </c>
      <c r="C274" s="1169" t="s">
        <v>673</v>
      </c>
      <c r="D274" s="1187" t="s">
        <v>690</v>
      </c>
      <c r="E274" s="1227">
        <v>80111600</v>
      </c>
      <c r="F274" s="1196" t="s">
        <v>940</v>
      </c>
      <c r="G274" s="1228">
        <v>44575</v>
      </c>
      <c r="H274" s="1228">
        <v>44575</v>
      </c>
      <c r="I274" s="1191" t="s">
        <v>1782</v>
      </c>
      <c r="J274" s="1192" t="s">
        <v>1783</v>
      </c>
      <c r="K274" s="1173" t="s">
        <v>678</v>
      </c>
      <c r="L274" s="1175" t="s">
        <v>679</v>
      </c>
      <c r="M274" s="1193">
        <v>28175000</v>
      </c>
      <c r="N274" s="1172" t="s">
        <v>744</v>
      </c>
      <c r="O274" s="1172" t="s">
        <v>1815</v>
      </c>
    </row>
    <row r="275" spans="1:15" s="1156" customFormat="1" ht="90" x14ac:dyDescent="0.25">
      <c r="A275" s="1169">
        <v>2022269</v>
      </c>
      <c r="B275" s="1169">
        <v>7658</v>
      </c>
      <c r="C275" s="1169" t="s">
        <v>673</v>
      </c>
      <c r="D275" s="1187" t="s">
        <v>690</v>
      </c>
      <c r="E275" s="1227">
        <v>80111600</v>
      </c>
      <c r="F275" s="1196" t="s">
        <v>940</v>
      </c>
      <c r="G275" s="1228">
        <v>44575</v>
      </c>
      <c r="H275" s="1228">
        <v>44575</v>
      </c>
      <c r="I275" s="1191" t="s">
        <v>1782</v>
      </c>
      <c r="J275" s="1192" t="s">
        <v>1783</v>
      </c>
      <c r="K275" s="1173" t="s">
        <v>678</v>
      </c>
      <c r="L275" s="1175" t="s">
        <v>679</v>
      </c>
      <c r="M275" s="1193">
        <v>28175000</v>
      </c>
      <c r="N275" s="1172" t="s">
        <v>744</v>
      </c>
      <c r="O275" s="1172" t="s">
        <v>1815</v>
      </c>
    </row>
    <row r="276" spans="1:15" s="1156" customFormat="1" ht="90" x14ac:dyDescent="0.25">
      <c r="A276" s="1169">
        <v>2022270</v>
      </c>
      <c r="B276" s="1169">
        <v>7658</v>
      </c>
      <c r="C276" s="1169" t="s">
        <v>673</v>
      </c>
      <c r="D276" s="1187" t="s">
        <v>690</v>
      </c>
      <c r="E276" s="1227">
        <v>80111600</v>
      </c>
      <c r="F276" s="1196" t="s">
        <v>940</v>
      </c>
      <c r="G276" s="1228">
        <v>44575</v>
      </c>
      <c r="H276" s="1228">
        <v>44575</v>
      </c>
      <c r="I276" s="1191" t="s">
        <v>1782</v>
      </c>
      <c r="J276" s="1192" t="s">
        <v>1783</v>
      </c>
      <c r="K276" s="1173" t="s">
        <v>678</v>
      </c>
      <c r="L276" s="1175" t="s">
        <v>679</v>
      </c>
      <c r="M276" s="1193">
        <v>28175000</v>
      </c>
      <c r="N276" s="1172" t="s">
        <v>744</v>
      </c>
      <c r="O276" s="1172" t="s">
        <v>1815</v>
      </c>
    </row>
    <row r="277" spans="1:15" s="1156" customFormat="1" ht="90" x14ac:dyDescent="0.25">
      <c r="A277" s="1169">
        <v>2022271</v>
      </c>
      <c r="B277" s="1169">
        <v>7658</v>
      </c>
      <c r="C277" s="1169" t="s">
        <v>673</v>
      </c>
      <c r="D277" s="1187" t="s">
        <v>690</v>
      </c>
      <c r="E277" s="1227">
        <v>80111600</v>
      </c>
      <c r="F277" s="1196" t="s">
        <v>940</v>
      </c>
      <c r="G277" s="1228">
        <v>44575</v>
      </c>
      <c r="H277" s="1228">
        <v>44575</v>
      </c>
      <c r="I277" s="1191" t="s">
        <v>1782</v>
      </c>
      <c r="J277" s="1192" t="s">
        <v>1783</v>
      </c>
      <c r="K277" s="1173" t="s">
        <v>678</v>
      </c>
      <c r="L277" s="1175" t="s">
        <v>679</v>
      </c>
      <c r="M277" s="1193">
        <v>28175000</v>
      </c>
      <c r="N277" s="1172" t="s">
        <v>744</v>
      </c>
      <c r="O277" s="1172" t="s">
        <v>1815</v>
      </c>
    </row>
    <row r="278" spans="1:15" s="1156" customFormat="1" ht="90" x14ac:dyDescent="0.25">
      <c r="A278" s="1169">
        <v>2022272</v>
      </c>
      <c r="B278" s="1169">
        <v>7658</v>
      </c>
      <c r="C278" s="1169" t="s">
        <v>673</v>
      </c>
      <c r="D278" s="1187" t="s">
        <v>690</v>
      </c>
      <c r="E278" s="1227">
        <v>80111600</v>
      </c>
      <c r="F278" s="1196" t="s">
        <v>940</v>
      </c>
      <c r="G278" s="1228">
        <v>44575</v>
      </c>
      <c r="H278" s="1228">
        <v>44575</v>
      </c>
      <c r="I278" s="1191" t="s">
        <v>1782</v>
      </c>
      <c r="J278" s="1192" t="s">
        <v>1783</v>
      </c>
      <c r="K278" s="1173" t="s">
        <v>678</v>
      </c>
      <c r="L278" s="1175" t="s">
        <v>679</v>
      </c>
      <c r="M278" s="1193">
        <v>28175000</v>
      </c>
      <c r="N278" s="1172" t="s">
        <v>744</v>
      </c>
      <c r="O278" s="1172" t="s">
        <v>1815</v>
      </c>
    </row>
    <row r="279" spans="1:15" s="1156" customFormat="1" ht="90" x14ac:dyDescent="0.25">
      <c r="A279" s="1169">
        <v>2022273</v>
      </c>
      <c r="B279" s="1169">
        <v>7658</v>
      </c>
      <c r="C279" s="1169" t="s">
        <v>673</v>
      </c>
      <c r="D279" s="1187" t="s">
        <v>690</v>
      </c>
      <c r="E279" s="1227">
        <v>80111600</v>
      </c>
      <c r="F279" s="1196" t="s">
        <v>940</v>
      </c>
      <c r="G279" s="1228">
        <v>44575</v>
      </c>
      <c r="H279" s="1228">
        <v>44575</v>
      </c>
      <c r="I279" s="1191" t="s">
        <v>1782</v>
      </c>
      <c r="J279" s="1192" t="s">
        <v>1783</v>
      </c>
      <c r="K279" s="1173" t="s">
        <v>678</v>
      </c>
      <c r="L279" s="1175" t="s">
        <v>679</v>
      </c>
      <c r="M279" s="1193">
        <v>28175000</v>
      </c>
      <c r="N279" s="1172" t="s">
        <v>744</v>
      </c>
      <c r="O279" s="1172" t="s">
        <v>1815</v>
      </c>
    </row>
    <row r="280" spans="1:15" s="1156" customFormat="1" ht="90" x14ac:dyDescent="0.25">
      <c r="A280" s="1169">
        <v>2022274</v>
      </c>
      <c r="B280" s="1169">
        <v>7658</v>
      </c>
      <c r="C280" s="1169" t="s">
        <v>673</v>
      </c>
      <c r="D280" s="1187" t="s">
        <v>690</v>
      </c>
      <c r="E280" s="1227">
        <v>80111600</v>
      </c>
      <c r="F280" s="1196" t="s">
        <v>940</v>
      </c>
      <c r="G280" s="1228">
        <v>44575</v>
      </c>
      <c r="H280" s="1228">
        <v>44575</v>
      </c>
      <c r="I280" s="1191" t="s">
        <v>1782</v>
      </c>
      <c r="J280" s="1192" t="s">
        <v>1783</v>
      </c>
      <c r="K280" s="1173" t="s">
        <v>678</v>
      </c>
      <c r="L280" s="1175" t="s">
        <v>679</v>
      </c>
      <c r="M280" s="1193">
        <v>28175000</v>
      </c>
      <c r="N280" s="1172" t="s">
        <v>744</v>
      </c>
      <c r="O280" s="1172" t="s">
        <v>1815</v>
      </c>
    </row>
    <row r="281" spans="1:15" s="1156" customFormat="1" ht="90" x14ac:dyDescent="0.25">
      <c r="A281" s="1169">
        <v>2022275</v>
      </c>
      <c r="B281" s="1169">
        <v>7658</v>
      </c>
      <c r="C281" s="1169" t="s">
        <v>673</v>
      </c>
      <c r="D281" s="1187" t="s">
        <v>690</v>
      </c>
      <c r="E281" s="1227">
        <v>80111600</v>
      </c>
      <c r="F281" s="1196" t="s">
        <v>940</v>
      </c>
      <c r="G281" s="1228">
        <v>44575</v>
      </c>
      <c r="H281" s="1228">
        <v>44575</v>
      </c>
      <c r="I281" s="1191" t="s">
        <v>1782</v>
      </c>
      <c r="J281" s="1192" t="s">
        <v>1783</v>
      </c>
      <c r="K281" s="1173" t="s">
        <v>678</v>
      </c>
      <c r="L281" s="1175" t="s">
        <v>679</v>
      </c>
      <c r="M281" s="1193">
        <v>28175000</v>
      </c>
      <c r="N281" s="1172" t="s">
        <v>744</v>
      </c>
      <c r="O281" s="1172" t="s">
        <v>1815</v>
      </c>
    </row>
    <row r="282" spans="1:15" s="1156" customFormat="1" ht="90" x14ac:dyDescent="0.25">
      <c r="A282" s="1169">
        <v>2022276</v>
      </c>
      <c r="B282" s="1169">
        <v>7658</v>
      </c>
      <c r="C282" s="1169" t="s">
        <v>673</v>
      </c>
      <c r="D282" s="1187" t="s">
        <v>690</v>
      </c>
      <c r="E282" s="1227">
        <v>80111600</v>
      </c>
      <c r="F282" s="1196" t="s">
        <v>940</v>
      </c>
      <c r="G282" s="1228">
        <v>44575</v>
      </c>
      <c r="H282" s="1228">
        <v>44575</v>
      </c>
      <c r="I282" s="1191" t="s">
        <v>1782</v>
      </c>
      <c r="J282" s="1192" t="s">
        <v>1783</v>
      </c>
      <c r="K282" s="1173" t="s">
        <v>678</v>
      </c>
      <c r="L282" s="1175" t="s">
        <v>679</v>
      </c>
      <c r="M282" s="1193">
        <v>24150000</v>
      </c>
      <c r="N282" s="1172" t="s">
        <v>744</v>
      </c>
      <c r="O282" s="1172" t="s">
        <v>1815</v>
      </c>
    </row>
    <row r="283" spans="1:15" s="1156" customFormat="1" ht="90" x14ac:dyDescent="0.25">
      <c r="A283" s="1169">
        <v>2022277</v>
      </c>
      <c r="B283" s="1169">
        <v>7658</v>
      </c>
      <c r="C283" s="1169" t="s">
        <v>673</v>
      </c>
      <c r="D283" s="1187" t="s">
        <v>690</v>
      </c>
      <c r="E283" s="1227">
        <v>80111600</v>
      </c>
      <c r="F283" s="1196" t="s">
        <v>940</v>
      </c>
      <c r="G283" s="1228">
        <v>44575</v>
      </c>
      <c r="H283" s="1228">
        <v>44575</v>
      </c>
      <c r="I283" s="1191" t="s">
        <v>1782</v>
      </c>
      <c r="J283" s="1192" t="s">
        <v>1783</v>
      </c>
      <c r="K283" s="1173" t="s">
        <v>678</v>
      </c>
      <c r="L283" s="1175" t="s">
        <v>679</v>
      </c>
      <c r="M283" s="1193">
        <v>28175000</v>
      </c>
      <c r="N283" s="1172" t="s">
        <v>744</v>
      </c>
      <c r="O283" s="1172" t="s">
        <v>1815</v>
      </c>
    </row>
    <row r="284" spans="1:15" s="1156" customFormat="1" ht="90" x14ac:dyDescent="0.25">
      <c r="A284" s="1169">
        <v>2022278</v>
      </c>
      <c r="B284" s="1169">
        <v>7658</v>
      </c>
      <c r="C284" s="1169" t="s">
        <v>673</v>
      </c>
      <c r="D284" s="1187" t="s">
        <v>690</v>
      </c>
      <c r="E284" s="1227">
        <v>80111600</v>
      </c>
      <c r="F284" s="1196" t="s">
        <v>940</v>
      </c>
      <c r="G284" s="1228">
        <v>44575</v>
      </c>
      <c r="H284" s="1228">
        <v>44575</v>
      </c>
      <c r="I284" s="1191" t="s">
        <v>1782</v>
      </c>
      <c r="J284" s="1192" t="s">
        <v>1783</v>
      </c>
      <c r="K284" s="1173" t="s">
        <v>678</v>
      </c>
      <c r="L284" s="1175" t="s">
        <v>679</v>
      </c>
      <c r="M284" s="1193">
        <v>28175000</v>
      </c>
      <c r="N284" s="1172" t="s">
        <v>744</v>
      </c>
      <c r="O284" s="1172" t="s">
        <v>1815</v>
      </c>
    </row>
    <row r="285" spans="1:15" s="1156" customFormat="1" ht="90" x14ac:dyDescent="0.25">
      <c r="A285" s="1169">
        <v>2022279</v>
      </c>
      <c r="B285" s="1169">
        <v>7658</v>
      </c>
      <c r="C285" s="1169" t="s">
        <v>673</v>
      </c>
      <c r="D285" s="1187" t="s">
        <v>690</v>
      </c>
      <c r="E285" s="1227">
        <v>80111600</v>
      </c>
      <c r="F285" s="1196" t="s">
        <v>940</v>
      </c>
      <c r="G285" s="1228">
        <v>44575</v>
      </c>
      <c r="H285" s="1228">
        <v>44575</v>
      </c>
      <c r="I285" s="1191" t="s">
        <v>1782</v>
      </c>
      <c r="J285" s="1192" t="s">
        <v>1783</v>
      </c>
      <c r="K285" s="1173" t="s">
        <v>678</v>
      </c>
      <c r="L285" s="1175" t="s">
        <v>679</v>
      </c>
      <c r="M285" s="1193">
        <v>28175000</v>
      </c>
      <c r="N285" s="1172" t="s">
        <v>744</v>
      </c>
      <c r="O285" s="1172" t="s">
        <v>1815</v>
      </c>
    </row>
    <row r="286" spans="1:15" s="1156" customFormat="1" ht="90" x14ac:dyDescent="0.25">
      <c r="A286" s="1169">
        <v>2022280</v>
      </c>
      <c r="B286" s="1169">
        <v>7658</v>
      </c>
      <c r="C286" s="1169" t="s">
        <v>673</v>
      </c>
      <c r="D286" s="1187" t="s">
        <v>690</v>
      </c>
      <c r="E286" s="1227">
        <v>80111600</v>
      </c>
      <c r="F286" s="1196" t="s">
        <v>940</v>
      </c>
      <c r="G286" s="1228">
        <v>44575</v>
      </c>
      <c r="H286" s="1228">
        <v>44575</v>
      </c>
      <c r="I286" s="1191" t="s">
        <v>1782</v>
      </c>
      <c r="J286" s="1192" t="s">
        <v>1783</v>
      </c>
      <c r="K286" s="1173" t="s">
        <v>678</v>
      </c>
      <c r="L286" s="1175" t="s">
        <v>679</v>
      </c>
      <c r="M286" s="1193">
        <v>28175000</v>
      </c>
      <c r="N286" s="1172" t="s">
        <v>744</v>
      </c>
      <c r="O286" s="1172" t="s">
        <v>1815</v>
      </c>
    </row>
    <row r="287" spans="1:15" s="1156" customFormat="1" ht="90" x14ac:dyDescent="0.25">
      <c r="A287" s="1169">
        <v>2022281</v>
      </c>
      <c r="B287" s="1169">
        <v>7658</v>
      </c>
      <c r="C287" s="1169" t="s">
        <v>673</v>
      </c>
      <c r="D287" s="1187" t="s">
        <v>690</v>
      </c>
      <c r="E287" s="1227">
        <v>80111600</v>
      </c>
      <c r="F287" s="1196" t="s">
        <v>940</v>
      </c>
      <c r="G287" s="1228">
        <v>44575</v>
      </c>
      <c r="H287" s="1228">
        <v>44575</v>
      </c>
      <c r="I287" s="1191" t="s">
        <v>1782</v>
      </c>
      <c r="J287" s="1192" t="s">
        <v>1783</v>
      </c>
      <c r="K287" s="1173" t="s">
        <v>678</v>
      </c>
      <c r="L287" s="1175" t="s">
        <v>679</v>
      </c>
      <c r="M287" s="1193">
        <v>28175000</v>
      </c>
      <c r="N287" s="1172" t="s">
        <v>744</v>
      </c>
      <c r="O287" s="1172" t="s">
        <v>1815</v>
      </c>
    </row>
    <row r="288" spans="1:15" s="1156" customFormat="1" ht="90" x14ac:dyDescent="0.25">
      <c r="A288" s="1169">
        <v>2022282</v>
      </c>
      <c r="B288" s="1169">
        <v>7658</v>
      </c>
      <c r="C288" s="1169" t="s">
        <v>673</v>
      </c>
      <c r="D288" s="1187" t="s">
        <v>690</v>
      </c>
      <c r="E288" s="1227">
        <v>80111600</v>
      </c>
      <c r="F288" s="1196" t="s">
        <v>1821</v>
      </c>
      <c r="G288" s="1228">
        <v>44575</v>
      </c>
      <c r="H288" s="1228">
        <v>44575</v>
      </c>
      <c r="I288" s="1191" t="s">
        <v>1782</v>
      </c>
      <c r="J288" s="1192" t="s">
        <v>1783</v>
      </c>
      <c r="K288" s="1173" t="s">
        <v>678</v>
      </c>
      <c r="L288" s="1175" t="s">
        <v>679</v>
      </c>
      <c r="M288" s="1193">
        <v>92000000</v>
      </c>
      <c r="N288" s="1172" t="s">
        <v>744</v>
      </c>
      <c r="O288" s="1172" t="s">
        <v>1815</v>
      </c>
    </row>
    <row r="289" spans="1:15" s="1156" customFormat="1" ht="90" x14ac:dyDescent="0.25">
      <c r="A289" s="1169">
        <v>2022283</v>
      </c>
      <c r="B289" s="1169">
        <v>7658</v>
      </c>
      <c r="C289" s="1169" t="s">
        <v>673</v>
      </c>
      <c r="D289" s="1187" t="s">
        <v>690</v>
      </c>
      <c r="E289" s="1227">
        <v>80111600</v>
      </c>
      <c r="F289" s="1196" t="s">
        <v>941</v>
      </c>
      <c r="G289" s="1228">
        <v>44575</v>
      </c>
      <c r="H289" s="1228">
        <v>44575</v>
      </c>
      <c r="I289" s="1191" t="s">
        <v>1782</v>
      </c>
      <c r="J289" s="1192" t="s">
        <v>1783</v>
      </c>
      <c r="K289" s="1173" t="s">
        <v>678</v>
      </c>
      <c r="L289" s="1175" t="s">
        <v>679</v>
      </c>
      <c r="M289" s="1193">
        <v>47150000</v>
      </c>
      <c r="N289" s="1172" t="s">
        <v>744</v>
      </c>
      <c r="O289" s="1172" t="s">
        <v>1815</v>
      </c>
    </row>
    <row r="290" spans="1:15" s="1156" customFormat="1" ht="90" x14ac:dyDescent="0.25">
      <c r="A290" s="1169">
        <v>2022284</v>
      </c>
      <c r="B290" s="1169">
        <v>7658</v>
      </c>
      <c r="C290" s="1169" t="s">
        <v>673</v>
      </c>
      <c r="D290" s="1187" t="s">
        <v>690</v>
      </c>
      <c r="E290" s="1227">
        <v>80111600</v>
      </c>
      <c r="F290" s="1196" t="s">
        <v>930</v>
      </c>
      <c r="G290" s="1228">
        <v>44575</v>
      </c>
      <c r="H290" s="1228">
        <v>44575</v>
      </c>
      <c r="I290" s="1191" t="s">
        <v>1782</v>
      </c>
      <c r="J290" s="1192" t="s">
        <v>1783</v>
      </c>
      <c r="K290" s="1173" t="s">
        <v>678</v>
      </c>
      <c r="L290" s="1175" t="s">
        <v>679</v>
      </c>
      <c r="M290" s="1193">
        <v>51750000</v>
      </c>
      <c r="N290" s="1172" t="s">
        <v>744</v>
      </c>
      <c r="O290" s="1172" t="s">
        <v>1815</v>
      </c>
    </row>
    <row r="291" spans="1:15" s="1156" customFormat="1" ht="90" x14ac:dyDescent="0.25">
      <c r="A291" s="1169">
        <v>2022285</v>
      </c>
      <c r="B291" s="1169">
        <v>7658</v>
      </c>
      <c r="C291" s="1169" t="s">
        <v>673</v>
      </c>
      <c r="D291" s="1187" t="s">
        <v>690</v>
      </c>
      <c r="E291" s="1227" t="s">
        <v>1822</v>
      </c>
      <c r="F291" s="1196" t="s">
        <v>1823</v>
      </c>
      <c r="G291" s="1228">
        <v>44774</v>
      </c>
      <c r="H291" s="1228">
        <v>44774</v>
      </c>
      <c r="I291" s="1191" t="s">
        <v>1786</v>
      </c>
      <c r="J291" s="1192" t="s">
        <v>1751</v>
      </c>
      <c r="K291" s="1173" t="s">
        <v>678</v>
      </c>
      <c r="L291" s="1175" t="s">
        <v>1824</v>
      </c>
      <c r="M291" s="1176">
        <v>100000000</v>
      </c>
      <c r="N291" s="1172" t="s">
        <v>744</v>
      </c>
      <c r="O291" s="1172" t="s">
        <v>1815</v>
      </c>
    </row>
    <row r="292" spans="1:15" s="1156" customFormat="1" ht="90" x14ac:dyDescent="0.25">
      <c r="A292" s="1169">
        <v>2022286</v>
      </c>
      <c r="B292" s="1169">
        <v>7658</v>
      </c>
      <c r="C292" s="1169" t="s">
        <v>673</v>
      </c>
      <c r="D292" s="1187" t="s">
        <v>690</v>
      </c>
      <c r="E292" s="1227" t="s">
        <v>942</v>
      </c>
      <c r="F292" s="1229" t="s">
        <v>1825</v>
      </c>
      <c r="G292" s="1228">
        <v>44774</v>
      </c>
      <c r="H292" s="1228">
        <v>44774</v>
      </c>
      <c r="I292" s="1191" t="s">
        <v>1786</v>
      </c>
      <c r="J292" s="1192" t="s">
        <v>1751</v>
      </c>
      <c r="K292" s="1173" t="s">
        <v>678</v>
      </c>
      <c r="L292" s="1230" t="s">
        <v>944</v>
      </c>
      <c r="M292" s="1176">
        <v>150000000</v>
      </c>
      <c r="N292" s="1172" t="s">
        <v>744</v>
      </c>
      <c r="O292" s="1172" t="s">
        <v>1815</v>
      </c>
    </row>
    <row r="293" spans="1:15" s="1156" customFormat="1" ht="90" x14ac:dyDescent="0.25">
      <c r="A293" s="1169">
        <v>2022287</v>
      </c>
      <c r="B293" s="1169">
        <v>7658</v>
      </c>
      <c r="C293" s="1169" t="s">
        <v>673</v>
      </c>
      <c r="D293" s="1187" t="s">
        <v>690</v>
      </c>
      <c r="E293" s="1227" t="s">
        <v>1826</v>
      </c>
      <c r="F293" s="1229" t="s">
        <v>946</v>
      </c>
      <c r="G293" s="1228">
        <v>44713</v>
      </c>
      <c r="H293" s="1228">
        <v>44713</v>
      </c>
      <c r="I293" s="1191" t="s">
        <v>1785</v>
      </c>
      <c r="J293" s="1192" t="s">
        <v>1751</v>
      </c>
      <c r="K293" s="1173" t="s">
        <v>678</v>
      </c>
      <c r="L293" s="1230" t="s">
        <v>944</v>
      </c>
      <c r="M293" s="1176">
        <v>100000000</v>
      </c>
      <c r="N293" s="1172" t="s">
        <v>744</v>
      </c>
      <c r="O293" s="1172" t="s">
        <v>1815</v>
      </c>
    </row>
    <row r="294" spans="1:15" s="1156" customFormat="1" ht="90" x14ac:dyDescent="0.25">
      <c r="A294" s="1169">
        <v>2022288</v>
      </c>
      <c r="B294" s="1169">
        <v>7658</v>
      </c>
      <c r="C294" s="1169" t="s">
        <v>673</v>
      </c>
      <c r="D294" s="1187" t="s">
        <v>690</v>
      </c>
      <c r="E294" s="1227" t="s">
        <v>1827</v>
      </c>
      <c r="F294" s="1229" t="s">
        <v>1828</v>
      </c>
      <c r="G294" s="1228">
        <v>44743</v>
      </c>
      <c r="H294" s="1228">
        <v>44743</v>
      </c>
      <c r="I294" s="1191" t="s">
        <v>1785</v>
      </c>
      <c r="J294" s="1192" t="s">
        <v>1751</v>
      </c>
      <c r="K294" s="1173" t="s">
        <v>678</v>
      </c>
      <c r="L294" s="1230" t="s">
        <v>944</v>
      </c>
      <c r="M294" s="1176">
        <v>80000000</v>
      </c>
      <c r="N294" s="1172" t="s">
        <v>744</v>
      </c>
      <c r="O294" s="1172" t="s">
        <v>1815</v>
      </c>
    </row>
    <row r="295" spans="1:15" s="1156" customFormat="1" ht="105" x14ac:dyDescent="0.25">
      <c r="A295" s="1169">
        <v>2022289</v>
      </c>
      <c r="B295" s="1169">
        <v>7658</v>
      </c>
      <c r="C295" s="1169" t="s">
        <v>673</v>
      </c>
      <c r="D295" s="1187" t="s">
        <v>690</v>
      </c>
      <c r="E295" s="1227" t="s">
        <v>1829</v>
      </c>
      <c r="F295" s="1229" t="s">
        <v>1830</v>
      </c>
      <c r="G295" s="1228">
        <v>44621</v>
      </c>
      <c r="H295" s="1228">
        <v>44621</v>
      </c>
      <c r="I295" s="1191" t="s">
        <v>1791</v>
      </c>
      <c r="J295" s="1192" t="s">
        <v>1751</v>
      </c>
      <c r="K295" s="1173" t="s">
        <v>678</v>
      </c>
      <c r="L295" s="1230" t="s">
        <v>944</v>
      </c>
      <c r="M295" s="1176">
        <v>70000000</v>
      </c>
      <c r="N295" s="1172" t="s">
        <v>744</v>
      </c>
      <c r="O295" s="1172" t="s">
        <v>1815</v>
      </c>
    </row>
    <row r="296" spans="1:15" s="1156" customFormat="1" ht="90" x14ac:dyDescent="0.25">
      <c r="A296" s="1169">
        <v>2022290</v>
      </c>
      <c r="B296" s="1169">
        <v>7658</v>
      </c>
      <c r="C296" s="1169" t="s">
        <v>673</v>
      </c>
      <c r="D296" s="1187" t="s">
        <v>690</v>
      </c>
      <c r="E296" s="1227" t="s">
        <v>947</v>
      </c>
      <c r="F296" s="1229" t="s">
        <v>948</v>
      </c>
      <c r="G296" s="1228">
        <v>44593</v>
      </c>
      <c r="H296" s="1228">
        <v>44593</v>
      </c>
      <c r="I296" s="1191" t="s">
        <v>1746</v>
      </c>
      <c r="J296" s="1192" t="s">
        <v>1751</v>
      </c>
      <c r="K296" s="1173" t="s">
        <v>678</v>
      </c>
      <c r="L296" s="1230" t="s">
        <v>944</v>
      </c>
      <c r="M296" s="1176">
        <v>20000000</v>
      </c>
      <c r="N296" s="1172" t="s">
        <v>744</v>
      </c>
      <c r="O296" s="1172" t="s">
        <v>1815</v>
      </c>
    </row>
    <row r="297" spans="1:15" s="1156" customFormat="1" ht="60" x14ac:dyDescent="0.25">
      <c r="A297" s="1169">
        <v>2022291</v>
      </c>
      <c r="B297" s="1169">
        <v>7658</v>
      </c>
      <c r="C297" s="1169" t="s">
        <v>673</v>
      </c>
      <c r="D297" s="1187" t="s">
        <v>690</v>
      </c>
      <c r="E297" s="1227" t="s">
        <v>949</v>
      </c>
      <c r="F297" s="1229" t="s">
        <v>1831</v>
      </c>
      <c r="G297" s="1228">
        <v>44593</v>
      </c>
      <c r="H297" s="1228">
        <v>44593</v>
      </c>
      <c r="I297" s="1191" t="s">
        <v>1791</v>
      </c>
      <c r="J297" s="1192" t="s">
        <v>1832</v>
      </c>
      <c r="K297" s="1173" t="s">
        <v>774</v>
      </c>
      <c r="L297" s="1175" t="s">
        <v>1833</v>
      </c>
      <c r="M297" s="1176">
        <v>900000000</v>
      </c>
      <c r="N297" s="1172" t="s">
        <v>723</v>
      </c>
      <c r="O297" s="1172" t="s">
        <v>1834</v>
      </c>
    </row>
    <row r="298" spans="1:15" s="1156" customFormat="1" ht="75" x14ac:dyDescent="0.25">
      <c r="A298" s="1169">
        <v>2022292</v>
      </c>
      <c r="B298" s="1169">
        <v>7658</v>
      </c>
      <c r="C298" s="1169" t="s">
        <v>673</v>
      </c>
      <c r="D298" s="1187" t="s">
        <v>690</v>
      </c>
      <c r="E298" s="1227" t="s">
        <v>952</v>
      </c>
      <c r="F298" s="1229" t="s">
        <v>1835</v>
      </c>
      <c r="G298" s="1228">
        <v>44593</v>
      </c>
      <c r="H298" s="1228">
        <v>44593</v>
      </c>
      <c r="I298" s="1191" t="s">
        <v>1746</v>
      </c>
      <c r="J298" s="1192" t="s">
        <v>1832</v>
      </c>
      <c r="K298" s="1173" t="s">
        <v>774</v>
      </c>
      <c r="L298" s="1175" t="s">
        <v>1833</v>
      </c>
      <c r="M298" s="1176">
        <v>180000000</v>
      </c>
      <c r="N298" s="1172" t="s">
        <v>723</v>
      </c>
      <c r="O298" s="1172" t="s">
        <v>1834</v>
      </c>
    </row>
    <row r="299" spans="1:15" s="1156" customFormat="1" ht="60" x14ac:dyDescent="0.25">
      <c r="A299" s="1169">
        <v>2022293</v>
      </c>
      <c r="B299" s="1169">
        <v>7658</v>
      </c>
      <c r="C299" s="1169" t="s">
        <v>673</v>
      </c>
      <c r="D299" s="1187" t="s">
        <v>690</v>
      </c>
      <c r="E299" s="1227" t="s">
        <v>949</v>
      </c>
      <c r="F299" s="1229" t="s">
        <v>1836</v>
      </c>
      <c r="G299" s="1228">
        <v>44593</v>
      </c>
      <c r="H299" s="1228">
        <v>44593</v>
      </c>
      <c r="I299" s="1191" t="s">
        <v>1791</v>
      </c>
      <c r="J299" s="1192" t="s">
        <v>1832</v>
      </c>
      <c r="K299" s="1173" t="s">
        <v>774</v>
      </c>
      <c r="L299" s="1175" t="s">
        <v>1833</v>
      </c>
      <c r="M299" s="1176">
        <v>450000000</v>
      </c>
      <c r="N299" s="1172" t="s">
        <v>723</v>
      </c>
      <c r="O299" s="1172" t="s">
        <v>1834</v>
      </c>
    </row>
    <row r="300" spans="1:15" s="1156" customFormat="1" ht="75" x14ac:dyDescent="0.25">
      <c r="A300" s="1169">
        <v>2022294</v>
      </c>
      <c r="B300" s="1169">
        <v>7658</v>
      </c>
      <c r="C300" s="1169" t="s">
        <v>673</v>
      </c>
      <c r="D300" s="1187" t="s">
        <v>690</v>
      </c>
      <c r="E300" s="1231" t="s">
        <v>952</v>
      </c>
      <c r="F300" s="1229" t="s">
        <v>1837</v>
      </c>
      <c r="G300" s="1228">
        <v>44593</v>
      </c>
      <c r="H300" s="1228">
        <v>44593</v>
      </c>
      <c r="I300" s="1191" t="s">
        <v>1746</v>
      </c>
      <c r="J300" s="1192" t="s">
        <v>1832</v>
      </c>
      <c r="K300" s="1173" t="s">
        <v>774</v>
      </c>
      <c r="L300" s="1175" t="s">
        <v>1833</v>
      </c>
      <c r="M300" s="1176">
        <v>90000000</v>
      </c>
      <c r="N300" s="1172" t="s">
        <v>723</v>
      </c>
      <c r="O300" s="1172" t="s">
        <v>1834</v>
      </c>
    </row>
    <row r="301" spans="1:15" s="1156" customFormat="1" ht="90" x14ac:dyDescent="0.25">
      <c r="A301" s="1169">
        <v>2022295</v>
      </c>
      <c r="B301" s="1169">
        <v>7658</v>
      </c>
      <c r="C301" s="1169" t="s">
        <v>673</v>
      </c>
      <c r="D301" s="1187" t="s">
        <v>690</v>
      </c>
      <c r="E301" s="1227" t="s">
        <v>954</v>
      </c>
      <c r="F301" s="1229" t="s">
        <v>955</v>
      </c>
      <c r="G301" s="1228">
        <v>44593</v>
      </c>
      <c r="H301" s="1228">
        <v>44593</v>
      </c>
      <c r="I301" s="1191" t="s">
        <v>1785</v>
      </c>
      <c r="J301" s="1192" t="s">
        <v>1751</v>
      </c>
      <c r="K301" s="1173" t="s">
        <v>678</v>
      </c>
      <c r="L301" s="1230" t="s">
        <v>944</v>
      </c>
      <c r="M301" s="1176">
        <v>70000000</v>
      </c>
      <c r="N301" s="1172" t="s">
        <v>744</v>
      </c>
      <c r="O301" s="1172" t="s">
        <v>1815</v>
      </c>
    </row>
    <row r="302" spans="1:15" s="1156" customFormat="1" ht="90" x14ac:dyDescent="0.25">
      <c r="A302" s="1169">
        <v>2022296</v>
      </c>
      <c r="B302" s="1169">
        <v>7658</v>
      </c>
      <c r="C302" s="1169" t="s">
        <v>673</v>
      </c>
      <c r="D302" s="1187" t="s">
        <v>690</v>
      </c>
      <c r="E302" s="1227" t="s">
        <v>1838</v>
      </c>
      <c r="F302" s="1229" t="s">
        <v>1839</v>
      </c>
      <c r="G302" s="1228">
        <v>44652</v>
      </c>
      <c r="H302" s="1228">
        <v>44652</v>
      </c>
      <c r="I302" s="1191" t="s">
        <v>1799</v>
      </c>
      <c r="J302" s="1192" t="s">
        <v>1766</v>
      </c>
      <c r="K302" s="1173" t="s">
        <v>678</v>
      </c>
      <c r="L302" s="1175" t="s">
        <v>1840</v>
      </c>
      <c r="M302" s="1176">
        <v>300000000</v>
      </c>
      <c r="N302" s="1172" t="s">
        <v>744</v>
      </c>
      <c r="O302" s="1172" t="s">
        <v>1815</v>
      </c>
    </row>
    <row r="303" spans="1:15" s="1156" customFormat="1" ht="90" x14ac:dyDescent="0.25">
      <c r="A303" s="1169">
        <v>2022297</v>
      </c>
      <c r="B303" s="1169">
        <v>7658</v>
      </c>
      <c r="C303" s="1169" t="s">
        <v>673</v>
      </c>
      <c r="D303" s="1187" t="s">
        <v>690</v>
      </c>
      <c r="E303" s="1188" t="s">
        <v>956</v>
      </c>
      <c r="F303" s="1229" t="s">
        <v>1841</v>
      </c>
      <c r="G303" s="1228">
        <v>44593</v>
      </c>
      <c r="H303" s="1228">
        <v>44593</v>
      </c>
      <c r="I303" s="1191" t="s">
        <v>1746</v>
      </c>
      <c r="J303" s="1192" t="s">
        <v>1842</v>
      </c>
      <c r="K303" s="1173" t="s">
        <v>678</v>
      </c>
      <c r="L303" s="1175" t="s">
        <v>1833</v>
      </c>
      <c r="M303" s="1176">
        <v>1119870000</v>
      </c>
      <c r="N303" s="1172" t="s">
        <v>744</v>
      </c>
      <c r="O303" s="1172" t="s">
        <v>1815</v>
      </c>
    </row>
    <row r="304" spans="1:15" s="1156" customFormat="1" ht="90" x14ac:dyDescent="0.25">
      <c r="A304" s="1169">
        <v>2022298</v>
      </c>
      <c r="B304" s="1169">
        <v>7658</v>
      </c>
      <c r="C304" s="1169" t="s">
        <v>673</v>
      </c>
      <c r="D304" s="1187" t="s">
        <v>690</v>
      </c>
      <c r="E304" s="1188" t="s">
        <v>952</v>
      </c>
      <c r="F304" s="1229" t="s">
        <v>959</v>
      </c>
      <c r="G304" s="1228">
        <v>44593</v>
      </c>
      <c r="H304" s="1228">
        <v>44593</v>
      </c>
      <c r="I304" s="1191" t="s">
        <v>1746</v>
      </c>
      <c r="J304" s="1192" t="s">
        <v>1832</v>
      </c>
      <c r="K304" s="1173" t="s">
        <v>678</v>
      </c>
      <c r="L304" s="1175" t="s">
        <v>1833</v>
      </c>
      <c r="M304" s="1176">
        <v>420000000</v>
      </c>
      <c r="N304" s="1172" t="s">
        <v>744</v>
      </c>
      <c r="O304" s="1172" t="s">
        <v>1815</v>
      </c>
    </row>
    <row r="305" spans="1:15" s="1156" customFormat="1" ht="90" x14ac:dyDescent="0.25">
      <c r="A305" s="1169">
        <v>2022299</v>
      </c>
      <c r="B305" s="1169">
        <v>7658</v>
      </c>
      <c r="C305" s="1169" t="s">
        <v>673</v>
      </c>
      <c r="D305" s="1187" t="s">
        <v>690</v>
      </c>
      <c r="E305" s="1227" t="s">
        <v>1843</v>
      </c>
      <c r="F305" s="1229" t="s">
        <v>1844</v>
      </c>
      <c r="G305" s="1228">
        <v>44621</v>
      </c>
      <c r="H305" s="1228">
        <v>44621</v>
      </c>
      <c r="I305" s="1191" t="s">
        <v>1845</v>
      </c>
      <c r="J305" s="1192" t="s">
        <v>1846</v>
      </c>
      <c r="K305" s="1173" t="s">
        <v>774</v>
      </c>
      <c r="L305" s="1175" t="s">
        <v>1840</v>
      </c>
      <c r="M305" s="1176">
        <v>500000000</v>
      </c>
      <c r="N305" s="1172" t="s">
        <v>744</v>
      </c>
      <c r="O305" s="1172" t="s">
        <v>1815</v>
      </c>
    </row>
    <row r="306" spans="1:15" s="1156" customFormat="1" ht="90" x14ac:dyDescent="0.25">
      <c r="A306" s="1169">
        <v>2022300</v>
      </c>
      <c r="B306" s="1169">
        <v>7658</v>
      </c>
      <c r="C306" s="1169" t="s">
        <v>673</v>
      </c>
      <c r="D306" s="1187" t="s">
        <v>690</v>
      </c>
      <c r="E306" s="1231" t="s">
        <v>960</v>
      </c>
      <c r="F306" s="1232" t="s">
        <v>1847</v>
      </c>
      <c r="G306" s="1228">
        <v>44621</v>
      </c>
      <c r="H306" s="1228">
        <v>44621</v>
      </c>
      <c r="I306" s="1191" t="s">
        <v>1790</v>
      </c>
      <c r="J306" s="1192" t="s">
        <v>1846</v>
      </c>
      <c r="K306" s="1173" t="s">
        <v>774</v>
      </c>
      <c r="L306" s="1175" t="s">
        <v>1840</v>
      </c>
      <c r="M306" s="1176">
        <v>300000000</v>
      </c>
      <c r="N306" s="1172" t="s">
        <v>744</v>
      </c>
      <c r="O306" s="1172" t="s">
        <v>1815</v>
      </c>
    </row>
    <row r="307" spans="1:15" s="1156" customFormat="1" ht="60" x14ac:dyDescent="0.25">
      <c r="A307" s="1169">
        <v>2022301</v>
      </c>
      <c r="B307" s="1169">
        <v>7658</v>
      </c>
      <c r="C307" s="1169" t="s">
        <v>673</v>
      </c>
      <c r="D307" s="1187" t="s">
        <v>690</v>
      </c>
      <c r="E307" s="1188" t="s">
        <v>97</v>
      </c>
      <c r="F307" s="1229" t="s">
        <v>1848</v>
      </c>
      <c r="G307" s="1228">
        <v>44621</v>
      </c>
      <c r="H307" s="1228">
        <v>44621</v>
      </c>
      <c r="I307" s="1209" t="s">
        <v>97</v>
      </c>
      <c r="J307" s="1192" t="s">
        <v>1796</v>
      </c>
      <c r="K307" s="1173" t="s">
        <v>678</v>
      </c>
      <c r="L307" s="1175" t="s">
        <v>1833</v>
      </c>
      <c r="M307" s="1176">
        <v>170000000</v>
      </c>
      <c r="N307" s="1175" t="s">
        <v>723</v>
      </c>
      <c r="O307" s="1175" t="s">
        <v>1834</v>
      </c>
    </row>
    <row r="308" spans="1:15" s="1156" customFormat="1" ht="90" x14ac:dyDescent="0.25">
      <c r="A308" s="1179">
        <v>2022302</v>
      </c>
      <c r="B308" s="1179">
        <v>7658</v>
      </c>
      <c r="C308" s="1179" t="s">
        <v>673</v>
      </c>
      <c r="D308" s="1224" t="s">
        <v>690</v>
      </c>
      <c r="E308" s="1233" t="s">
        <v>964</v>
      </c>
      <c r="F308" s="1234" t="s">
        <v>965</v>
      </c>
      <c r="G308" s="1235">
        <v>44652</v>
      </c>
      <c r="H308" s="1235">
        <v>44652</v>
      </c>
      <c r="I308" s="1236" t="s">
        <v>1791</v>
      </c>
      <c r="J308" s="1237" t="s">
        <v>1842</v>
      </c>
      <c r="K308" s="1181" t="s">
        <v>678</v>
      </c>
      <c r="L308" s="1180" t="s">
        <v>966</v>
      </c>
      <c r="M308" s="1183">
        <v>308129000</v>
      </c>
      <c r="N308" s="1182" t="s">
        <v>744</v>
      </c>
      <c r="O308" s="1182" t="s">
        <v>1815</v>
      </c>
    </row>
    <row r="309" spans="1:15" s="1156" customFormat="1" ht="90" x14ac:dyDescent="0.25">
      <c r="A309" s="1169">
        <v>2022303</v>
      </c>
      <c r="B309" s="1169">
        <v>7658</v>
      </c>
      <c r="C309" s="1169" t="s">
        <v>673</v>
      </c>
      <c r="D309" s="1187" t="s">
        <v>690</v>
      </c>
      <c r="E309" s="1231" t="s">
        <v>967</v>
      </c>
      <c r="F309" s="1232" t="s">
        <v>1142</v>
      </c>
      <c r="G309" s="1228">
        <v>44575</v>
      </c>
      <c r="H309" s="1228">
        <v>44575</v>
      </c>
      <c r="I309" s="1191" t="s">
        <v>1850</v>
      </c>
      <c r="J309" s="1192" t="s">
        <v>1817</v>
      </c>
      <c r="K309" s="1173" t="s">
        <v>678</v>
      </c>
      <c r="L309" s="1175" t="s">
        <v>969</v>
      </c>
      <c r="M309" s="1176">
        <v>10600000</v>
      </c>
      <c r="N309" s="1172" t="s">
        <v>744</v>
      </c>
      <c r="O309" s="1172" t="s">
        <v>1815</v>
      </c>
    </row>
    <row r="310" spans="1:15" s="1156" customFormat="1" ht="90" x14ac:dyDescent="0.25">
      <c r="A310" s="1169">
        <v>2022304</v>
      </c>
      <c r="B310" s="1169">
        <v>7658</v>
      </c>
      <c r="C310" s="1169" t="s">
        <v>673</v>
      </c>
      <c r="D310" s="1187" t="s">
        <v>690</v>
      </c>
      <c r="E310" s="1231" t="s">
        <v>967</v>
      </c>
      <c r="F310" s="1232" t="s">
        <v>970</v>
      </c>
      <c r="G310" s="1228">
        <v>44606</v>
      </c>
      <c r="H310" s="1228">
        <v>44606</v>
      </c>
      <c r="I310" s="1191" t="s">
        <v>1816</v>
      </c>
      <c r="J310" s="1192" t="s">
        <v>1817</v>
      </c>
      <c r="K310" s="1173" t="s">
        <v>678</v>
      </c>
      <c r="L310" s="1175" t="s">
        <v>969</v>
      </c>
      <c r="M310" s="1176">
        <v>109400000</v>
      </c>
      <c r="N310" s="1172" t="s">
        <v>744</v>
      </c>
      <c r="O310" s="1172" t="s">
        <v>1815</v>
      </c>
    </row>
    <row r="311" spans="1:15" s="1156" customFormat="1" ht="60" x14ac:dyDescent="0.25">
      <c r="A311" s="1169">
        <v>2022305</v>
      </c>
      <c r="B311" s="1169">
        <v>7658</v>
      </c>
      <c r="C311" s="1169" t="s">
        <v>673</v>
      </c>
      <c r="D311" s="1187" t="s">
        <v>690</v>
      </c>
      <c r="E311" s="1231" t="s">
        <v>1851</v>
      </c>
      <c r="F311" s="1232" t="s">
        <v>1852</v>
      </c>
      <c r="G311" s="1228">
        <v>44606</v>
      </c>
      <c r="H311" s="1228">
        <v>44606</v>
      </c>
      <c r="I311" s="1191" t="s">
        <v>1786</v>
      </c>
      <c r="J311" s="1192" t="s">
        <v>1751</v>
      </c>
      <c r="K311" s="1173" t="s">
        <v>774</v>
      </c>
      <c r="L311" s="1175" t="s">
        <v>1833</v>
      </c>
      <c r="M311" s="1176">
        <v>205000000</v>
      </c>
      <c r="N311" s="1172" t="s">
        <v>723</v>
      </c>
      <c r="O311" s="1172" t="s">
        <v>1834</v>
      </c>
    </row>
    <row r="312" spans="1:15" s="1156" customFormat="1" ht="90" x14ac:dyDescent="0.25">
      <c r="A312" s="1169">
        <v>2022306</v>
      </c>
      <c r="B312" s="1169">
        <v>7658</v>
      </c>
      <c r="C312" s="1169" t="s">
        <v>673</v>
      </c>
      <c r="D312" s="1187" t="s">
        <v>690</v>
      </c>
      <c r="E312" s="1231" t="s">
        <v>952</v>
      </c>
      <c r="F312" s="1232" t="s">
        <v>1853</v>
      </c>
      <c r="G312" s="1228">
        <v>44606</v>
      </c>
      <c r="H312" s="1228">
        <v>44606</v>
      </c>
      <c r="I312" s="1191" t="s">
        <v>1799</v>
      </c>
      <c r="J312" s="1192" t="s">
        <v>1832</v>
      </c>
      <c r="K312" s="1173" t="s">
        <v>774</v>
      </c>
      <c r="L312" s="1175" t="s">
        <v>1833</v>
      </c>
      <c r="M312" s="1176">
        <v>21000000</v>
      </c>
      <c r="N312" s="1172" t="s">
        <v>723</v>
      </c>
      <c r="O312" s="1172" t="s">
        <v>1834</v>
      </c>
    </row>
    <row r="313" spans="1:15" s="1156" customFormat="1" ht="60" x14ac:dyDescent="0.25">
      <c r="A313" s="1169">
        <v>2022307</v>
      </c>
      <c r="B313" s="1169">
        <v>7658</v>
      </c>
      <c r="C313" s="1169" t="s">
        <v>673</v>
      </c>
      <c r="D313" s="1187" t="s">
        <v>690</v>
      </c>
      <c r="E313" s="1227" t="s">
        <v>954</v>
      </c>
      <c r="F313" s="1232" t="s">
        <v>1854</v>
      </c>
      <c r="G313" s="1228">
        <v>44634</v>
      </c>
      <c r="H313" s="1228">
        <v>44634</v>
      </c>
      <c r="I313" s="1191" t="s">
        <v>1800</v>
      </c>
      <c r="J313" s="1192" t="s">
        <v>1842</v>
      </c>
      <c r="K313" s="1173" t="s">
        <v>774</v>
      </c>
      <c r="L313" s="1175" t="s">
        <v>1833</v>
      </c>
      <c r="M313" s="1176">
        <v>1000000000</v>
      </c>
      <c r="N313" s="1172" t="s">
        <v>723</v>
      </c>
      <c r="O313" s="1172" t="s">
        <v>1834</v>
      </c>
    </row>
    <row r="314" spans="1:15" s="1156" customFormat="1" ht="75" x14ac:dyDescent="0.25">
      <c r="A314" s="1169">
        <v>2022308</v>
      </c>
      <c r="B314" s="1169">
        <v>7658</v>
      </c>
      <c r="C314" s="1169" t="s">
        <v>673</v>
      </c>
      <c r="D314" s="1187" t="s">
        <v>690</v>
      </c>
      <c r="E314" s="1231" t="s">
        <v>952</v>
      </c>
      <c r="F314" s="1232" t="s">
        <v>1855</v>
      </c>
      <c r="G314" s="1228">
        <v>44634</v>
      </c>
      <c r="H314" s="1228">
        <v>44634</v>
      </c>
      <c r="I314" s="1191" t="s">
        <v>1856</v>
      </c>
      <c r="J314" s="1192" t="s">
        <v>1832</v>
      </c>
      <c r="K314" s="1173" t="s">
        <v>774</v>
      </c>
      <c r="L314" s="1175" t="s">
        <v>1833</v>
      </c>
      <c r="M314" s="1176">
        <v>345000000</v>
      </c>
      <c r="N314" s="1172" t="s">
        <v>723</v>
      </c>
      <c r="O314" s="1172" t="s">
        <v>1834</v>
      </c>
    </row>
    <row r="315" spans="1:15" s="1156" customFormat="1" ht="75" x14ac:dyDescent="0.25">
      <c r="A315" s="1169">
        <v>2022309</v>
      </c>
      <c r="B315" s="1169">
        <v>7658</v>
      </c>
      <c r="C315" s="1169" t="s">
        <v>673</v>
      </c>
      <c r="D315" s="1187" t="s">
        <v>690</v>
      </c>
      <c r="E315" s="1227" t="s">
        <v>1464</v>
      </c>
      <c r="F315" s="1229" t="s">
        <v>1857</v>
      </c>
      <c r="G315" s="1228">
        <v>44695</v>
      </c>
      <c r="H315" s="1228">
        <v>44695</v>
      </c>
      <c r="I315" s="1191" t="s">
        <v>1785</v>
      </c>
      <c r="J315" s="1192" t="s">
        <v>1842</v>
      </c>
      <c r="K315" s="1173" t="s">
        <v>774</v>
      </c>
      <c r="L315" s="1175" t="s">
        <v>1833</v>
      </c>
      <c r="M315" s="1193">
        <v>175000000</v>
      </c>
      <c r="N315" s="1172" t="s">
        <v>760</v>
      </c>
      <c r="O315" s="1172" t="s">
        <v>1858</v>
      </c>
    </row>
    <row r="316" spans="1:15" s="1156" customFormat="1" ht="75" x14ac:dyDescent="0.25">
      <c r="A316" s="1169">
        <v>2022310</v>
      </c>
      <c r="B316" s="1169">
        <v>7658</v>
      </c>
      <c r="C316" s="1169" t="s">
        <v>673</v>
      </c>
      <c r="D316" s="1187" t="s">
        <v>696</v>
      </c>
      <c r="E316" s="1227">
        <v>80111600</v>
      </c>
      <c r="F316" s="1196" t="s">
        <v>976</v>
      </c>
      <c r="G316" s="1190" t="s">
        <v>1743</v>
      </c>
      <c r="H316" s="1209" t="s">
        <v>1743</v>
      </c>
      <c r="I316" s="1191" t="s">
        <v>1786</v>
      </c>
      <c r="J316" s="1192" t="s">
        <v>1783</v>
      </c>
      <c r="K316" s="1173" t="s">
        <v>678</v>
      </c>
      <c r="L316" s="1238" t="s">
        <v>679</v>
      </c>
      <c r="M316" s="1193">
        <v>30429000</v>
      </c>
      <c r="N316" s="1172" t="s">
        <v>1859</v>
      </c>
      <c r="O316" s="1172" t="s">
        <v>1860</v>
      </c>
    </row>
    <row r="317" spans="1:15" s="1156" customFormat="1" ht="75" x14ac:dyDescent="0.25">
      <c r="A317" s="1169">
        <v>2022311</v>
      </c>
      <c r="B317" s="1169">
        <v>7658</v>
      </c>
      <c r="C317" s="1169" t="s">
        <v>673</v>
      </c>
      <c r="D317" s="1187" t="s">
        <v>696</v>
      </c>
      <c r="E317" s="1227">
        <v>80111600</v>
      </c>
      <c r="F317" s="1196" t="s">
        <v>977</v>
      </c>
      <c r="G317" s="1190" t="s">
        <v>1743</v>
      </c>
      <c r="H317" s="1209" t="s">
        <v>1743</v>
      </c>
      <c r="I317" s="1191" t="s">
        <v>1746</v>
      </c>
      <c r="J317" s="1192" t="s">
        <v>1783</v>
      </c>
      <c r="K317" s="1173" t="s">
        <v>678</v>
      </c>
      <c r="L317" s="1238" t="s">
        <v>679</v>
      </c>
      <c r="M317" s="1193">
        <v>26950000</v>
      </c>
      <c r="N317" s="1172" t="s">
        <v>1859</v>
      </c>
      <c r="O317" s="1172" t="s">
        <v>1860</v>
      </c>
    </row>
    <row r="318" spans="1:15" s="1156" customFormat="1" ht="75" x14ac:dyDescent="0.25">
      <c r="A318" s="1169">
        <v>2022312</v>
      </c>
      <c r="B318" s="1169">
        <v>7658</v>
      </c>
      <c r="C318" s="1169" t="s">
        <v>673</v>
      </c>
      <c r="D318" s="1187" t="s">
        <v>696</v>
      </c>
      <c r="E318" s="1227">
        <v>80111600</v>
      </c>
      <c r="F318" s="1196" t="s">
        <v>977</v>
      </c>
      <c r="G318" s="1190" t="s">
        <v>1743</v>
      </c>
      <c r="H318" s="1209" t="s">
        <v>1743</v>
      </c>
      <c r="I318" s="1191" t="s">
        <v>1746</v>
      </c>
      <c r="J318" s="1192" t="s">
        <v>1783</v>
      </c>
      <c r="K318" s="1173" t="s">
        <v>678</v>
      </c>
      <c r="L318" s="1238" t="s">
        <v>679</v>
      </c>
      <c r="M318" s="1193">
        <v>26950000</v>
      </c>
      <c r="N318" s="1172" t="s">
        <v>1859</v>
      </c>
      <c r="O318" s="1172" t="s">
        <v>1860</v>
      </c>
    </row>
    <row r="319" spans="1:15" s="1156" customFormat="1" ht="75" x14ac:dyDescent="0.25">
      <c r="A319" s="1169">
        <v>2022313</v>
      </c>
      <c r="B319" s="1169">
        <v>7658</v>
      </c>
      <c r="C319" s="1169" t="s">
        <v>673</v>
      </c>
      <c r="D319" s="1187" t="s">
        <v>696</v>
      </c>
      <c r="E319" s="1227">
        <v>80111600</v>
      </c>
      <c r="F319" s="1196" t="s">
        <v>978</v>
      </c>
      <c r="G319" s="1190" t="s">
        <v>1743</v>
      </c>
      <c r="H319" s="1209" t="s">
        <v>1743</v>
      </c>
      <c r="I319" s="1191" t="s">
        <v>1746</v>
      </c>
      <c r="J319" s="1192" t="s">
        <v>1783</v>
      </c>
      <c r="K319" s="1173" t="s">
        <v>678</v>
      </c>
      <c r="L319" s="1238" t="s">
        <v>679</v>
      </c>
      <c r="M319" s="1193">
        <v>59202000</v>
      </c>
      <c r="N319" s="1172" t="s">
        <v>1859</v>
      </c>
      <c r="O319" s="1172" t="s">
        <v>1860</v>
      </c>
    </row>
    <row r="320" spans="1:15" s="1156" customFormat="1" ht="75" x14ac:dyDescent="0.25">
      <c r="A320" s="1169">
        <v>2022314</v>
      </c>
      <c r="B320" s="1169">
        <v>7658</v>
      </c>
      <c r="C320" s="1169" t="s">
        <v>673</v>
      </c>
      <c r="D320" s="1187" t="s">
        <v>696</v>
      </c>
      <c r="E320" s="1227">
        <v>80111600</v>
      </c>
      <c r="F320" s="1196" t="s">
        <v>979</v>
      </c>
      <c r="G320" s="1190" t="s">
        <v>1743</v>
      </c>
      <c r="H320" s="1209" t="s">
        <v>1743</v>
      </c>
      <c r="I320" s="1191" t="s">
        <v>1746</v>
      </c>
      <c r="J320" s="1192" t="s">
        <v>1783</v>
      </c>
      <c r="K320" s="1173" t="s">
        <v>678</v>
      </c>
      <c r="L320" s="1238" t="s">
        <v>679</v>
      </c>
      <c r="M320" s="1193">
        <v>36850000</v>
      </c>
      <c r="N320" s="1172" t="s">
        <v>1859</v>
      </c>
      <c r="O320" s="1172" t="s">
        <v>1860</v>
      </c>
    </row>
    <row r="321" spans="1:18" s="1156" customFormat="1" ht="75" x14ac:dyDescent="0.25">
      <c r="A321" s="1169">
        <v>2022315</v>
      </c>
      <c r="B321" s="1169">
        <v>7658</v>
      </c>
      <c r="C321" s="1169" t="s">
        <v>673</v>
      </c>
      <c r="D321" s="1187" t="s">
        <v>696</v>
      </c>
      <c r="E321" s="1227">
        <v>80111600</v>
      </c>
      <c r="F321" s="1196" t="s">
        <v>980</v>
      </c>
      <c r="G321" s="1190" t="s">
        <v>1743</v>
      </c>
      <c r="H321" s="1209" t="s">
        <v>1743</v>
      </c>
      <c r="I321" s="1191" t="s">
        <v>1746</v>
      </c>
      <c r="J321" s="1192" t="s">
        <v>1783</v>
      </c>
      <c r="K321" s="1173" t="s">
        <v>678</v>
      </c>
      <c r="L321" s="1238" t="s">
        <v>679</v>
      </c>
      <c r="M321" s="1193">
        <v>47817000</v>
      </c>
      <c r="N321" s="1172" t="s">
        <v>1859</v>
      </c>
      <c r="O321" s="1172" t="s">
        <v>1860</v>
      </c>
    </row>
    <row r="322" spans="1:18" s="1156" customFormat="1" ht="75" x14ac:dyDescent="0.25">
      <c r="A322" s="1169">
        <v>2022316</v>
      </c>
      <c r="B322" s="1169">
        <v>7658</v>
      </c>
      <c r="C322" s="1169" t="s">
        <v>673</v>
      </c>
      <c r="D322" s="1187" t="s">
        <v>696</v>
      </c>
      <c r="E322" s="1227">
        <v>80111600</v>
      </c>
      <c r="F322" s="1196" t="s">
        <v>981</v>
      </c>
      <c r="G322" s="1190" t="s">
        <v>1743</v>
      </c>
      <c r="H322" s="1209" t="s">
        <v>1743</v>
      </c>
      <c r="I322" s="1191" t="s">
        <v>1746</v>
      </c>
      <c r="J322" s="1192" t="s">
        <v>1783</v>
      </c>
      <c r="K322" s="1173" t="s">
        <v>678</v>
      </c>
      <c r="L322" s="1238" t="s">
        <v>679</v>
      </c>
      <c r="M322" s="1193">
        <v>59202000</v>
      </c>
      <c r="N322" s="1172" t="s">
        <v>1859</v>
      </c>
      <c r="O322" s="1172" t="s">
        <v>1860</v>
      </c>
    </row>
    <row r="323" spans="1:18" s="1156" customFormat="1" ht="75" x14ac:dyDescent="0.25">
      <c r="A323" s="1169">
        <v>2022317</v>
      </c>
      <c r="B323" s="1169">
        <v>7658</v>
      </c>
      <c r="C323" s="1169" t="s">
        <v>673</v>
      </c>
      <c r="D323" s="1187" t="s">
        <v>696</v>
      </c>
      <c r="E323" s="1227">
        <v>80111600</v>
      </c>
      <c r="F323" s="1196" t="s">
        <v>982</v>
      </c>
      <c r="G323" s="1190" t="s">
        <v>1743</v>
      </c>
      <c r="H323" s="1209" t="s">
        <v>1743</v>
      </c>
      <c r="I323" s="1191" t="s">
        <v>1746</v>
      </c>
      <c r="J323" s="1192" t="s">
        <v>1783</v>
      </c>
      <c r="K323" s="1173" t="s">
        <v>678</v>
      </c>
      <c r="L323" s="1238" t="s">
        <v>679</v>
      </c>
      <c r="M323" s="1193">
        <v>31880000</v>
      </c>
      <c r="N323" s="1172" t="s">
        <v>1859</v>
      </c>
      <c r="O323" s="1172" t="s">
        <v>1860</v>
      </c>
    </row>
    <row r="324" spans="1:18" s="1156" customFormat="1" ht="75" x14ac:dyDescent="0.25">
      <c r="A324" s="1169">
        <v>2022318</v>
      </c>
      <c r="B324" s="1169">
        <v>7658</v>
      </c>
      <c r="C324" s="1169" t="s">
        <v>673</v>
      </c>
      <c r="D324" s="1187" t="s">
        <v>696</v>
      </c>
      <c r="E324" s="1227">
        <v>80111600</v>
      </c>
      <c r="F324" s="1196" t="s">
        <v>983</v>
      </c>
      <c r="G324" s="1190" t="s">
        <v>1743</v>
      </c>
      <c r="H324" s="1209" t="s">
        <v>1743</v>
      </c>
      <c r="I324" s="1191" t="s">
        <v>1746</v>
      </c>
      <c r="J324" s="1192" t="s">
        <v>1783</v>
      </c>
      <c r="K324" s="1173" t="s">
        <v>678</v>
      </c>
      <c r="L324" s="1238" t="s">
        <v>679</v>
      </c>
      <c r="M324" s="1193">
        <v>16146000</v>
      </c>
      <c r="N324" s="1172" t="s">
        <v>1859</v>
      </c>
      <c r="O324" s="1172" t="s">
        <v>1860</v>
      </c>
    </row>
    <row r="325" spans="1:18" s="1156" customFormat="1" ht="75" x14ac:dyDescent="0.25">
      <c r="A325" s="1169">
        <v>2022319</v>
      </c>
      <c r="B325" s="1169">
        <v>7658</v>
      </c>
      <c r="C325" s="1169" t="s">
        <v>673</v>
      </c>
      <c r="D325" s="1187" t="s">
        <v>696</v>
      </c>
      <c r="E325" s="1227">
        <v>80111600</v>
      </c>
      <c r="F325" s="1196" t="s">
        <v>984</v>
      </c>
      <c r="G325" s="1190" t="s">
        <v>1743</v>
      </c>
      <c r="H325" s="1209" t="s">
        <v>1743</v>
      </c>
      <c r="I325" s="1191" t="s">
        <v>1746</v>
      </c>
      <c r="J325" s="1192" t="s">
        <v>1783</v>
      </c>
      <c r="K325" s="1173" t="s">
        <v>678</v>
      </c>
      <c r="L325" s="1238" t="s">
        <v>679</v>
      </c>
      <c r="M325" s="1193">
        <v>80300000</v>
      </c>
      <c r="N325" s="1172" t="s">
        <v>1859</v>
      </c>
      <c r="O325" s="1172" t="s">
        <v>1860</v>
      </c>
    </row>
    <row r="326" spans="1:18" s="1156" customFormat="1" ht="75" x14ac:dyDescent="0.25">
      <c r="A326" s="1169">
        <v>2022320</v>
      </c>
      <c r="B326" s="1169">
        <v>7658</v>
      </c>
      <c r="C326" s="1169" t="s">
        <v>673</v>
      </c>
      <c r="D326" s="1187" t="s">
        <v>696</v>
      </c>
      <c r="E326" s="1227">
        <v>80111600</v>
      </c>
      <c r="F326" s="1196" t="s">
        <v>985</v>
      </c>
      <c r="G326" s="1190" t="s">
        <v>1743</v>
      </c>
      <c r="H326" s="1209" t="s">
        <v>1743</v>
      </c>
      <c r="I326" s="1191" t="s">
        <v>1746</v>
      </c>
      <c r="J326" s="1192" t="s">
        <v>1783</v>
      </c>
      <c r="K326" s="1173" t="s">
        <v>678</v>
      </c>
      <c r="L326" s="1238" t="s">
        <v>679</v>
      </c>
      <c r="M326" s="1193">
        <v>56925000</v>
      </c>
      <c r="N326" s="1172" t="s">
        <v>1859</v>
      </c>
      <c r="O326" s="1172" t="s">
        <v>1860</v>
      </c>
    </row>
    <row r="327" spans="1:18" s="1156" customFormat="1" ht="75" x14ac:dyDescent="0.25">
      <c r="A327" s="1169">
        <v>2022321</v>
      </c>
      <c r="B327" s="1169">
        <v>7658</v>
      </c>
      <c r="C327" s="1169" t="s">
        <v>673</v>
      </c>
      <c r="D327" s="1187" t="s">
        <v>696</v>
      </c>
      <c r="E327" s="1227">
        <v>80111600</v>
      </c>
      <c r="F327" s="1196" t="s">
        <v>986</v>
      </c>
      <c r="G327" s="1190" t="s">
        <v>1743</v>
      </c>
      <c r="H327" s="1209" t="s">
        <v>1743</v>
      </c>
      <c r="I327" s="1191" t="s">
        <v>1791</v>
      </c>
      <c r="J327" s="1192" t="s">
        <v>1783</v>
      </c>
      <c r="K327" s="1173" t="s">
        <v>678</v>
      </c>
      <c r="L327" s="1238" t="s">
        <v>679</v>
      </c>
      <c r="M327" s="1193">
        <v>23100000</v>
      </c>
      <c r="N327" s="1172" t="s">
        <v>1859</v>
      </c>
      <c r="O327" s="1172" t="s">
        <v>1860</v>
      </c>
    </row>
    <row r="328" spans="1:18" s="1156" customFormat="1" ht="75" x14ac:dyDescent="0.25">
      <c r="A328" s="1169">
        <v>2022322</v>
      </c>
      <c r="B328" s="1169">
        <v>7658</v>
      </c>
      <c r="C328" s="1169" t="s">
        <v>673</v>
      </c>
      <c r="D328" s="1187" t="s">
        <v>696</v>
      </c>
      <c r="E328" s="1227">
        <v>80111600</v>
      </c>
      <c r="F328" s="1196" t="s">
        <v>987</v>
      </c>
      <c r="G328" s="1190" t="s">
        <v>1743</v>
      </c>
      <c r="H328" s="1209" t="s">
        <v>1743</v>
      </c>
      <c r="I328" s="1191" t="s">
        <v>1790</v>
      </c>
      <c r="J328" s="1192" t="s">
        <v>1783</v>
      </c>
      <c r="K328" s="1173" t="s">
        <v>678</v>
      </c>
      <c r="L328" s="1238" t="s">
        <v>679</v>
      </c>
      <c r="M328" s="1193">
        <v>26950000</v>
      </c>
      <c r="N328" s="1172" t="s">
        <v>1859</v>
      </c>
      <c r="O328" s="1172" t="s">
        <v>1860</v>
      </c>
    </row>
    <row r="329" spans="1:18" s="1156" customFormat="1" ht="118.5" customHeight="1" x14ac:dyDescent="0.25">
      <c r="A329" s="1169">
        <v>2022323</v>
      </c>
      <c r="B329" s="1169">
        <v>7658</v>
      </c>
      <c r="C329" s="1169" t="s">
        <v>673</v>
      </c>
      <c r="D329" s="1187" t="s">
        <v>696</v>
      </c>
      <c r="E329" s="1231">
        <v>80111600</v>
      </c>
      <c r="F329" s="1172" t="s">
        <v>988</v>
      </c>
      <c r="G329" s="1190" t="s">
        <v>1743</v>
      </c>
      <c r="H329" s="1209" t="s">
        <v>1743</v>
      </c>
      <c r="I329" s="1191" t="s">
        <v>1746</v>
      </c>
      <c r="J329" s="1192" t="s">
        <v>1783</v>
      </c>
      <c r="K329" s="1173" t="s">
        <v>678</v>
      </c>
      <c r="L329" s="1238" t="s">
        <v>679</v>
      </c>
      <c r="M329" s="1176">
        <v>47817000</v>
      </c>
      <c r="N329" s="1172" t="s">
        <v>1859</v>
      </c>
      <c r="O329" s="1172" t="s">
        <v>1860</v>
      </c>
    </row>
    <row r="330" spans="1:18" s="1156" customFormat="1" ht="409.5" x14ac:dyDescent="0.25">
      <c r="A330" s="1169">
        <v>2022324</v>
      </c>
      <c r="B330" s="1169">
        <v>7658</v>
      </c>
      <c r="C330" s="1169" t="s">
        <v>673</v>
      </c>
      <c r="D330" s="1187" t="s">
        <v>696</v>
      </c>
      <c r="E330" s="1239" t="s">
        <v>989</v>
      </c>
      <c r="F330" s="1172" t="s">
        <v>990</v>
      </c>
      <c r="G330" s="1190" t="s">
        <v>1749</v>
      </c>
      <c r="H330" s="1209" t="s">
        <v>1757</v>
      </c>
      <c r="I330" s="1191" t="s">
        <v>1785</v>
      </c>
      <c r="J330" s="1192" t="s">
        <v>1861</v>
      </c>
      <c r="K330" s="1173" t="s">
        <v>774</v>
      </c>
      <c r="L330" s="1175" t="s">
        <v>1840</v>
      </c>
      <c r="M330" s="1193">
        <v>200000000</v>
      </c>
      <c r="N330" s="1172" t="s">
        <v>1859</v>
      </c>
      <c r="O330" s="1172" t="s">
        <v>1860</v>
      </c>
    </row>
    <row r="331" spans="1:18" s="1156" customFormat="1" ht="90" x14ac:dyDescent="0.25">
      <c r="A331" s="1169">
        <v>2022325</v>
      </c>
      <c r="B331" s="1169">
        <v>7658</v>
      </c>
      <c r="C331" s="1169" t="s">
        <v>673</v>
      </c>
      <c r="D331" s="1187" t="s">
        <v>696</v>
      </c>
      <c r="E331" s="1231" t="s">
        <v>991</v>
      </c>
      <c r="F331" s="1172" t="s">
        <v>1862</v>
      </c>
      <c r="G331" s="1190" t="s">
        <v>1743</v>
      </c>
      <c r="H331" s="1209" t="s">
        <v>1749</v>
      </c>
      <c r="I331" s="1191" t="s">
        <v>1785</v>
      </c>
      <c r="J331" s="1192" t="s">
        <v>1842</v>
      </c>
      <c r="K331" s="1173" t="s">
        <v>678</v>
      </c>
      <c r="L331" s="1238" t="s">
        <v>679</v>
      </c>
      <c r="M331" s="1176">
        <v>770904000</v>
      </c>
      <c r="N331" s="1172" t="s">
        <v>1859</v>
      </c>
      <c r="O331" s="1172" t="s">
        <v>1860</v>
      </c>
    </row>
    <row r="332" spans="1:18" s="1156" customFormat="1" ht="75" x14ac:dyDescent="0.25">
      <c r="A332" s="1169">
        <v>2022326</v>
      </c>
      <c r="B332" s="1169">
        <v>7658</v>
      </c>
      <c r="C332" s="1169" t="s">
        <v>673</v>
      </c>
      <c r="D332" s="1187" t="s">
        <v>696</v>
      </c>
      <c r="E332" s="1227">
        <v>46201002</v>
      </c>
      <c r="F332" s="1196" t="s">
        <v>1863</v>
      </c>
      <c r="G332" s="1190" t="s">
        <v>1743</v>
      </c>
      <c r="H332" s="1209" t="s">
        <v>1749</v>
      </c>
      <c r="I332" s="1191" t="s">
        <v>1785</v>
      </c>
      <c r="J332" s="1192" t="s">
        <v>1842</v>
      </c>
      <c r="K332" s="1173" t="s">
        <v>774</v>
      </c>
      <c r="L332" s="1175" t="s">
        <v>1840</v>
      </c>
      <c r="M332" s="1193">
        <v>1100000000</v>
      </c>
      <c r="N332" s="1172" t="s">
        <v>1859</v>
      </c>
      <c r="O332" s="1172" t="s">
        <v>1860</v>
      </c>
      <c r="P332" s="1240"/>
    </row>
    <row r="333" spans="1:18" s="1156" customFormat="1" ht="75" x14ac:dyDescent="0.25">
      <c r="A333" s="1179">
        <v>2022327</v>
      </c>
      <c r="B333" s="1179">
        <v>7658</v>
      </c>
      <c r="C333" s="1179" t="s">
        <v>673</v>
      </c>
      <c r="D333" s="1224" t="s">
        <v>696</v>
      </c>
      <c r="E333" s="1225">
        <v>90121800</v>
      </c>
      <c r="F333" s="1241" t="s">
        <v>995</v>
      </c>
      <c r="G333" s="1242" t="s">
        <v>1743</v>
      </c>
      <c r="H333" s="1243" t="s">
        <v>1743</v>
      </c>
      <c r="I333" s="1236" t="s">
        <v>1793</v>
      </c>
      <c r="J333" s="1237" t="s">
        <v>1796</v>
      </c>
      <c r="K333" s="1181" t="s">
        <v>678</v>
      </c>
      <c r="L333" s="1244" t="s">
        <v>679</v>
      </c>
      <c r="M333" s="1185">
        <f>40000000+10000000+10000000</f>
        <v>60000000</v>
      </c>
      <c r="N333" s="1182" t="s">
        <v>1859</v>
      </c>
      <c r="O333" s="1182" t="s">
        <v>1860</v>
      </c>
      <c r="P333" s="1245"/>
      <c r="R333" s="1177"/>
    </row>
    <row r="334" spans="1:18" s="1156" customFormat="1" ht="75" x14ac:dyDescent="0.25">
      <c r="A334" s="1169">
        <v>2022328</v>
      </c>
      <c r="B334" s="1169">
        <v>7658</v>
      </c>
      <c r="C334" s="1169" t="s">
        <v>673</v>
      </c>
      <c r="D334" s="1187" t="s">
        <v>696</v>
      </c>
      <c r="E334" s="1227">
        <v>90121800</v>
      </c>
      <c r="F334" s="1196" t="s">
        <v>996</v>
      </c>
      <c r="G334" s="1190" t="s">
        <v>1743</v>
      </c>
      <c r="H334" s="1209" t="s">
        <v>1743</v>
      </c>
      <c r="I334" s="1191" t="s">
        <v>1793</v>
      </c>
      <c r="J334" s="1192" t="s">
        <v>1796</v>
      </c>
      <c r="K334" s="1173" t="s">
        <v>678</v>
      </c>
      <c r="L334" s="1238" t="s">
        <v>679</v>
      </c>
      <c r="M334" s="1246">
        <v>80000000</v>
      </c>
      <c r="N334" s="1172" t="s">
        <v>1859</v>
      </c>
      <c r="O334" s="1172" t="s">
        <v>1860</v>
      </c>
      <c r="P334" s="1245"/>
    </row>
    <row r="335" spans="1:18" s="1156" customFormat="1" ht="75" x14ac:dyDescent="0.25">
      <c r="A335" s="1169">
        <v>2022329</v>
      </c>
      <c r="B335" s="1169">
        <v>7658</v>
      </c>
      <c r="C335" s="1169" t="s">
        <v>673</v>
      </c>
      <c r="D335" s="1187" t="s">
        <v>696</v>
      </c>
      <c r="E335" s="1227">
        <v>80111600</v>
      </c>
      <c r="F335" s="1196" t="s">
        <v>997</v>
      </c>
      <c r="G335" s="1190" t="s">
        <v>1743</v>
      </c>
      <c r="H335" s="1209" t="s">
        <v>1743</v>
      </c>
      <c r="I335" s="1191" t="s">
        <v>1791</v>
      </c>
      <c r="J335" s="1192" t="s">
        <v>1783</v>
      </c>
      <c r="K335" s="1173" t="s">
        <v>678</v>
      </c>
      <c r="L335" s="1238" t="s">
        <v>679</v>
      </c>
      <c r="M335" s="1247">
        <v>39357000</v>
      </c>
      <c r="N335" s="1172" t="s">
        <v>1859</v>
      </c>
      <c r="O335" s="1172" t="s">
        <v>1860</v>
      </c>
      <c r="P335" s="1248"/>
    </row>
    <row r="336" spans="1:18" s="1156" customFormat="1" ht="90" x14ac:dyDescent="0.25">
      <c r="A336" s="1169">
        <v>2022330</v>
      </c>
      <c r="B336" s="1169">
        <v>7658</v>
      </c>
      <c r="C336" s="1169" t="s">
        <v>673</v>
      </c>
      <c r="D336" s="1187" t="s">
        <v>702</v>
      </c>
      <c r="E336" s="1227" t="s">
        <v>998</v>
      </c>
      <c r="F336" s="1196" t="s">
        <v>999</v>
      </c>
      <c r="G336" s="1190" t="s">
        <v>1743</v>
      </c>
      <c r="H336" s="1209" t="s">
        <v>1749</v>
      </c>
      <c r="I336" s="1191" t="s">
        <v>1793</v>
      </c>
      <c r="J336" s="1192" t="s">
        <v>1842</v>
      </c>
      <c r="K336" s="1173" t="s">
        <v>774</v>
      </c>
      <c r="L336" s="1175" t="s">
        <v>962</v>
      </c>
      <c r="M336" s="1193">
        <v>5600000000</v>
      </c>
      <c r="N336" s="1172" t="s">
        <v>752</v>
      </c>
      <c r="O336" s="1172" t="s">
        <v>1815</v>
      </c>
    </row>
    <row r="337" spans="1:15" s="1310" customFormat="1" ht="90" x14ac:dyDescent="0.25">
      <c r="A337" s="1298">
        <v>2022331</v>
      </c>
      <c r="B337" s="1298">
        <v>7658</v>
      </c>
      <c r="C337" s="1298" t="s">
        <v>673</v>
      </c>
      <c r="D337" s="1299" t="s">
        <v>702</v>
      </c>
      <c r="E337" s="1300" t="s">
        <v>1000</v>
      </c>
      <c r="F337" s="1301" t="s">
        <v>1001</v>
      </c>
      <c r="G337" s="1302" t="s">
        <v>1743</v>
      </c>
      <c r="H337" s="1303" t="s">
        <v>1749</v>
      </c>
      <c r="I337" s="1304" t="s">
        <v>1864</v>
      </c>
      <c r="J337" s="1305" t="s">
        <v>1842</v>
      </c>
      <c r="K337" s="1306" t="s">
        <v>774</v>
      </c>
      <c r="L337" s="1307" t="s">
        <v>962</v>
      </c>
      <c r="M337" s="1308">
        <v>1325000000</v>
      </c>
      <c r="N337" s="1309" t="s">
        <v>747</v>
      </c>
      <c r="O337" s="1309" t="s">
        <v>1815</v>
      </c>
    </row>
    <row r="338" spans="1:15" s="1156" customFormat="1" ht="90" x14ac:dyDescent="0.25">
      <c r="A338" s="1169">
        <v>2022332</v>
      </c>
      <c r="B338" s="1169">
        <v>7658</v>
      </c>
      <c r="C338" s="1169" t="s">
        <v>673</v>
      </c>
      <c r="D338" s="1187" t="s">
        <v>702</v>
      </c>
      <c r="E338" s="1227" t="s">
        <v>1000</v>
      </c>
      <c r="F338" s="1196" t="s">
        <v>1001</v>
      </c>
      <c r="G338" s="1190" t="s">
        <v>1743</v>
      </c>
      <c r="H338" s="1209" t="s">
        <v>1749</v>
      </c>
      <c r="I338" s="1191" t="s">
        <v>1864</v>
      </c>
      <c r="J338" s="1192" t="s">
        <v>1842</v>
      </c>
      <c r="K338" s="1173" t="s">
        <v>678</v>
      </c>
      <c r="L338" s="1175" t="s">
        <v>962</v>
      </c>
      <c r="M338" s="1193">
        <v>548720000</v>
      </c>
      <c r="N338" s="1172" t="s">
        <v>747</v>
      </c>
      <c r="O338" s="1172" t="s">
        <v>1815</v>
      </c>
    </row>
    <row r="339" spans="1:15" s="1156" customFormat="1" ht="90" x14ac:dyDescent="0.25">
      <c r="A339" s="1169">
        <v>2022333</v>
      </c>
      <c r="B339" s="1169">
        <v>7658</v>
      </c>
      <c r="C339" s="1169" t="s">
        <v>673</v>
      </c>
      <c r="D339" s="1187" t="s">
        <v>702</v>
      </c>
      <c r="E339" s="1227" t="s">
        <v>1865</v>
      </c>
      <c r="F339" s="1196" t="s">
        <v>1005</v>
      </c>
      <c r="G339" s="1190" t="s">
        <v>1743</v>
      </c>
      <c r="H339" s="1209" t="s">
        <v>1866</v>
      </c>
      <c r="I339" s="1191" t="s">
        <v>1864</v>
      </c>
      <c r="J339" s="1192" t="s">
        <v>1842</v>
      </c>
      <c r="K339" s="1173" t="s">
        <v>774</v>
      </c>
      <c r="L339" s="1175" t="s">
        <v>962</v>
      </c>
      <c r="M339" s="1193">
        <v>1078000000</v>
      </c>
      <c r="N339" s="1172" t="s">
        <v>747</v>
      </c>
      <c r="O339" s="1172" t="s">
        <v>1815</v>
      </c>
    </row>
    <row r="340" spans="1:15" s="1156" customFormat="1" ht="90" x14ac:dyDescent="0.25">
      <c r="A340" s="1169">
        <v>2022334</v>
      </c>
      <c r="B340" s="1169">
        <v>7658</v>
      </c>
      <c r="C340" s="1169" t="s">
        <v>673</v>
      </c>
      <c r="D340" s="1187" t="s">
        <v>702</v>
      </c>
      <c r="E340" s="1227" t="s">
        <v>1865</v>
      </c>
      <c r="F340" s="1196" t="s">
        <v>1005</v>
      </c>
      <c r="G340" s="1190" t="s">
        <v>1743</v>
      </c>
      <c r="H340" s="1209" t="s">
        <v>1866</v>
      </c>
      <c r="I340" s="1191" t="s">
        <v>1864</v>
      </c>
      <c r="J340" s="1192" t="s">
        <v>1842</v>
      </c>
      <c r="K340" s="1173" t="s">
        <v>678</v>
      </c>
      <c r="L340" s="1175" t="s">
        <v>962</v>
      </c>
      <c r="M340" s="1193">
        <v>204051000</v>
      </c>
      <c r="N340" s="1172" t="s">
        <v>747</v>
      </c>
      <c r="O340" s="1172" t="s">
        <v>1815</v>
      </c>
    </row>
    <row r="341" spans="1:15" s="1156" customFormat="1" ht="90" x14ac:dyDescent="0.25">
      <c r="A341" s="1169">
        <v>2022335</v>
      </c>
      <c r="B341" s="1169">
        <v>7658</v>
      </c>
      <c r="C341" s="1169" t="s">
        <v>673</v>
      </c>
      <c r="D341" s="1187" t="s">
        <v>702</v>
      </c>
      <c r="E341" s="1227" t="s">
        <v>1867</v>
      </c>
      <c r="F341" s="1196" t="s">
        <v>1868</v>
      </c>
      <c r="G341" s="1190" t="s">
        <v>1743</v>
      </c>
      <c r="H341" s="1209" t="s">
        <v>1866</v>
      </c>
      <c r="I341" s="1191" t="s">
        <v>1869</v>
      </c>
      <c r="J341" s="1192" t="s">
        <v>1751</v>
      </c>
      <c r="K341" s="1173" t="s">
        <v>678</v>
      </c>
      <c r="L341" s="1175" t="s">
        <v>962</v>
      </c>
      <c r="M341" s="1193">
        <v>40000000</v>
      </c>
      <c r="N341" s="1172" t="s">
        <v>747</v>
      </c>
      <c r="O341" s="1172" t="s">
        <v>1815</v>
      </c>
    </row>
    <row r="342" spans="1:15" s="1156" customFormat="1" ht="90" x14ac:dyDescent="0.25">
      <c r="A342" s="1169">
        <v>2022336</v>
      </c>
      <c r="B342" s="1169">
        <v>7658</v>
      </c>
      <c r="C342" s="1169" t="s">
        <v>673</v>
      </c>
      <c r="D342" s="1187" t="s">
        <v>702</v>
      </c>
      <c r="E342" s="1227" t="s">
        <v>1006</v>
      </c>
      <c r="F342" s="1196" t="s">
        <v>1007</v>
      </c>
      <c r="G342" s="1190" t="s">
        <v>1743</v>
      </c>
      <c r="H342" s="1190" t="s">
        <v>1753</v>
      </c>
      <c r="I342" s="1191" t="s">
        <v>1869</v>
      </c>
      <c r="J342" s="1192" t="s">
        <v>1751</v>
      </c>
      <c r="K342" s="1173" t="s">
        <v>678</v>
      </c>
      <c r="L342" s="1175" t="s">
        <v>962</v>
      </c>
      <c r="M342" s="1193">
        <v>125000000</v>
      </c>
      <c r="N342" s="1172" t="s">
        <v>747</v>
      </c>
      <c r="O342" s="1172" t="s">
        <v>1815</v>
      </c>
    </row>
    <row r="343" spans="1:15" s="1156" customFormat="1" ht="90" x14ac:dyDescent="0.25">
      <c r="A343" s="1169">
        <v>2022337</v>
      </c>
      <c r="B343" s="1169">
        <v>7658</v>
      </c>
      <c r="C343" s="1169" t="s">
        <v>673</v>
      </c>
      <c r="D343" s="1187" t="s">
        <v>702</v>
      </c>
      <c r="E343" s="1227">
        <v>80111600</v>
      </c>
      <c r="F343" s="1196" t="s">
        <v>1008</v>
      </c>
      <c r="G343" s="1190" t="s">
        <v>1743</v>
      </c>
      <c r="H343" s="1209" t="s">
        <v>1743</v>
      </c>
      <c r="I343" s="1191" t="s">
        <v>1793</v>
      </c>
      <c r="J343" s="1192" t="s">
        <v>1783</v>
      </c>
      <c r="K343" s="1173" t="s">
        <v>678</v>
      </c>
      <c r="L343" s="1238" t="s">
        <v>679</v>
      </c>
      <c r="M343" s="1193">
        <v>25980000</v>
      </c>
      <c r="N343" s="1172" t="s">
        <v>747</v>
      </c>
      <c r="O343" s="1172" t="s">
        <v>1815</v>
      </c>
    </row>
    <row r="344" spans="1:15" s="1156" customFormat="1" ht="90" x14ac:dyDescent="0.25">
      <c r="A344" s="1169">
        <v>2022338</v>
      </c>
      <c r="B344" s="1169">
        <v>7658</v>
      </c>
      <c r="C344" s="1169" t="s">
        <v>673</v>
      </c>
      <c r="D344" s="1187" t="s">
        <v>702</v>
      </c>
      <c r="E344" s="1227">
        <v>80111600</v>
      </c>
      <c r="F344" s="1196" t="s">
        <v>1008</v>
      </c>
      <c r="G344" s="1190" t="s">
        <v>1743</v>
      </c>
      <c r="H344" s="1209" t="s">
        <v>1743</v>
      </c>
      <c r="I344" s="1191" t="s">
        <v>1793</v>
      </c>
      <c r="J344" s="1192" t="s">
        <v>1783</v>
      </c>
      <c r="K344" s="1173" t="s">
        <v>678</v>
      </c>
      <c r="L344" s="1238" t="s">
        <v>679</v>
      </c>
      <c r="M344" s="1193">
        <v>25980000</v>
      </c>
      <c r="N344" s="1172" t="s">
        <v>747</v>
      </c>
      <c r="O344" s="1172" t="s">
        <v>1815</v>
      </c>
    </row>
    <row r="345" spans="1:15" s="1156" customFormat="1" ht="90" x14ac:dyDescent="0.25">
      <c r="A345" s="1169">
        <v>2022339</v>
      </c>
      <c r="B345" s="1169">
        <v>7658</v>
      </c>
      <c r="C345" s="1169" t="s">
        <v>673</v>
      </c>
      <c r="D345" s="1187" t="s">
        <v>702</v>
      </c>
      <c r="E345" s="1227">
        <v>80111600</v>
      </c>
      <c r="F345" s="1196" t="s">
        <v>1008</v>
      </c>
      <c r="G345" s="1190" t="s">
        <v>1743</v>
      </c>
      <c r="H345" s="1209" t="s">
        <v>1743</v>
      </c>
      <c r="I345" s="1191" t="s">
        <v>1793</v>
      </c>
      <c r="J345" s="1192" t="s">
        <v>1783</v>
      </c>
      <c r="K345" s="1173" t="s">
        <v>678</v>
      </c>
      <c r="L345" s="1238" t="s">
        <v>679</v>
      </c>
      <c r="M345" s="1193">
        <v>25980000</v>
      </c>
      <c r="N345" s="1172" t="s">
        <v>747</v>
      </c>
      <c r="O345" s="1172" t="s">
        <v>1815</v>
      </c>
    </row>
    <row r="346" spans="1:15" s="1156" customFormat="1" ht="90" x14ac:dyDescent="0.25">
      <c r="A346" s="1169">
        <v>2022340</v>
      </c>
      <c r="B346" s="1169">
        <v>7658</v>
      </c>
      <c r="C346" s="1169" t="s">
        <v>673</v>
      </c>
      <c r="D346" s="1187" t="s">
        <v>702</v>
      </c>
      <c r="E346" s="1227">
        <v>80111600</v>
      </c>
      <c r="F346" s="1196" t="s">
        <v>1008</v>
      </c>
      <c r="G346" s="1190" t="s">
        <v>1743</v>
      </c>
      <c r="H346" s="1209" t="s">
        <v>1743</v>
      </c>
      <c r="I346" s="1191" t="s">
        <v>1793</v>
      </c>
      <c r="J346" s="1192" t="s">
        <v>1783</v>
      </c>
      <c r="K346" s="1173" t="s">
        <v>678</v>
      </c>
      <c r="L346" s="1238" t="s">
        <v>679</v>
      </c>
      <c r="M346" s="1193">
        <v>25980000</v>
      </c>
      <c r="N346" s="1172" t="s">
        <v>747</v>
      </c>
      <c r="O346" s="1172" t="s">
        <v>1815</v>
      </c>
    </row>
    <row r="347" spans="1:15" s="1156" customFormat="1" ht="90" x14ac:dyDescent="0.25">
      <c r="A347" s="1169">
        <v>2022341</v>
      </c>
      <c r="B347" s="1169">
        <v>7658</v>
      </c>
      <c r="C347" s="1169" t="s">
        <v>673</v>
      </c>
      <c r="D347" s="1187" t="s">
        <v>702</v>
      </c>
      <c r="E347" s="1227">
        <v>80111600</v>
      </c>
      <c r="F347" s="1196" t="s">
        <v>1008</v>
      </c>
      <c r="G347" s="1190" t="s">
        <v>1743</v>
      </c>
      <c r="H347" s="1209" t="s">
        <v>1743</v>
      </c>
      <c r="I347" s="1191" t="s">
        <v>1793</v>
      </c>
      <c r="J347" s="1192" t="s">
        <v>1783</v>
      </c>
      <c r="K347" s="1173" t="s">
        <v>678</v>
      </c>
      <c r="L347" s="1238" t="s">
        <v>679</v>
      </c>
      <c r="M347" s="1193">
        <v>25980000</v>
      </c>
      <c r="N347" s="1172" t="s">
        <v>747</v>
      </c>
      <c r="O347" s="1172" t="s">
        <v>1815</v>
      </c>
    </row>
    <row r="348" spans="1:15" s="1156" customFormat="1" ht="90" x14ac:dyDescent="0.25">
      <c r="A348" s="1169">
        <v>2022342</v>
      </c>
      <c r="B348" s="1169">
        <v>7658</v>
      </c>
      <c r="C348" s="1169" t="s">
        <v>673</v>
      </c>
      <c r="D348" s="1187" t="s">
        <v>702</v>
      </c>
      <c r="E348" s="1227">
        <v>80111600</v>
      </c>
      <c r="F348" s="1196" t="s">
        <v>1008</v>
      </c>
      <c r="G348" s="1190" t="s">
        <v>1743</v>
      </c>
      <c r="H348" s="1209" t="s">
        <v>1743</v>
      </c>
      <c r="I348" s="1191" t="s">
        <v>1793</v>
      </c>
      <c r="J348" s="1192" t="s">
        <v>1783</v>
      </c>
      <c r="K348" s="1173" t="s">
        <v>678</v>
      </c>
      <c r="L348" s="1238" t="s">
        <v>679</v>
      </c>
      <c r="M348" s="1193">
        <v>25980000</v>
      </c>
      <c r="N348" s="1172" t="s">
        <v>747</v>
      </c>
      <c r="O348" s="1172" t="s">
        <v>1815</v>
      </c>
    </row>
    <row r="349" spans="1:15" s="1156" customFormat="1" ht="90" x14ac:dyDescent="0.25">
      <c r="A349" s="1169">
        <v>2022343</v>
      </c>
      <c r="B349" s="1169">
        <v>7658</v>
      </c>
      <c r="C349" s="1169" t="s">
        <v>673</v>
      </c>
      <c r="D349" s="1187" t="s">
        <v>702</v>
      </c>
      <c r="E349" s="1227">
        <v>80111600</v>
      </c>
      <c r="F349" s="1196" t="s">
        <v>1008</v>
      </c>
      <c r="G349" s="1190" t="s">
        <v>1743</v>
      </c>
      <c r="H349" s="1209" t="s">
        <v>1743</v>
      </c>
      <c r="I349" s="1191" t="s">
        <v>1793</v>
      </c>
      <c r="J349" s="1192" t="s">
        <v>1783</v>
      </c>
      <c r="K349" s="1173" t="s">
        <v>678</v>
      </c>
      <c r="L349" s="1238" t="s">
        <v>679</v>
      </c>
      <c r="M349" s="1193">
        <v>25980000</v>
      </c>
      <c r="N349" s="1172" t="s">
        <v>747</v>
      </c>
      <c r="O349" s="1172" t="s">
        <v>1815</v>
      </c>
    </row>
    <row r="350" spans="1:15" s="1156" customFormat="1" ht="90" x14ac:dyDescent="0.25">
      <c r="A350" s="1169">
        <v>2022344</v>
      </c>
      <c r="B350" s="1169">
        <v>7658</v>
      </c>
      <c r="C350" s="1169" t="s">
        <v>673</v>
      </c>
      <c r="D350" s="1187" t="s">
        <v>702</v>
      </c>
      <c r="E350" s="1227">
        <v>80111600</v>
      </c>
      <c r="F350" s="1196" t="s">
        <v>1008</v>
      </c>
      <c r="G350" s="1190" t="s">
        <v>1743</v>
      </c>
      <c r="H350" s="1209" t="s">
        <v>1743</v>
      </c>
      <c r="I350" s="1191" t="s">
        <v>1793</v>
      </c>
      <c r="J350" s="1192" t="s">
        <v>1783</v>
      </c>
      <c r="K350" s="1173" t="s">
        <v>678</v>
      </c>
      <c r="L350" s="1238" t="s">
        <v>679</v>
      </c>
      <c r="M350" s="1193">
        <v>25980000</v>
      </c>
      <c r="N350" s="1172" t="s">
        <v>747</v>
      </c>
      <c r="O350" s="1172" t="s">
        <v>1815</v>
      </c>
    </row>
    <row r="351" spans="1:15" s="1156" customFormat="1" ht="90" x14ac:dyDescent="0.25">
      <c r="A351" s="1169">
        <v>2022345</v>
      </c>
      <c r="B351" s="1169">
        <v>7658</v>
      </c>
      <c r="C351" s="1169" t="s">
        <v>673</v>
      </c>
      <c r="D351" s="1187" t="s">
        <v>702</v>
      </c>
      <c r="E351" s="1227">
        <v>80111600</v>
      </c>
      <c r="F351" s="1196" t="s">
        <v>1008</v>
      </c>
      <c r="G351" s="1190" t="s">
        <v>1743</v>
      </c>
      <c r="H351" s="1209" t="s">
        <v>1743</v>
      </c>
      <c r="I351" s="1191" t="s">
        <v>1793</v>
      </c>
      <c r="J351" s="1192" t="s">
        <v>1783</v>
      </c>
      <c r="K351" s="1173" t="s">
        <v>678</v>
      </c>
      <c r="L351" s="1238" t="s">
        <v>679</v>
      </c>
      <c r="M351" s="1193">
        <v>25980000</v>
      </c>
      <c r="N351" s="1172" t="s">
        <v>747</v>
      </c>
      <c r="O351" s="1172" t="s">
        <v>1815</v>
      </c>
    </row>
    <row r="352" spans="1:15" s="1156" customFormat="1" ht="90" x14ac:dyDescent="0.25">
      <c r="A352" s="1169">
        <v>2022346</v>
      </c>
      <c r="B352" s="1169">
        <v>7658</v>
      </c>
      <c r="C352" s="1169" t="s">
        <v>673</v>
      </c>
      <c r="D352" s="1187" t="s">
        <v>702</v>
      </c>
      <c r="E352" s="1227">
        <v>80111600</v>
      </c>
      <c r="F352" s="1196" t="s">
        <v>1008</v>
      </c>
      <c r="G352" s="1190" t="s">
        <v>1743</v>
      </c>
      <c r="H352" s="1209" t="s">
        <v>1743</v>
      </c>
      <c r="I352" s="1191" t="s">
        <v>1793</v>
      </c>
      <c r="J352" s="1192" t="s">
        <v>1783</v>
      </c>
      <c r="K352" s="1173" t="s">
        <v>678</v>
      </c>
      <c r="L352" s="1238" t="s">
        <v>679</v>
      </c>
      <c r="M352" s="1193">
        <v>25980000</v>
      </c>
      <c r="N352" s="1172" t="s">
        <v>747</v>
      </c>
      <c r="O352" s="1172" t="s">
        <v>1815</v>
      </c>
    </row>
    <row r="353" spans="1:15" s="1156" customFormat="1" ht="90" x14ac:dyDescent="0.25">
      <c r="A353" s="1169">
        <v>2022347</v>
      </c>
      <c r="B353" s="1169">
        <v>7658</v>
      </c>
      <c r="C353" s="1169" t="s">
        <v>673</v>
      </c>
      <c r="D353" s="1187" t="s">
        <v>702</v>
      </c>
      <c r="E353" s="1227">
        <v>80111600</v>
      </c>
      <c r="F353" s="1196" t="s">
        <v>1008</v>
      </c>
      <c r="G353" s="1190" t="s">
        <v>1743</v>
      </c>
      <c r="H353" s="1209" t="s">
        <v>1743</v>
      </c>
      <c r="I353" s="1191" t="s">
        <v>1793</v>
      </c>
      <c r="J353" s="1192" t="s">
        <v>1783</v>
      </c>
      <c r="K353" s="1173" t="s">
        <v>678</v>
      </c>
      <c r="L353" s="1238" t="s">
        <v>679</v>
      </c>
      <c r="M353" s="1193">
        <f>25980000-25980000</f>
        <v>0</v>
      </c>
      <c r="N353" s="1172" t="s">
        <v>747</v>
      </c>
      <c r="O353" s="1172" t="s">
        <v>1815</v>
      </c>
    </row>
    <row r="354" spans="1:15" s="1156" customFormat="1" ht="90" x14ac:dyDescent="0.25">
      <c r="A354" s="1169">
        <v>2022348</v>
      </c>
      <c r="B354" s="1169">
        <v>7658</v>
      </c>
      <c r="C354" s="1169" t="s">
        <v>673</v>
      </c>
      <c r="D354" s="1187" t="s">
        <v>702</v>
      </c>
      <c r="E354" s="1227">
        <v>80111600</v>
      </c>
      <c r="F354" s="1196" t="s">
        <v>1008</v>
      </c>
      <c r="G354" s="1190" t="s">
        <v>1743</v>
      </c>
      <c r="H354" s="1209" t="s">
        <v>1743</v>
      </c>
      <c r="I354" s="1191" t="s">
        <v>1793</v>
      </c>
      <c r="J354" s="1192" t="s">
        <v>1783</v>
      </c>
      <c r="K354" s="1173" t="s">
        <v>678</v>
      </c>
      <c r="L354" s="1238" t="s">
        <v>679</v>
      </c>
      <c r="M354" s="1193">
        <v>25980000</v>
      </c>
      <c r="N354" s="1172" t="s">
        <v>747</v>
      </c>
      <c r="O354" s="1172" t="s">
        <v>1815</v>
      </c>
    </row>
    <row r="355" spans="1:15" s="1156" customFormat="1" ht="90" x14ac:dyDescent="0.25">
      <c r="A355" s="1169">
        <v>2022349</v>
      </c>
      <c r="B355" s="1169">
        <v>7658</v>
      </c>
      <c r="C355" s="1169" t="s">
        <v>673</v>
      </c>
      <c r="D355" s="1187" t="s">
        <v>702</v>
      </c>
      <c r="E355" s="1227">
        <v>80111600</v>
      </c>
      <c r="F355" s="1196" t="s">
        <v>1008</v>
      </c>
      <c r="G355" s="1190" t="s">
        <v>1743</v>
      </c>
      <c r="H355" s="1209" t="s">
        <v>1743</v>
      </c>
      <c r="I355" s="1191" t="s">
        <v>1793</v>
      </c>
      <c r="J355" s="1192" t="s">
        <v>1783</v>
      </c>
      <c r="K355" s="1173" t="s">
        <v>678</v>
      </c>
      <c r="L355" s="1238" t="s">
        <v>679</v>
      </c>
      <c r="M355" s="1193">
        <v>25980000</v>
      </c>
      <c r="N355" s="1172" t="s">
        <v>747</v>
      </c>
      <c r="O355" s="1172" t="s">
        <v>1815</v>
      </c>
    </row>
    <row r="356" spans="1:15" s="1156" customFormat="1" ht="90" x14ac:dyDescent="0.25">
      <c r="A356" s="1169">
        <v>2022350</v>
      </c>
      <c r="B356" s="1169">
        <v>7658</v>
      </c>
      <c r="C356" s="1169" t="s">
        <v>673</v>
      </c>
      <c r="D356" s="1187" t="s">
        <v>702</v>
      </c>
      <c r="E356" s="1227">
        <v>80111600</v>
      </c>
      <c r="F356" s="1196" t="s">
        <v>1008</v>
      </c>
      <c r="G356" s="1190" t="s">
        <v>1743</v>
      </c>
      <c r="H356" s="1209" t="s">
        <v>1743</v>
      </c>
      <c r="I356" s="1191" t="s">
        <v>1793</v>
      </c>
      <c r="J356" s="1192" t="s">
        <v>1783</v>
      </c>
      <c r="K356" s="1173" t="s">
        <v>678</v>
      </c>
      <c r="L356" s="1238" t="s">
        <v>679</v>
      </c>
      <c r="M356" s="1193">
        <v>25980000</v>
      </c>
      <c r="N356" s="1172" t="s">
        <v>747</v>
      </c>
      <c r="O356" s="1172" t="s">
        <v>1815</v>
      </c>
    </row>
    <row r="357" spans="1:15" s="1156" customFormat="1" ht="90" x14ac:dyDescent="0.25">
      <c r="A357" s="1169">
        <v>2022351</v>
      </c>
      <c r="B357" s="1169">
        <v>7658</v>
      </c>
      <c r="C357" s="1169" t="s">
        <v>673</v>
      </c>
      <c r="D357" s="1187" t="s">
        <v>702</v>
      </c>
      <c r="E357" s="1227">
        <v>80111600</v>
      </c>
      <c r="F357" s="1196" t="s">
        <v>1008</v>
      </c>
      <c r="G357" s="1190" t="s">
        <v>1743</v>
      </c>
      <c r="H357" s="1209" t="s">
        <v>1743</v>
      </c>
      <c r="I357" s="1191" t="s">
        <v>1793</v>
      </c>
      <c r="J357" s="1192" t="s">
        <v>1783</v>
      </c>
      <c r="K357" s="1173" t="s">
        <v>678</v>
      </c>
      <c r="L357" s="1238" t="s">
        <v>679</v>
      </c>
      <c r="M357" s="1193">
        <v>25980000</v>
      </c>
      <c r="N357" s="1172" t="s">
        <v>747</v>
      </c>
      <c r="O357" s="1172" t="s">
        <v>1815</v>
      </c>
    </row>
    <row r="358" spans="1:15" s="1156" customFormat="1" ht="90" x14ac:dyDescent="0.25">
      <c r="A358" s="1169">
        <v>2022352</v>
      </c>
      <c r="B358" s="1169">
        <v>7658</v>
      </c>
      <c r="C358" s="1169" t="s">
        <v>673</v>
      </c>
      <c r="D358" s="1187" t="s">
        <v>702</v>
      </c>
      <c r="E358" s="1227">
        <v>80111600</v>
      </c>
      <c r="F358" s="1196" t="s">
        <v>1008</v>
      </c>
      <c r="G358" s="1190" t="s">
        <v>1743</v>
      </c>
      <c r="H358" s="1209" t="s">
        <v>1743</v>
      </c>
      <c r="I358" s="1191" t="s">
        <v>1793</v>
      </c>
      <c r="J358" s="1192" t="s">
        <v>1783</v>
      </c>
      <c r="K358" s="1173" t="s">
        <v>678</v>
      </c>
      <c r="L358" s="1238" t="s">
        <v>679</v>
      </c>
      <c r="M358" s="1193">
        <v>25980000</v>
      </c>
      <c r="N358" s="1172" t="s">
        <v>747</v>
      </c>
      <c r="O358" s="1172" t="s">
        <v>1815</v>
      </c>
    </row>
    <row r="359" spans="1:15" s="1156" customFormat="1" ht="90" x14ac:dyDescent="0.25">
      <c r="A359" s="1169">
        <v>2022353</v>
      </c>
      <c r="B359" s="1169">
        <v>7658</v>
      </c>
      <c r="C359" s="1169" t="s">
        <v>673</v>
      </c>
      <c r="D359" s="1187" t="s">
        <v>702</v>
      </c>
      <c r="E359" s="1227">
        <v>80111600</v>
      </c>
      <c r="F359" s="1196" t="s">
        <v>1008</v>
      </c>
      <c r="G359" s="1190" t="s">
        <v>1743</v>
      </c>
      <c r="H359" s="1209" t="s">
        <v>1743</v>
      </c>
      <c r="I359" s="1191" t="s">
        <v>1793</v>
      </c>
      <c r="J359" s="1192" t="s">
        <v>1783</v>
      </c>
      <c r="K359" s="1173" t="s">
        <v>678</v>
      </c>
      <c r="L359" s="1238" t="s">
        <v>679</v>
      </c>
      <c r="M359" s="1193">
        <f>25980000+25980000</f>
        <v>51960000</v>
      </c>
      <c r="N359" s="1172" t="s">
        <v>747</v>
      </c>
      <c r="O359" s="1172" t="s">
        <v>1815</v>
      </c>
    </row>
    <row r="360" spans="1:15" s="1156" customFormat="1" ht="90" x14ac:dyDescent="0.25">
      <c r="A360" s="1169">
        <v>2022354</v>
      </c>
      <c r="B360" s="1169">
        <v>7658</v>
      </c>
      <c r="C360" s="1169" t="s">
        <v>673</v>
      </c>
      <c r="D360" s="1187" t="s">
        <v>702</v>
      </c>
      <c r="E360" s="1227">
        <v>80111600</v>
      </c>
      <c r="F360" s="1196" t="s">
        <v>1009</v>
      </c>
      <c r="G360" s="1190" t="s">
        <v>1743</v>
      </c>
      <c r="H360" s="1209" t="s">
        <v>1743</v>
      </c>
      <c r="I360" s="1191" t="s">
        <v>1793</v>
      </c>
      <c r="J360" s="1192" t="s">
        <v>1783</v>
      </c>
      <c r="K360" s="1173" t="s">
        <v>678</v>
      </c>
      <c r="L360" s="1238" t="s">
        <v>679</v>
      </c>
      <c r="M360" s="1193">
        <v>30300000</v>
      </c>
      <c r="N360" s="1172" t="s">
        <v>747</v>
      </c>
      <c r="O360" s="1172" t="s">
        <v>1815</v>
      </c>
    </row>
    <row r="361" spans="1:15" s="1156" customFormat="1" ht="90" x14ac:dyDescent="0.25">
      <c r="A361" s="1169">
        <v>2022355</v>
      </c>
      <c r="B361" s="1169">
        <v>7658</v>
      </c>
      <c r="C361" s="1169" t="s">
        <v>673</v>
      </c>
      <c r="D361" s="1187" t="s">
        <v>702</v>
      </c>
      <c r="E361" s="1227">
        <v>80111600</v>
      </c>
      <c r="F361" s="1196" t="s">
        <v>1009</v>
      </c>
      <c r="G361" s="1190" t="s">
        <v>1743</v>
      </c>
      <c r="H361" s="1209" t="s">
        <v>1743</v>
      </c>
      <c r="I361" s="1191" t="s">
        <v>1793</v>
      </c>
      <c r="J361" s="1192" t="s">
        <v>1783</v>
      </c>
      <c r="K361" s="1173" t="s">
        <v>678</v>
      </c>
      <c r="L361" s="1238" t="s">
        <v>679</v>
      </c>
      <c r="M361" s="1193">
        <v>30300000</v>
      </c>
      <c r="N361" s="1172" t="s">
        <v>747</v>
      </c>
      <c r="O361" s="1172" t="s">
        <v>1815</v>
      </c>
    </row>
    <row r="362" spans="1:15" s="1156" customFormat="1" ht="90" x14ac:dyDescent="0.25">
      <c r="A362" s="1169">
        <v>2022356</v>
      </c>
      <c r="B362" s="1169">
        <v>7658</v>
      </c>
      <c r="C362" s="1169" t="s">
        <v>673</v>
      </c>
      <c r="D362" s="1187" t="s">
        <v>702</v>
      </c>
      <c r="E362" s="1227">
        <v>80111600</v>
      </c>
      <c r="F362" s="1196" t="s">
        <v>1009</v>
      </c>
      <c r="G362" s="1190" t="s">
        <v>1743</v>
      </c>
      <c r="H362" s="1209" t="s">
        <v>1743</v>
      </c>
      <c r="I362" s="1191" t="s">
        <v>1793</v>
      </c>
      <c r="J362" s="1192" t="s">
        <v>1783</v>
      </c>
      <c r="K362" s="1173" t="s">
        <v>678</v>
      </c>
      <c r="L362" s="1238" t="s">
        <v>679</v>
      </c>
      <c r="M362" s="1193">
        <v>30300000</v>
      </c>
      <c r="N362" s="1172" t="s">
        <v>747</v>
      </c>
      <c r="O362" s="1172" t="s">
        <v>1815</v>
      </c>
    </row>
    <row r="363" spans="1:15" s="1156" customFormat="1" ht="90" x14ac:dyDescent="0.25">
      <c r="A363" s="1169">
        <v>2022357</v>
      </c>
      <c r="B363" s="1169">
        <v>7658</v>
      </c>
      <c r="C363" s="1169" t="s">
        <v>673</v>
      </c>
      <c r="D363" s="1187" t="s">
        <v>702</v>
      </c>
      <c r="E363" s="1227">
        <v>80111600</v>
      </c>
      <c r="F363" s="1196" t="s">
        <v>1009</v>
      </c>
      <c r="G363" s="1190" t="s">
        <v>1743</v>
      </c>
      <c r="H363" s="1209" t="s">
        <v>1743</v>
      </c>
      <c r="I363" s="1191" t="s">
        <v>1793</v>
      </c>
      <c r="J363" s="1192" t="s">
        <v>1783</v>
      </c>
      <c r="K363" s="1173" t="s">
        <v>678</v>
      </c>
      <c r="L363" s="1238" t="s">
        <v>679</v>
      </c>
      <c r="M363" s="1193">
        <v>30300000</v>
      </c>
      <c r="N363" s="1172" t="s">
        <v>747</v>
      </c>
      <c r="O363" s="1172" t="s">
        <v>1815</v>
      </c>
    </row>
    <row r="364" spans="1:15" s="1156" customFormat="1" ht="90" x14ac:dyDescent="0.25">
      <c r="A364" s="1169">
        <v>2022358</v>
      </c>
      <c r="B364" s="1169">
        <v>7658</v>
      </c>
      <c r="C364" s="1169" t="s">
        <v>673</v>
      </c>
      <c r="D364" s="1187" t="s">
        <v>702</v>
      </c>
      <c r="E364" s="1227">
        <v>80111600</v>
      </c>
      <c r="F364" s="1196" t="s">
        <v>1009</v>
      </c>
      <c r="G364" s="1190" t="s">
        <v>1743</v>
      </c>
      <c r="H364" s="1209" t="s">
        <v>1743</v>
      </c>
      <c r="I364" s="1191" t="s">
        <v>1746</v>
      </c>
      <c r="J364" s="1192" t="s">
        <v>1783</v>
      </c>
      <c r="K364" s="1173" t="s">
        <v>678</v>
      </c>
      <c r="L364" s="1238" t="s">
        <v>679</v>
      </c>
      <c r="M364" s="1193">
        <v>27775000</v>
      </c>
      <c r="N364" s="1172" t="s">
        <v>747</v>
      </c>
      <c r="O364" s="1172" t="s">
        <v>1815</v>
      </c>
    </row>
    <row r="365" spans="1:15" s="1156" customFormat="1" ht="90" x14ac:dyDescent="0.25">
      <c r="A365" s="1169">
        <v>2022359</v>
      </c>
      <c r="B365" s="1169">
        <v>7658</v>
      </c>
      <c r="C365" s="1169" t="s">
        <v>673</v>
      </c>
      <c r="D365" s="1187" t="s">
        <v>702</v>
      </c>
      <c r="E365" s="1227">
        <v>80111600</v>
      </c>
      <c r="F365" s="1196" t="s">
        <v>1009</v>
      </c>
      <c r="G365" s="1190" t="s">
        <v>1743</v>
      </c>
      <c r="H365" s="1209" t="s">
        <v>1743</v>
      </c>
      <c r="I365" s="1191" t="s">
        <v>1746</v>
      </c>
      <c r="J365" s="1192" t="s">
        <v>1783</v>
      </c>
      <c r="K365" s="1173" t="s">
        <v>678</v>
      </c>
      <c r="L365" s="1238" t="s">
        <v>679</v>
      </c>
      <c r="M365" s="1193">
        <v>27775000</v>
      </c>
      <c r="N365" s="1172" t="s">
        <v>747</v>
      </c>
      <c r="O365" s="1172" t="s">
        <v>1815</v>
      </c>
    </row>
    <row r="366" spans="1:15" s="1156" customFormat="1" ht="90" x14ac:dyDescent="0.25">
      <c r="A366" s="1169">
        <v>2022360</v>
      </c>
      <c r="B366" s="1169">
        <v>7658</v>
      </c>
      <c r="C366" s="1169" t="s">
        <v>673</v>
      </c>
      <c r="D366" s="1187" t="s">
        <v>702</v>
      </c>
      <c r="E366" s="1227">
        <v>80111600</v>
      </c>
      <c r="F366" s="1196" t="s">
        <v>1009</v>
      </c>
      <c r="G366" s="1190" t="s">
        <v>1743</v>
      </c>
      <c r="H366" s="1209" t="s">
        <v>1743</v>
      </c>
      <c r="I366" s="1191" t="s">
        <v>1746</v>
      </c>
      <c r="J366" s="1192" t="s">
        <v>1783</v>
      </c>
      <c r="K366" s="1173" t="s">
        <v>678</v>
      </c>
      <c r="L366" s="1238" t="s">
        <v>679</v>
      </c>
      <c r="M366" s="1193">
        <v>27775000</v>
      </c>
      <c r="N366" s="1172" t="s">
        <v>747</v>
      </c>
      <c r="O366" s="1172" t="s">
        <v>1815</v>
      </c>
    </row>
    <row r="367" spans="1:15" s="1156" customFormat="1" ht="90" x14ac:dyDescent="0.25">
      <c r="A367" s="1169">
        <v>2022361</v>
      </c>
      <c r="B367" s="1169">
        <v>7658</v>
      </c>
      <c r="C367" s="1169" t="s">
        <v>673</v>
      </c>
      <c r="D367" s="1187" t="s">
        <v>702</v>
      </c>
      <c r="E367" s="1227">
        <v>80111600</v>
      </c>
      <c r="F367" s="1196" t="s">
        <v>1009</v>
      </c>
      <c r="G367" s="1190" t="s">
        <v>1743</v>
      </c>
      <c r="H367" s="1209" t="s">
        <v>1743</v>
      </c>
      <c r="I367" s="1191" t="s">
        <v>1746</v>
      </c>
      <c r="J367" s="1192" t="s">
        <v>1783</v>
      </c>
      <c r="K367" s="1173" t="s">
        <v>678</v>
      </c>
      <c r="L367" s="1238" t="s">
        <v>679</v>
      </c>
      <c r="M367" s="1193">
        <v>27775000</v>
      </c>
      <c r="N367" s="1172" t="s">
        <v>747</v>
      </c>
      <c r="O367" s="1172" t="s">
        <v>1815</v>
      </c>
    </row>
    <row r="368" spans="1:15" s="1156" customFormat="1" ht="90" x14ac:dyDescent="0.25">
      <c r="A368" s="1169">
        <v>2022362</v>
      </c>
      <c r="B368" s="1169">
        <v>7658</v>
      </c>
      <c r="C368" s="1169" t="s">
        <v>673</v>
      </c>
      <c r="D368" s="1187" t="s">
        <v>702</v>
      </c>
      <c r="E368" s="1227">
        <v>80111600</v>
      </c>
      <c r="F368" s="1196" t="s">
        <v>1009</v>
      </c>
      <c r="G368" s="1190" t="s">
        <v>1743</v>
      </c>
      <c r="H368" s="1209" t="s">
        <v>1743</v>
      </c>
      <c r="I368" s="1191" t="s">
        <v>1746</v>
      </c>
      <c r="J368" s="1192" t="s">
        <v>1783</v>
      </c>
      <c r="K368" s="1173" t="s">
        <v>678</v>
      </c>
      <c r="L368" s="1238" t="s">
        <v>679</v>
      </c>
      <c r="M368" s="1193">
        <v>27775000</v>
      </c>
      <c r="N368" s="1172" t="s">
        <v>747</v>
      </c>
      <c r="O368" s="1172" t="s">
        <v>1815</v>
      </c>
    </row>
    <row r="369" spans="1:15" s="1156" customFormat="1" ht="90" x14ac:dyDescent="0.25">
      <c r="A369" s="1169">
        <v>2022363</v>
      </c>
      <c r="B369" s="1169">
        <v>7658</v>
      </c>
      <c r="C369" s="1169" t="s">
        <v>673</v>
      </c>
      <c r="D369" s="1187" t="s">
        <v>702</v>
      </c>
      <c r="E369" s="1227">
        <v>80111600</v>
      </c>
      <c r="F369" s="1196" t="s">
        <v>1009</v>
      </c>
      <c r="G369" s="1190" t="s">
        <v>1743</v>
      </c>
      <c r="H369" s="1209" t="s">
        <v>1743</v>
      </c>
      <c r="I369" s="1191" t="s">
        <v>1746</v>
      </c>
      <c r="J369" s="1192" t="s">
        <v>1783</v>
      </c>
      <c r="K369" s="1173" t="s">
        <v>678</v>
      </c>
      <c r="L369" s="1238" t="s">
        <v>679</v>
      </c>
      <c r="M369" s="1193">
        <v>27775000</v>
      </c>
      <c r="N369" s="1172" t="s">
        <v>747</v>
      </c>
      <c r="O369" s="1172" t="s">
        <v>1815</v>
      </c>
    </row>
    <row r="370" spans="1:15" s="1156" customFormat="1" ht="90" x14ac:dyDescent="0.25">
      <c r="A370" s="1169">
        <v>2022364</v>
      </c>
      <c r="B370" s="1169">
        <v>7658</v>
      </c>
      <c r="C370" s="1169" t="s">
        <v>673</v>
      </c>
      <c r="D370" s="1187" t="s">
        <v>702</v>
      </c>
      <c r="E370" s="1227">
        <v>80111600</v>
      </c>
      <c r="F370" s="1196" t="s">
        <v>1009</v>
      </c>
      <c r="G370" s="1190" t="s">
        <v>1743</v>
      </c>
      <c r="H370" s="1209" t="s">
        <v>1743</v>
      </c>
      <c r="I370" s="1191" t="s">
        <v>1791</v>
      </c>
      <c r="J370" s="1192" t="s">
        <v>1783</v>
      </c>
      <c r="K370" s="1173" t="s">
        <v>678</v>
      </c>
      <c r="L370" s="1238" t="s">
        <v>679</v>
      </c>
      <c r="M370" s="1193">
        <v>25250000</v>
      </c>
      <c r="N370" s="1172" t="s">
        <v>747</v>
      </c>
      <c r="O370" s="1172" t="s">
        <v>1815</v>
      </c>
    </row>
    <row r="371" spans="1:15" s="1156" customFormat="1" ht="90" x14ac:dyDescent="0.25">
      <c r="A371" s="1169">
        <v>2022365</v>
      </c>
      <c r="B371" s="1169">
        <v>7658</v>
      </c>
      <c r="C371" s="1169" t="s">
        <v>673</v>
      </c>
      <c r="D371" s="1187" t="s">
        <v>702</v>
      </c>
      <c r="E371" s="1227">
        <v>80111600</v>
      </c>
      <c r="F371" s="1196" t="s">
        <v>1009</v>
      </c>
      <c r="G371" s="1190" t="s">
        <v>1743</v>
      </c>
      <c r="H371" s="1209" t="s">
        <v>1743</v>
      </c>
      <c r="I371" s="1191" t="s">
        <v>1791</v>
      </c>
      <c r="J371" s="1192" t="s">
        <v>1783</v>
      </c>
      <c r="K371" s="1173" t="s">
        <v>678</v>
      </c>
      <c r="L371" s="1238" t="s">
        <v>679</v>
      </c>
      <c r="M371" s="1193">
        <v>25250000</v>
      </c>
      <c r="N371" s="1172" t="s">
        <v>747</v>
      </c>
      <c r="O371" s="1172" t="s">
        <v>1815</v>
      </c>
    </row>
    <row r="372" spans="1:15" s="1156" customFormat="1" ht="90" x14ac:dyDescent="0.25">
      <c r="A372" s="1169">
        <v>2022366</v>
      </c>
      <c r="B372" s="1169">
        <v>7658</v>
      </c>
      <c r="C372" s="1169" t="s">
        <v>673</v>
      </c>
      <c r="D372" s="1187" t="s">
        <v>702</v>
      </c>
      <c r="E372" s="1227">
        <v>80111600</v>
      </c>
      <c r="F372" s="1196" t="s">
        <v>1010</v>
      </c>
      <c r="G372" s="1190" t="s">
        <v>1743</v>
      </c>
      <c r="H372" s="1209" t="s">
        <v>1743</v>
      </c>
      <c r="I372" s="1191" t="s">
        <v>1793</v>
      </c>
      <c r="J372" s="1192" t="s">
        <v>1783</v>
      </c>
      <c r="K372" s="1173" t="s">
        <v>678</v>
      </c>
      <c r="L372" s="1238" t="s">
        <v>679</v>
      </c>
      <c r="M372" s="1193">
        <v>25956000</v>
      </c>
      <c r="N372" s="1172" t="s">
        <v>747</v>
      </c>
      <c r="O372" s="1172" t="s">
        <v>1815</v>
      </c>
    </row>
    <row r="373" spans="1:15" s="1156" customFormat="1" ht="90" x14ac:dyDescent="0.25">
      <c r="A373" s="1169">
        <v>2022367</v>
      </c>
      <c r="B373" s="1169">
        <v>7658</v>
      </c>
      <c r="C373" s="1169" t="s">
        <v>673</v>
      </c>
      <c r="D373" s="1187" t="s">
        <v>702</v>
      </c>
      <c r="E373" s="1227">
        <v>80111600</v>
      </c>
      <c r="F373" s="1196" t="s">
        <v>1011</v>
      </c>
      <c r="G373" s="1190" t="s">
        <v>1743</v>
      </c>
      <c r="H373" s="1209" t="s">
        <v>1743</v>
      </c>
      <c r="I373" s="1191" t="s">
        <v>1793</v>
      </c>
      <c r="J373" s="1192" t="s">
        <v>1783</v>
      </c>
      <c r="K373" s="1173" t="s">
        <v>678</v>
      </c>
      <c r="L373" s="1238" t="s">
        <v>679</v>
      </c>
      <c r="M373" s="1193">
        <v>41400000</v>
      </c>
      <c r="N373" s="1172" t="s">
        <v>747</v>
      </c>
      <c r="O373" s="1172" t="s">
        <v>1815</v>
      </c>
    </row>
    <row r="374" spans="1:15" s="1156" customFormat="1" ht="90" x14ac:dyDescent="0.25">
      <c r="A374" s="1169">
        <v>2022368</v>
      </c>
      <c r="B374" s="1169">
        <v>7658</v>
      </c>
      <c r="C374" s="1169" t="s">
        <v>673</v>
      </c>
      <c r="D374" s="1187" t="s">
        <v>702</v>
      </c>
      <c r="E374" s="1227">
        <v>80111600</v>
      </c>
      <c r="F374" s="1196" t="s">
        <v>1012</v>
      </c>
      <c r="G374" s="1190" t="s">
        <v>1743</v>
      </c>
      <c r="H374" s="1209" t="s">
        <v>1743</v>
      </c>
      <c r="I374" s="1191" t="s">
        <v>1793</v>
      </c>
      <c r="J374" s="1192" t="s">
        <v>1783</v>
      </c>
      <c r="K374" s="1173" t="s">
        <v>678</v>
      </c>
      <c r="L374" s="1238" t="s">
        <v>679</v>
      </c>
      <c r="M374" s="1193">
        <v>25200000</v>
      </c>
      <c r="N374" s="1172" t="s">
        <v>747</v>
      </c>
      <c r="O374" s="1172" t="s">
        <v>1815</v>
      </c>
    </row>
    <row r="375" spans="1:15" s="1156" customFormat="1" ht="90" x14ac:dyDescent="0.25">
      <c r="A375" s="1169">
        <v>2022369</v>
      </c>
      <c r="B375" s="1169">
        <v>7658</v>
      </c>
      <c r="C375" s="1169" t="s">
        <v>673</v>
      </c>
      <c r="D375" s="1187" t="s">
        <v>702</v>
      </c>
      <c r="E375" s="1227">
        <v>80111600</v>
      </c>
      <c r="F375" s="1196" t="s">
        <v>1013</v>
      </c>
      <c r="G375" s="1190" t="s">
        <v>1743</v>
      </c>
      <c r="H375" s="1209" t="s">
        <v>1743</v>
      </c>
      <c r="I375" s="1191" t="s">
        <v>1746</v>
      </c>
      <c r="J375" s="1192" t="s">
        <v>1783</v>
      </c>
      <c r="K375" s="1173" t="s">
        <v>678</v>
      </c>
      <c r="L375" s="1238" t="s">
        <v>679</v>
      </c>
      <c r="M375" s="1193">
        <v>37950000</v>
      </c>
      <c r="N375" s="1172" t="s">
        <v>747</v>
      </c>
      <c r="O375" s="1172" t="s">
        <v>1815</v>
      </c>
    </row>
    <row r="376" spans="1:15" s="1156" customFormat="1" ht="90" x14ac:dyDescent="0.25">
      <c r="A376" s="1169">
        <v>2022370</v>
      </c>
      <c r="B376" s="1169">
        <v>7658</v>
      </c>
      <c r="C376" s="1169" t="s">
        <v>673</v>
      </c>
      <c r="D376" s="1187" t="s">
        <v>702</v>
      </c>
      <c r="E376" s="1227">
        <v>80111600</v>
      </c>
      <c r="F376" s="1196" t="s">
        <v>1014</v>
      </c>
      <c r="G376" s="1190" t="s">
        <v>1743</v>
      </c>
      <c r="H376" s="1209" t="s">
        <v>1743</v>
      </c>
      <c r="I376" s="1191" t="s">
        <v>1793</v>
      </c>
      <c r="J376" s="1192" t="s">
        <v>1783</v>
      </c>
      <c r="K376" s="1173" t="s">
        <v>678</v>
      </c>
      <c r="L376" s="1238" t="s">
        <v>679</v>
      </c>
      <c r="M376" s="1193">
        <v>47586000</v>
      </c>
      <c r="N376" s="1172" t="s">
        <v>747</v>
      </c>
      <c r="O376" s="1172" t="s">
        <v>1815</v>
      </c>
    </row>
    <row r="377" spans="1:15" s="1156" customFormat="1" ht="90" x14ac:dyDescent="0.25">
      <c r="A377" s="1169">
        <v>2022371</v>
      </c>
      <c r="B377" s="1169">
        <v>7658</v>
      </c>
      <c r="C377" s="1169" t="s">
        <v>673</v>
      </c>
      <c r="D377" s="1187" t="s">
        <v>702</v>
      </c>
      <c r="E377" s="1227">
        <v>80111600</v>
      </c>
      <c r="F377" s="1196" t="s">
        <v>1015</v>
      </c>
      <c r="G377" s="1190" t="s">
        <v>1743</v>
      </c>
      <c r="H377" s="1209" t="s">
        <v>1743</v>
      </c>
      <c r="I377" s="1191" t="s">
        <v>1746</v>
      </c>
      <c r="J377" s="1192" t="s">
        <v>1783</v>
      </c>
      <c r="K377" s="1173" t="s">
        <v>678</v>
      </c>
      <c r="L377" s="1238" t="s">
        <v>679</v>
      </c>
      <c r="M377" s="1193">
        <v>37956000</v>
      </c>
      <c r="N377" s="1172" t="s">
        <v>747</v>
      </c>
      <c r="O377" s="1172" t="s">
        <v>1815</v>
      </c>
    </row>
    <row r="378" spans="1:15" s="1156" customFormat="1" ht="90" x14ac:dyDescent="0.25">
      <c r="A378" s="1169">
        <v>2022372</v>
      </c>
      <c r="B378" s="1169">
        <v>7658</v>
      </c>
      <c r="C378" s="1169" t="s">
        <v>673</v>
      </c>
      <c r="D378" s="1187" t="s">
        <v>702</v>
      </c>
      <c r="E378" s="1227">
        <v>80111600</v>
      </c>
      <c r="F378" s="1196" t="s">
        <v>1016</v>
      </c>
      <c r="G378" s="1190" t="s">
        <v>1743</v>
      </c>
      <c r="H378" s="1209" t="s">
        <v>1743</v>
      </c>
      <c r="I378" s="1191" t="s">
        <v>1793</v>
      </c>
      <c r="J378" s="1192" t="s">
        <v>1783</v>
      </c>
      <c r="K378" s="1173" t="s">
        <v>678</v>
      </c>
      <c r="L378" s="1238" t="s">
        <v>679</v>
      </c>
      <c r="M378" s="1193">
        <v>63036000</v>
      </c>
      <c r="N378" s="1172" t="s">
        <v>747</v>
      </c>
      <c r="O378" s="1172" t="s">
        <v>1815</v>
      </c>
    </row>
    <row r="379" spans="1:15" s="1156" customFormat="1" ht="90" x14ac:dyDescent="0.25">
      <c r="A379" s="1169">
        <v>2022373</v>
      </c>
      <c r="B379" s="1169">
        <v>7658</v>
      </c>
      <c r="C379" s="1169" t="s">
        <v>673</v>
      </c>
      <c r="D379" s="1187" t="s">
        <v>702</v>
      </c>
      <c r="E379" s="1227">
        <v>80111600</v>
      </c>
      <c r="F379" s="1196" t="s">
        <v>1016</v>
      </c>
      <c r="G379" s="1190" t="s">
        <v>1743</v>
      </c>
      <c r="H379" s="1209" t="s">
        <v>1743</v>
      </c>
      <c r="I379" s="1191" t="s">
        <v>1791</v>
      </c>
      <c r="J379" s="1192" t="s">
        <v>1783</v>
      </c>
      <c r="K379" s="1173" t="s">
        <v>678</v>
      </c>
      <c r="L379" s="1238" t="s">
        <v>679</v>
      </c>
      <c r="M379" s="1193">
        <v>39700000</v>
      </c>
      <c r="N379" s="1172" t="s">
        <v>747</v>
      </c>
      <c r="O379" s="1172" t="s">
        <v>1815</v>
      </c>
    </row>
    <row r="380" spans="1:15" s="1156" customFormat="1" ht="90" x14ac:dyDescent="0.25">
      <c r="A380" s="1169">
        <v>2022374</v>
      </c>
      <c r="B380" s="1169">
        <v>7658</v>
      </c>
      <c r="C380" s="1169" t="s">
        <v>673</v>
      </c>
      <c r="D380" s="1187" t="s">
        <v>702</v>
      </c>
      <c r="E380" s="1227">
        <v>80111600</v>
      </c>
      <c r="F380" s="1196" t="s">
        <v>1016</v>
      </c>
      <c r="G380" s="1190" t="s">
        <v>1743</v>
      </c>
      <c r="H380" s="1209" t="s">
        <v>1743</v>
      </c>
      <c r="I380" s="1191" t="s">
        <v>1746</v>
      </c>
      <c r="J380" s="1192" t="s">
        <v>1783</v>
      </c>
      <c r="K380" s="1173" t="s">
        <v>678</v>
      </c>
      <c r="L380" s="1238" t="s">
        <v>679</v>
      </c>
      <c r="M380" s="1193">
        <v>50985000</v>
      </c>
      <c r="N380" s="1172" t="s">
        <v>747</v>
      </c>
      <c r="O380" s="1172" t="s">
        <v>1815</v>
      </c>
    </row>
    <row r="381" spans="1:15" s="1156" customFormat="1" ht="90" x14ac:dyDescent="0.25">
      <c r="A381" s="1169">
        <v>2022375</v>
      </c>
      <c r="B381" s="1169">
        <v>7658</v>
      </c>
      <c r="C381" s="1169" t="s">
        <v>673</v>
      </c>
      <c r="D381" s="1187" t="s">
        <v>702</v>
      </c>
      <c r="E381" s="1227">
        <v>80111600</v>
      </c>
      <c r="F381" s="1196" t="s">
        <v>1017</v>
      </c>
      <c r="G381" s="1190" t="s">
        <v>1743</v>
      </c>
      <c r="H381" s="1209" t="s">
        <v>1743</v>
      </c>
      <c r="I381" s="1191" t="s">
        <v>1793</v>
      </c>
      <c r="J381" s="1192" t="s">
        <v>1783</v>
      </c>
      <c r="K381" s="1173" t="s">
        <v>678</v>
      </c>
      <c r="L381" s="1238" t="s">
        <v>679</v>
      </c>
      <c r="M381" s="1193">
        <v>55620000</v>
      </c>
      <c r="N381" s="1172" t="s">
        <v>747</v>
      </c>
      <c r="O381" s="1172" t="s">
        <v>1815</v>
      </c>
    </row>
    <row r="382" spans="1:15" s="1156" customFormat="1" ht="90" x14ac:dyDescent="0.25">
      <c r="A382" s="1169">
        <v>2022376</v>
      </c>
      <c r="B382" s="1169">
        <v>7658</v>
      </c>
      <c r="C382" s="1169" t="s">
        <v>673</v>
      </c>
      <c r="D382" s="1187" t="s">
        <v>702</v>
      </c>
      <c r="E382" s="1227">
        <v>80111600</v>
      </c>
      <c r="F382" s="1196" t="s">
        <v>1018</v>
      </c>
      <c r="G382" s="1190" t="s">
        <v>1743</v>
      </c>
      <c r="H382" s="1209" t="s">
        <v>1743</v>
      </c>
      <c r="I382" s="1191" t="s">
        <v>1793</v>
      </c>
      <c r="J382" s="1192" t="s">
        <v>1783</v>
      </c>
      <c r="K382" s="1173" t="s">
        <v>678</v>
      </c>
      <c r="L382" s="1238" t="s">
        <v>679</v>
      </c>
      <c r="M382" s="1193">
        <v>55620000</v>
      </c>
      <c r="N382" s="1172" t="s">
        <v>747</v>
      </c>
      <c r="O382" s="1172" t="s">
        <v>1815</v>
      </c>
    </row>
    <row r="383" spans="1:15" s="1156" customFormat="1" ht="90" x14ac:dyDescent="0.25">
      <c r="A383" s="1169">
        <v>2022377</v>
      </c>
      <c r="B383" s="1169">
        <v>7658</v>
      </c>
      <c r="C383" s="1169" t="s">
        <v>673</v>
      </c>
      <c r="D383" s="1187" t="s">
        <v>702</v>
      </c>
      <c r="E383" s="1227">
        <v>80111600</v>
      </c>
      <c r="F383" s="1196" t="s">
        <v>1019</v>
      </c>
      <c r="G383" s="1190" t="s">
        <v>1743</v>
      </c>
      <c r="H383" s="1209" t="s">
        <v>1743</v>
      </c>
      <c r="I383" s="1191" t="s">
        <v>1793</v>
      </c>
      <c r="J383" s="1192" t="s">
        <v>1783</v>
      </c>
      <c r="K383" s="1173" t="s">
        <v>678</v>
      </c>
      <c r="L383" s="1238" t="s">
        <v>679</v>
      </c>
      <c r="M383" s="1193">
        <v>55620000</v>
      </c>
      <c r="N383" s="1172" t="s">
        <v>747</v>
      </c>
      <c r="O383" s="1172" t="s">
        <v>1815</v>
      </c>
    </row>
    <row r="384" spans="1:15" s="1156" customFormat="1" ht="90" x14ac:dyDescent="0.25">
      <c r="A384" s="1169">
        <v>2022378</v>
      </c>
      <c r="B384" s="1169">
        <v>7658</v>
      </c>
      <c r="C384" s="1169" t="s">
        <v>673</v>
      </c>
      <c r="D384" s="1187" t="s">
        <v>702</v>
      </c>
      <c r="E384" s="1227">
        <v>80111600</v>
      </c>
      <c r="F384" s="1196" t="s">
        <v>1020</v>
      </c>
      <c r="G384" s="1190" t="s">
        <v>1743</v>
      </c>
      <c r="H384" s="1209" t="s">
        <v>1743</v>
      </c>
      <c r="I384" s="1191" t="s">
        <v>1793</v>
      </c>
      <c r="J384" s="1192" t="s">
        <v>1783</v>
      </c>
      <c r="K384" s="1173" t="s">
        <v>678</v>
      </c>
      <c r="L384" s="1238" t="s">
        <v>679</v>
      </c>
      <c r="M384" s="1193">
        <v>55620000</v>
      </c>
      <c r="N384" s="1172" t="s">
        <v>747</v>
      </c>
      <c r="O384" s="1172" t="s">
        <v>1815</v>
      </c>
    </row>
    <row r="385" spans="1:18" s="1156" customFormat="1" ht="90" x14ac:dyDescent="0.25">
      <c r="A385" s="1169">
        <v>2022379</v>
      </c>
      <c r="B385" s="1169">
        <v>7658</v>
      </c>
      <c r="C385" s="1169" t="s">
        <v>673</v>
      </c>
      <c r="D385" s="1187" t="s">
        <v>702</v>
      </c>
      <c r="E385" s="1227">
        <v>80111600</v>
      </c>
      <c r="F385" s="1196" t="s">
        <v>1021</v>
      </c>
      <c r="G385" s="1190" t="s">
        <v>1743</v>
      </c>
      <c r="H385" s="1209" t="s">
        <v>1743</v>
      </c>
      <c r="I385" s="1191" t="s">
        <v>1746</v>
      </c>
      <c r="J385" s="1192" t="s">
        <v>1783</v>
      </c>
      <c r="K385" s="1173" t="s">
        <v>678</v>
      </c>
      <c r="L385" s="1238" t="s">
        <v>679</v>
      </c>
      <c r="M385" s="1193">
        <v>50985000</v>
      </c>
      <c r="N385" s="1172" t="s">
        <v>747</v>
      </c>
      <c r="O385" s="1172" t="s">
        <v>1815</v>
      </c>
    </row>
    <row r="386" spans="1:18" s="1156" customFormat="1" ht="90" x14ac:dyDescent="0.25">
      <c r="A386" s="1169">
        <v>2022380</v>
      </c>
      <c r="B386" s="1169">
        <v>7658</v>
      </c>
      <c r="C386" s="1169" t="s">
        <v>673</v>
      </c>
      <c r="D386" s="1187" t="s">
        <v>702</v>
      </c>
      <c r="E386" s="1227">
        <v>80111600</v>
      </c>
      <c r="F386" s="1196" t="s">
        <v>1022</v>
      </c>
      <c r="G386" s="1190" t="s">
        <v>1743</v>
      </c>
      <c r="H386" s="1209" t="s">
        <v>1743</v>
      </c>
      <c r="I386" s="1191" t="s">
        <v>1746</v>
      </c>
      <c r="J386" s="1192" t="s">
        <v>1783</v>
      </c>
      <c r="K386" s="1173" t="s">
        <v>678</v>
      </c>
      <c r="L386" s="1238" t="s">
        <v>679</v>
      </c>
      <c r="M386" s="1193">
        <v>50985000</v>
      </c>
      <c r="N386" s="1172" t="s">
        <v>747</v>
      </c>
      <c r="O386" s="1172" t="s">
        <v>1815</v>
      </c>
    </row>
    <row r="387" spans="1:18" s="1156" customFormat="1" ht="90" x14ac:dyDescent="0.25">
      <c r="A387" s="1169">
        <v>2022381</v>
      </c>
      <c r="B387" s="1169">
        <v>7658</v>
      </c>
      <c r="C387" s="1169" t="s">
        <v>673</v>
      </c>
      <c r="D387" s="1187" t="s">
        <v>702</v>
      </c>
      <c r="E387" s="1227">
        <v>80111600</v>
      </c>
      <c r="F387" s="1196" t="s">
        <v>1023</v>
      </c>
      <c r="G387" s="1190" t="s">
        <v>1743</v>
      </c>
      <c r="H387" s="1209" t="s">
        <v>1743</v>
      </c>
      <c r="I387" s="1191" t="s">
        <v>1793</v>
      </c>
      <c r="J387" s="1192" t="s">
        <v>1783</v>
      </c>
      <c r="K387" s="1173" t="s">
        <v>678</v>
      </c>
      <c r="L387" s="1238" t="s">
        <v>679</v>
      </c>
      <c r="M387" s="1193">
        <v>84000000</v>
      </c>
      <c r="N387" s="1172" t="s">
        <v>747</v>
      </c>
      <c r="O387" s="1172" t="s">
        <v>1815</v>
      </c>
    </row>
    <row r="388" spans="1:18" s="1156" customFormat="1" ht="90" x14ac:dyDescent="0.25">
      <c r="A388" s="1169">
        <v>2022382</v>
      </c>
      <c r="B388" s="1169">
        <v>7658</v>
      </c>
      <c r="C388" s="1169" t="s">
        <v>673</v>
      </c>
      <c r="D388" s="1187" t="s">
        <v>702</v>
      </c>
      <c r="E388" s="1227">
        <v>80111600</v>
      </c>
      <c r="F388" s="1196" t="s">
        <v>1024</v>
      </c>
      <c r="G388" s="1190" t="s">
        <v>1743</v>
      </c>
      <c r="H388" s="1209" t="s">
        <v>1743</v>
      </c>
      <c r="I388" s="1191" t="s">
        <v>1793</v>
      </c>
      <c r="J388" s="1192" t="s">
        <v>1783</v>
      </c>
      <c r="K388" s="1173" t="s">
        <v>678</v>
      </c>
      <c r="L388" s="1238" t="s">
        <v>679</v>
      </c>
      <c r="M388" s="1193">
        <v>84000000</v>
      </c>
      <c r="N388" s="1172" t="s">
        <v>747</v>
      </c>
      <c r="O388" s="1172" t="s">
        <v>1815</v>
      </c>
    </row>
    <row r="389" spans="1:18" s="1156" customFormat="1" ht="90" x14ac:dyDescent="0.25">
      <c r="A389" s="1169">
        <v>2022383</v>
      </c>
      <c r="B389" s="1169">
        <v>7658</v>
      </c>
      <c r="C389" s="1169" t="s">
        <v>673</v>
      </c>
      <c r="D389" s="1187" t="s">
        <v>702</v>
      </c>
      <c r="E389" s="1227">
        <v>80111600</v>
      </c>
      <c r="F389" s="1196" t="s">
        <v>1025</v>
      </c>
      <c r="G389" s="1190" t="s">
        <v>1743</v>
      </c>
      <c r="H389" s="1209" t="s">
        <v>1743</v>
      </c>
      <c r="I389" s="1191" t="s">
        <v>1793</v>
      </c>
      <c r="J389" s="1192" t="s">
        <v>1783</v>
      </c>
      <c r="K389" s="1173" t="s">
        <v>678</v>
      </c>
      <c r="L389" s="1238" t="s">
        <v>679</v>
      </c>
      <c r="M389" s="1193">
        <v>84000000</v>
      </c>
      <c r="N389" s="1172" t="s">
        <v>747</v>
      </c>
      <c r="O389" s="1172" t="s">
        <v>1815</v>
      </c>
    </row>
    <row r="390" spans="1:18" s="1156" customFormat="1" ht="90" x14ac:dyDescent="0.25">
      <c r="A390" s="1169">
        <v>2022384</v>
      </c>
      <c r="B390" s="1169">
        <v>7658</v>
      </c>
      <c r="C390" s="1169" t="s">
        <v>673</v>
      </c>
      <c r="D390" s="1187" t="s">
        <v>702</v>
      </c>
      <c r="E390" s="1227">
        <v>80111600</v>
      </c>
      <c r="F390" s="1196" t="s">
        <v>1026</v>
      </c>
      <c r="G390" s="1190" t="s">
        <v>1743</v>
      </c>
      <c r="H390" s="1209" t="s">
        <v>1743</v>
      </c>
      <c r="I390" s="1191" t="s">
        <v>1793</v>
      </c>
      <c r="J390" s="1192" t="s">
        <v>1783</v>
      </c>
      <c r="K390" s="1173" t="s">
        <v>678</v>
      </c>
      <c r="L390" s="1238" t="s">
        <v>679</v>
      </c>
      <c r="M390" s="1193">
        <v>84000000</v>
      </c>
      <c r="N390" s="1172" t="s">
        <v>747</v>
      </c>
      <c r="O390" s="1172" t="s">
        <v>1815</v>
      </c>
    </row>
    <row r="391" spans="1:18" s="1156" customFormat="1" ht="90" x14ac:dyDescent="0.25">
      <c r="A391" s="1169">
        <v>2022385</v>
      </c>
      <c r="B391" s="1169">
        <v>7658</v>
      </c>
      <c r="C391" s="1169" t="s">
        <v>673</v>
      </c>
      <c r="D391" s="1187" t="s">
        <v>702</v>
      </c>
      <c r="E391" s="1227">
        <v>80111600</v>
      </c>
      <c r="F391" s="1196" t="s">
        <v>1027</v>
      </c>
      <c r="G391" s="1190" t="s">
        <v>1743</v>
      </c>
      <c r="H391" s="1209" t="s">
        <v>1743</v>
      </c>
      <c r="I391" s="1191" t="s">
        <v>1793</v>
      </c>
      <c r="J391" s="1192" t="s">
        <v>1783</v>
      </c>
      <c r="K391" s="1173" t="s">
        <v>678</v>
      </c>
      <c r="L391" s="1238" t="s">
        <v>679</v>
      </c>
      <c r="M391" s="1193">
        <v>84000000</v>
      </c>
      <c r="N391" s="1172" t="s">
        <v>747</v>
      </c>
      <c r="O391" s="1172" t="s">
        <v>1815</v>
      </c>
    </row>
    <row r="392" spans="1:18" s="1156" customFormat="1" ht="90" x14ac:dyDescent="0.25">
      <c r="A392" s="1169">
        <v>2022386</v>
      </c>
      <c r="B392" s="1169">
        <v>7658</v>
      </c>
      <c r="C392" s="1169" t="s">
        <v>673</v>
      </c>
      <c r="D392" s="1187" t="s">
        <v>702</v>
      </c>
      <c r="E392" s="1227">
        <v>80111600</v>
      </c>
      <c r="F392" s="1196" t="s">
        <v>1028</v>
      </c>
      <c r="G392" s="1190" t="s">
        <v>1743</v>
      </c>
      <c r="H392" s="1209" t="s">
        <v>1743</v>
      </c>
      <c r="I392" s="1191" t="s">
        <v>1793</v>
      </c>
      <c r="J392" s="1192" t="s">
        <v>1783</v>
      </c>
      <c r="K392" s="1173" t="s">
        <v>678</v>
      </c>
      <c r="L392" s="1238" t="s">
        <v>679</v>
      </c>
      <c r="M392" s="1193">
        <v>84000000</v>
      </c>
      <c r="N392" s="1172" t="s">
        <v>747</v>
      </c>
      <c r="O392" s="1172" t="s">
        <v>1815</v>
      </c>
    </row>
    <row r="393" spans="1:18" s="1156" customFormat="1" ht="90" x14ac:dyDescent="0.25">
      <c r="A393" s="1169">
        <v>2022387</v>
      </c>
      <c r="B393" s="1169">
        <v>7658</v>
      </c>
      <c r="C393" s="1169" t="s">
        <v>673</v>
      </c>
      <c r="D393" s="1187" t="s">
        <v>702</v>
      </c>
      <c r="E393" s="1231">
        <v>80111600</v>
      </c>
      <c r="F393" s="1172" t="s">
        <v>1029</v>
      </c>
      <c r="G393" s="1190" t="s">
        <v>1743</v>
      </c>
      <c r="H393" s="1209" t="s">
        <v>1743</v>
      </c>
      <c r="I393" s="1191" t="s">
        <v>1793</v>
      </c>
      <c r="J393" s="1192" t="s">
        <v>1783</v>
      </c>
      <c r="K393" s="1173" t="s">
        <v>678</v>
      </c>
      <c r="L393" s="1249" t="s">
        <v>679</v>
      </c>
      <c r="M393" s="1250">
        <v>90000000</v>
      </c>
      <c r="N393" s="1172" t="s">
        <v>747</v>
      </c>
      <c r="O393" s="1172" t="s">
        <v>1815</v>
      </c>
    </row>
    <row r="394" spans="1:18" s="1156" customFormat="1" ht="75" x14ac:dyDescent="0.25">
      <c r="A394" s="1169">
        <v>2022388</v>
      </c>
      <c r="B394" s="1169">
        <v>7658</v>
      </c>
      <c r="C394" s="1169" t="s">
        <v>673</v>
      </c>
      <c r="D394" s="1187" t="s">
        <v>693</v>
      </c>
      <c r="E394" s="1231" t="s">
        <v>1870</v>
      </c>
      <c r="F394" s="1172" t="s">
        <v>1871</v>
      </c>
      <c r="G394" s="1209" t="s">
        <v>1872</v>
      </c>
      <c r="H394" s="1209" t="s">
        <v>1873</v>
      </c>
      <c r="I394" s="1209">
        <v>10</v>
      </c>
      <c r="J394" s="1192" t="s">
        <v>1874</v>
      </c>
      <c r="K394" s="1173" t="s">
        <v>678</v>
      </c>
      <c r="L394" s="1251" t="s">
        <v>679</v>
      </c>
      <c r="M394" s="1176">
        <v>650000000</v>
      </c>
      <c r="N394" s="1172" t="s">
        <v>741</v>
      </c>
      <c r="O394" s="1172" t="s">
        <v>1875</v>
      </c>
    </row>
    <row r="395" spans="1:18" s="1156" customFormat="1" ht="75" x14ac:dyDescent="0.25">
      <c r="A395" s="1179">
        <v>2022389</v>
      </c>
      <c r="B395" s="1179">
        <v>7658</v>
      </c>
      <c r="C395" s="1179" t="s">
        <v>673</v>
      </c>
      <c r="D395" s="1224" t="s">
        <v>693</v>
      </c>
      <c r="E395" s="1252" t="s">
        <v>1030</v>
      </c>
      <c r="F395" s="1182" t="s">
        <v>1031</v>
      </c>
      <c r="G395" s="1243" t="s">
        <v>1872</v>
      </c>
      <c r="H395" s="1243" t="s">
        <v>1873</v>
      </c>
      <c r="I395" s="1243">
        <v>8</v>
      </c>
      <c r="J395" s="1237" t="s">
        <v>1874</v>
      </c>
      <c r="K395" s="1181" t="s">
        <v>678</v>
      </c>
      <c r="L395" s="1253" t="s">
        <v>679</v>
      </c>
      <c r="M395" s="1183">
        <v>816036232</v>
      </c>
      <c r="N395" s="1182" t="s">
        <v>741</v>
      </c>
      <c r="O395" s="1182" t="s">
        <v>1875</v>
      </c>
      <c r="R395" s="1177"/>
    </row>
    <row r="396" spans="1:18" s="1156" customFormat="1" ht="90" x14ac:dyDescent="0.25">
      <c r="A396" s="1169">
        <v>2022390</v>
      </c>
      <c r="B396" s="1169">
        <v>7658</v>
      </c>
      <c r="C396" s="1169" t="s">
        <v>673</v>
      </c>
      <c r="D396" s="1187" t="s">
        <v>693</v>
      </c>
      <c r="E396" s="1231" t="s">
        <v>1030</v>
      </c>
      <c r="F396" s="1172" t="s">
        <v>1034</v>
      </c>
      <c r="G396" s="1190" t="s">
        <v>1743</v>
      </c>
      <c r="H396" s="1209" t="s">
        <v>1749</v>
      </c>
      <c r="I396" s="1209">
        <v>2</v>
      </c>
      <c r="J396" s="1192" t="s">
        <v>1874</v>
      </c>
      <c r="K396" s="1173" t="s">
        <v>678</v>
      </c>
      <c r="L396" s="1175" t="s">
        <v>679</v>
      </c>
      <c r="M396" s="1176">
        <v>183963768</v>
      </c>
      <c r="N396" s="1172" t="s">
        <v>741</v>
      </c>
      <c r="O396" s="1172" t="s">
        <v>1875</v>
      </c>
    </row>
    <row r="397" spans="1:18" s="1156" customFormat="1" ht="75" x14ac:dyDescent="0.25">
      <c r="A397" s="1169">
        <v>2022391</v>
      </c>
      <c r="B397" s="1169">
        <v>7658</v>
      </c>
      <c r="C397" s="1169" t="s">
        <v>673</v>
      </c>
      <c r="D397" s="1187" t="s">
        <v>693</v>
      </c>
      <c r="E397" s="1231" t="s">
        <v>1877</v>
      </c>
      <c r="F397" s="1172" t="s">
        <v>1878</v>
      </c>
      <c r="G397" s="1209" t="s">
        <v>1879</v>
      </c>
      <c r="H397" s="1209" t="s">
        <v>1880</v>
      </c>
      <c r="I397" s="1209">
        <v>8</v>
      </c>
      <c r="J397" s="1192" t="s">
        <v>1874</v>
      </c>
      <c r="K397" s="1173" t="s">
        <v>774</v>
      </c>
      <c r="L397" s="1251" t="s">
        <v>962</v>
      </c>
      <c r="M397" s="1176">
        <v>617440000</v>
      </c>
      <c r="N397" s="1172" t="s">
        <v>741</v>
      </c>
      <c r="O397" s="1172" t="s">
        <v>1875</v>
      </c>
    </row>
    <row r="398" spans="1:18" s="1156" customFormat="1" ht="90" x14ac:dyDescent="0.25">
      <c r="A398" s="1169">
        <v>2022392</v>
      </c>
      <c r="B398" s="1169">
        <v>7658</v>
      </c>
      <c r="C398" s="1169" t="s">
        <v>673</v>
      </c>
      <c r="D398" s="1187" t="s">
        <v>693</v>
      </c>
      <c r="E398" s="1254" t="s">
        <v>1881</v>
      </c>
      <c r="F398" s="1172" t="s">
        <v>1882</v>
      </c>
      <c r="G398" s="1209" t="s">
        <v>1879</v>
      </c>
      <c r="H398" s="1209" t="s">
        <v>1880</v>
      </c>
      <c r="I398" s="1209">
        <v>8</v>
      </c>
      <c r="J398" s="1192" t="s">
        <v>1861</v>
      </c>
      <c r="K398" s="1173" t="s">
        <v>678</v>
      </c>
      <c r="L398" s="1251" t="s">
        <v>679</v>
      </c>
      <c r="M398" s="1176">
        <v>300000000</v>
      </c>
      <c r="N398" s="1172" t="s">
        <v>741</v>
      </c>
      <c r="O398" s="1172" t="s">
        <v>1875</v>
      </c>
    </row>
    <row r="399" spans="1:18" s="1156" customFormat="1" ht="75" x14ac:dyDescent="0.25">
      <c r="A399" s="1169">
        <v>2022393</v>
      </c>
      <c r="B399" s="1169">
        <v>7658</v>
      </c>
      <c r="C399" s="1169" t="s">
        <v>673</v>
      </c>
      <c r="D399" s="1187" t="s">
        <v>693</v>
      </c>
      <c r="E399" s="1254" t="s">
        <v>1883</v>
      </c>
      <c r="F399" s="1172" t="s">
        <v>1039</v>
      </c>
      <c r="G399" s="1209" t="s">
        <v>1879</v>
      </c>
      <c r="H399" s="1209" t="s">
        <v>1880</v>
      </c>
      <c r="I399" s="1209">
        <v>8</v>
      </c>
      <c r="J399" s="1192" t="s">
        <v>1884</v>
      </c>
      <c r="K399" s="1173" t="s">
        <v>678</v>
      </c>
      <c r="L399" s="1175" t="s">
        <v>679</v>
      </c>
      <c r="M399" s="1176">
        <v>200000000</v>
      </c>
      <c r="N399" s="1172" t="s">
        <v>741</v>
      </c>
      <c r="O399" s="1172" t="s">
        <v>1875</v>
      </c>
    </row>
    <row r="400" spans="1:18" s="1156" customFormat="1" ht="75" x14ac:dyDescent="0.25">
      <c r="A400" s="1169">
        <v>2022394</v>
      </c>
      <c r="B400" s="1169">
        <v>7658</v>
      </c>
      <c r="C400" s="1169" t="s">
        <v>673</v>
      </c>
      <c r="D400" s="1187" t="s">
        <v>693</v>
      </c>
      <c r="E400" s="1255" t="s">
        <v>1885</v>
      </c>
      <c r="F400" s="1172" t="s">
        <v>1886</v>
      </c>
      <c r="G400" s="1173" t="s">
        <v>1880</v>
      </c>
      <c r="H400" s="1173" t="s">
        <v>1887</v>
      </c>
      <c r="I400" s="1173">
        <v>6</v>
      </c>
      <c r="J400" s="1192" t="s">
        <v>1884</v>
      </c>
      <c r="K400" s="1173" t="s">
        <v>678</v>
      </c>
      <c r="L400" s="1175" t="s">
        <v>679</v>
      </c>
      <c r="M400" s="1176">
        <f>150000000-76286376</f>
        <v>73713624</v>
      </c>
      <c r="N400" s="1172" t="s">
        <v>741</v>
      </c>
      <c r="O400" s="1172" t="s">
        <v>1875</v>
      </c>
    </row>
    <row r="401" spans="1:15" s="1156" customFormat="1" ht="75" x14ac:dyDescent="0.25">
      <c r="A401" s="1169">
        <v>2022395</v>
      </c>
      <c r="B401" s="1169">
        <v>7658</v>
      </c>
      <c r="C401" s="1169" t="s">
        <v>673</v>
      </c>
      <c r="D401" s="1187" t="s">
        <v>693</v>
      </c>
      <c r="E401" s="1255" t="s">
        <v>1888</v>
      </c>
      <c r="F401" s="1172" t="s">
        <v>1889</v>
      </c>
      <c r="G401" s="1173" t="s">
        <v>1887</v>
      </c>
      <c r="H401" s="1173" t="s">
        <v>1890</v>
      </c>
      <c r="I401" s="1173">
        <v>3</v>
      </c>
      <c r="J401" s="1192" t="s">
        <v>1874</v>
      </c>
      <c r="K401" s="1173" t="s">
        <v>774</v>
      </c>
      <c r="L401" s="1175" t="s">
        <v>962</v>
      </c>
      <c r="M401" s="1176">
        <v>400000000</v>
      </c>
      <c r="N401" s="1172" t="s">
        <v>741</v>
      </c>
      <c r="O401" s="1172" t="s">
        <v>1875</v>
      </c>
    </row>
    <row r="402" spans="1:15" s="1156" customFormat="1" ht="75" x14ac:dyDescent="0.25">
      <c r="A402" s="1169">
        <v>2022396</v>
      </c>
      <c r="B402" s="1169">
        <v>7658</v>
      </c>
      <c r="C402" s="1169" t="s">
        <v>673</v>
      </c>
      <c r="D402" s="1187" t="s">
        <v>693</v>
      </c>
      <c r="E402" s="1255" t="s">
        <v>1883</v>
      </c>
      <c r="F402" s="1196" t="s">
        <v>1891</v>
      </c>
      <c r="G402" s="1173" t="s">
        <v>1892</v>
      </c>
      <c r="H402" s="1173" t="s">
        <v>1893</v>
      </c>
      <c r="I402" s="1173">
        <v>3</v>
      </c>
      <c r="J402" s="1192" t="s">
        <v>1874</v>
      </c>
      <c r="K402" s="1173" t="s">
        <v>678</v>
      </c>
      <c r="L402" s="1175" t="s">
        <v>679</v>
      </c>
      <c r="M402" s="1176">
        <v>300000000</v>
      </c>
      <c r="N402" s="1172" t="s">
        <v>741</v>
      </c>
      <c r="O402" s="1172" t="s">
        <v>1875</v>
      </c>
    </row>
    <row r="403" spans="1:15" s="1156" customFormat="1" ht="75" x14ac:dyDescent="0.25">
      <c r="A403" s="1169">
        <v>2022397</v>
      </c>
      <c r="B403" s="1169">
        <v>7658</v>
      </c>
      <c r="C403" s="1169" t="s">
        <v>673</v>
      </c>
      <c r="D403" s="1187" t="s">
        <v>693</v>
      </c>
      <c r="E403" s="1256" t="s">
        <v>1894</v>
      </c>
      <c r="F403" s="1172" t="s">
        <v>1895</v>
      </c>
      <c r="G403" s="1257" t="s">
        <v>1873</v>
      </c>
      <c r="H403" s="1173" t="s">
        <v>1892</v>
      </c>
      <c r="I403" s="1173">
        <v>2</v>
      </c>
      <c r="J403" s="1192" t="s">
        <v>1884</v>
      </c>
      <c r="K403" s="1173" t="s">
        <v>678</v>
      </c>
      <c r="L403" s="1175" t="s">
        <v>679</v>
      </c>
      <c r="M403" s="1176">
        <v>30000000</v>
      </c>
      <c r="N403" s="1172" t="s">
        <v>741</v>
      </c>
      <c r="O403" s="1172" t="s">
        <v>1875</v>
      </c>
    </row>
    <row r="404" spans="1:15" s="1156" customFormat="1" ht="75" x14ac:dyDescent="0.25">
      <c r="A404" s="1169">
        <v>2022398</v>
      </c>
      <c r="B404" s="1169">
        <v>7658</v>
      </c>
      <c r="C404" s="1169" t="s">
        <v>673</v>
      </c>
      <c r="D404" s="1187" t="s">
        <v>693</v>
      </c>
      <c r="E404" s="1256" t="s">
        <v>1896</v>
      </c>
      <c r="F404" s="1172" t="s">
        <v>1897</v>
      </c>
      <c r="G404" s="1257" t="s">
        <v>1880</v>
      </c>
      <c r="H404" s="1173" t="s">
        <v>1893</v>
      </c>
      <c r="I404" s="1173">
        <v>8</v>
      </c>
      <c r="J404" s="1192" t="s">
        <v>1884</v>
      </c>
      <c r="K404" s="1173" t="s">
        <v>678</v>
      </c>
      <c r="L404" s="1175" t="s">
        <v>679</v>
      </c>
      <c r="M404" s="1176">
        <v>10000000</v>
      </c>
      <c r="N404" s="1172" t="s">
        <v>741</v>
      </c>
      <c r="O404" s="1172" t="s">
        <v>1875</v>
      </c>
    </row>
    <row r="405" spans="1:15" s="1156" customFormat="1" ht="75" x14ac:dyDescent="0.25">
      <c r="A405" s="1169">
        <v>2022399</v>
      </c>
      <c r="B405" s="1169">
        <v>7658</v>
      </c>
      <c r="C405" s="1169" t="s">
        <v>673</v>
      </c>
      <c r="D405" s="1187" t="s">
        <v>693</v>
      </c>
      <c r="E405" s="1256" t="s">
        <v>1898</v>
      </c>
      <c r="F405" s="1172" t="s">
        <v>1899</v>
      </c>
      <c r="G405" s="1257" t="s">
        <v>1880</v>
      </c>
      <c r="H405" s="1173" t="s">
        <v>1893</v>
      </c>
      <c r="I405" s="1173">
        <v>8</v>
      </c>
      <c r="J405" s="1192" t="s">
        <v>1884</v>
      </c>
      <c r="K405" s="1173" t="s">
        <v>678</v>
      </c>
      <c r="L405" s="1175" t="s">
        <v>679</v>
      </c>
      <c r="M405" s="1176">
        <v>20000000</v>
      </c>
      <c r="N405" s="1172" t="s">
        <v>741</v>
      </c>
      <c r="O405" s="1172" t="s">
        <v>1875</v>
      </c>
    </row>
    <row r="406" spans="1:15" s="1156" customFormat="1" ht="75" x14ac:dyDescent="0.25">
      <c r="A406" s="1169">
        <v>2022400</v>
      </c>
      <c r="B406" s="1169">
        <v>7658</v>
      </c>
      <c r="C406" s="1169" t="s">
        <v>673</v>
      </c>
      <c r="D406" s="1187" t="s">
        <v>693</v>
      </c>
      <c r="E406" s="1256" t="s">
        <v>1044</v>
      </c>
      <c r="F406" s="1172" t="s">
        <v>1045</v>
      </c>
      <c r="G406" s="1257" t="s">
        <v>1880</v>
      </c>
      <c r="H406" s="1173" t="s">
        <v>1893</v>
      </c>
      <c r="I406" s="1173">
        <v>2</v>
      </c>
      <c r="J406" s="1192" t="s">
        <v>1884</v>
      </c>
      <c r="K406" s="1173" t="s">
        <v>678</v>
      </c>
      <c r="L406" s="1175" t="s">
        <v>679</v>
      </c>
      <c r="M406" s="1176">
        <v>50000000</v>
      </c>
      <c r="N406" s="1172" t="s">
        <v>741</v>
      </c>
      <c r="O406" s="1172" t="s">
        <v>1875</v>
      </c>
    </row>
    <row r="407" spans="1:15" s="1156" customFormat="1" ht="75" x14ac:dyDescent="0.25">
      <c r="A407" s="1169">
        <v>2022401</v>
      </c>
      <c r="B407" s="1169">
        <v>7658</v>
      </c>
      <c r="C407" s="1169" t="s">
        <v>673</v>
      </c>
      <c r="D407" s="1187" t="s">
        <v>693</v>
      </c>
      <c r="E407" s="1256" t="s">
        <v>1900</v>
      </c>
      <c r="F407" s="1172" t="s">
        <v>1901</v>
      </c>
      <c r="G407" s="1257" t="s">
        <v>1892</v>
      </c>
      <c r="H407" s="1173" t="s">
        <v>1890</v>
      </c>
      <c r="I407" s="1173">
        <v>6</v>
      </c>
      <c r="J407" s="1192" t="s">
        <v>1884</v>
      </c>
      <c r="K407" s="1173" t="s">
        <v>678</v>
      </c>
      <c r="L407" s="1175" t="s">
        <v>679</v>
      </c>
      <c r="M407" s="1176">
        <v>30000000</v>
      </c>
      <c r="N407" s="1172" t="s">
        <v>741</v>
      </c>
      <c r="O407" s="1172" t="s">
        <v>1875</v>
      </c>
    </row>
    <row r="408" spans="1:15" s="1156" customFormat="1" ht="75" x14ac:dyDescent="0.25">
      <c r="A408" s="1179">
        <v>2022402</v>
      </c>
      <c r="B408" s="1179">
        <v>7658</v>
      </c>
      <c r="C408" s="1179" t="s">
        <v>673</v>
      </c>
      <c r="D408" s="1224" t="s">
        <v>693</v>
      </c>
      <c r="E408" s="1258">
        <v>43232500</v>
      </c>
      <c r="F408" s="1182" t="s">
        <v>1902</v>
      </c>
      <c r="G408" s="1259" t="s">
        <v>1880</v>
      </c>
      <c r="H408" s="1181" t="s">
        <v>1893</v>
      </c>
      <c r="I408" s="1181">
        <v>6</v>
      </c>
      <c r="J408" s="1237" t="s">
        <v>1884</v>
      </c>
      <c r="K408" s="1181" t="s">
        <v>678</v>
      </c>
      <c r="L408" s="1180" t="s">
        <v>679</v>
      </c>
      <c r="M408" s="1183">
        <f>24560000-560000-10000000</f>
        <v>14000000</v>
      </c>
      <c r="N408" s="1182" t="s">
        <v>741</v>
      </c>
      <c r="O408" s="1182" t="s">
        <v>1875</v>
      </c>
    </row>
    <row r="409" spans="1:15" s="1156" customFormat="1" ht="75" x14ac:dyDescent="0.25">
      <c r="A409" s="1169">
        <v>2022403</v>
      </c>
      <c r="B409" s="1169">
        <v>7658</v>
      </c>
      <c r="C409" s="1169" t="s">
        <v>673</v>
      </c>
      <c r="D409" s="1187" t="s">
        <v>693</v>
      </c>
      <c r="E409" s="1255" t="s">
        <v>1900</v>
      </c>
      <c r="F409" s="1260" t="s">
        <v>1903</v>
      </c>
      <c r="G409" s="1173" t="s">
        <v>1880</v>
      </c>
      <c r="H409" s="1173" t="s">
        <v>1893</v>
      </c>
      <c r="I409" s="1173">
        <v>6</v>
      </c>
      <c r="J409" s="1192" t="s">
        <v>1884</v>
      </c>
      <c r="K409" s="1173" t="s">
        <v>678</v>
      </c>
      <c r="L409" s="1175" t="s">
        <v>679</v>
      </c>
      <c r="M409" s="1176">
        <v>20000000</v>
      </c>
      <c r="N409" s="1172" t="s">
        <v>741</v>
      </c>
      <c r="O409" s="1172" t="s">
        <v>1875</v>
      </c>
    </row>
    <row r="410" spans="1:15" s="1156" customFormat="1" ht="75" x14ac:dyDescent="0.25">
      <c r="A410" s="1169">
        <v>2022404</v>
      </c>
      <c r="B410" s="1169">
        <v>7658</v>
      </c>
      <c r="C410" s="1169" t="s">
        <v>673</v>
      </c>
      <c r="D410" s="1187" t="s">
        <v>693</v>
      </c>
      <c r="E410" s="1231">
        <v>80111600</v>
      </c>
      <c r="F410" s="1172" t="s">
        <v>1046</v>
      </c>
      <c r="G410" s="1173" t="s">
        <v>1872</v>
      </c>
      <c r="H410" s="1173" t="s">
        <v>1872</v>
      </c>
      <c r="I410" s="1173">
        <v>7</v>
      </c>
      <c r="J410" s="1173" t="s">
        <v>1904</v>
      </c>
      <c r="K410" s="1173" t="s">
        <v>678</v>
      </c>
      <c r="L410" s="1175" t="s">
        <v>679</v>
      </c>
      <c r="M410" s="1261">
        <v>26950000</v>
      </c>
      <c r="N410" s="1172" t="s">
        <v>741</v>
      </c>
      <c r="O410" s="1172" t="s">
        <v>1875</v>
      </c>
    </row>
    <row r="411" spans="1:15" s="1156" customFormat="1" ht="75" x14ac:dyDescent="0.25">
      <c r="A411" s="1169">
        <v>2022405</v>
      </c>
      <c r="B411" s="1169">
        <v>7658</v>
      </c>
      <c r="C411" s="1169" t="s">
        <v>673</v>
      </c>
      <c r="D411" s="1187" t="s">
        <v>693</v>
      </c>
      <c r="E411" s="1231">
        <v>80111600</v>
      </c>
      <c r="F411" s="1172" t="s">
        <v>1046</v>
      </c>
      <c r="G411" s="1173" t="s">
        <v>1872</v>
      </c>
      <c r="H411" s="1173" t="s">
        <v>1872</v>
      </c>
      <c r="I411" s="1173">
        <v>3</v>
      </c>
      <c r="J411" s="1173" t="s">
        <v>1904</v>
      </c>
      <c r="K411" s="1173" t="s">
        <v>678</v>
      </c>
      <c r="L411" s="1175" t="s">
        <v>679</v>
      </c>
      <c r="M411" s="1261">
        <v>13500000</v>
      </c>
      <c r="N411" s="1172" t="s">
        <v>741</v>
      </c>
      <c r="O411" s="1172" t="s">
        <v>1875</v>
      </c>
    </row>
    <row r="412" spans="1:15" s="1156" customFormat="1" ht="75" x14ac:dyDescent="0.25">
      <c r="A412" s="1169">
        <v>2022406</v>
      </c>
      <c r="B412" s="1169">
        <v>7658</v>
      </c>
      <c r="C412" s="1169" t="s">
        <v>673</v>
      </c>
      <c r="D412" s="1187" t="s">
        <v>693</v>
      </c>
      <c r="E412" s="1231">
        <v>80111600</v>
      </c>
      <c r="F412" s="1172" t="s">
        <v>1047</v>
      </c>
      <c r="G412" s="1173" t="s">
        <v>1872</v>
      </c>
      <c r="H412" s="1173" t="s">
        <v>1872</v>
      </c>
      <c r="I412" s="1173">
        <v>10</v>
      </c>
      <c r="J412" s="1173" t="s">
        <v>1904</v>
      </c>
      <c r="K412" s="1173" t="s">
        <v>678</v>
      </c>
      <c r="L412" s="1175" t="s">
        <v>679</v>
      </c>
      <c r="M412" s="1261">
        <v>82400000</v>
      </c>
      <c r="N412" s="1172" t="s">
        <v>741</v>
      </c>
      <c r="O412" s="1172" t="s">
        <v>1875</v>
      </c>
    </row>
    <row r="413" spans="1:15" s="1156" customFormat="1" ht="75" x14ac:dyDescent="0.25">
      <c r="A413" s="1169">
        <v>2022407</v>
      </c>
      <c r="B413" s="1169">
        <v>7658</v>
      </c>
      <c r="C413" s="1169" t="s">
        <v>673</v>
      </c>
      <c r="D413" s="1187" t="s">
        <v>693</v>
      </c>
      <c r="E413" s="1231">
        <v>80111600</v>
      </c>
      <c r="F413" s="1172" t="s">
        <v>1048</v>
      </c>
      <c r="G413" s="1173" t="s">
        <v>1872</v>
      </c>
      <c r="H413" s="1173" t="s">
        <v>1872</v>
      </c>
      <c r="I413" s="1173">
        <v>6</v>
      </c>
      <c r="J413" s="1173" t="s">
        <v>1904</v>
      </c>
      <c r="K413" s="1173" t="s">
        <v>678</v>
      </c>
      <c r="L413" s="1175" t="s">
        <v>679</v>
      </c>
      <c r="M413" s="1261">
        <v>49440000</v>
      </c>
      <c r="N413" s="1172" t="s">
        <v>741</v>
      </c>
      <c r="O413" s="1172" t="s">
        <v>1875</v>
      </c>
    </row>
    <row r="414" spans="1:15" s="1156" customFormat="1" ht="75" x14ac:dyDescent="0.25">
      <c r="A414" s="1169">
        <v>2022408</v>
      </c>
      <c r="B414" s="1169">
        <v>7658</v>
      </c>
      <c r="C414" s="1169" t="s">
        <v>673</v>
      </c>
      <c r="D414" s="1187" t="s">
        <v>693</v>
      </c>
      <c r="E414" s="1231">
        <v>80111600</v>
      </c>
      <c r="F414" s="1172" t="s">
        <v>1048</v>
      </c>
      <c r="G414" s="1173" t="s">
        <v>1872</v>
      </c>
      <c r="H414" s="1173" t="s">
        <v>1872</v>
      </c>
      <c r="I414" s="1173">
        <v>4</v>
      </c>
      <c r="J414" s="1173" t="s">
        <v>1904</v>
      </c>
      <c r="K414" s="1173" t="s">
        <v>678</v>
      </c>
      <c r="L414" s="1175" t="s">
        <v>679</v>
      </c>
      <c r="M414" s="1261">
        <v>32960000</v>
      </c>
      <c r="N414" s="1172" t="s">
        <v>741</v>
      </c>
      <c r="O414" s="1172" t="s">
        <v>1875</v>
      </c>
    </row>
    <row r="415" spans="1:15" s="1156" customFormat="1" ht="75" x14ac:dyDescent="0.25">
      <c r="A415" s="1169">
        <v>2022409</v>
      </c>
      <c r="B415" s="1169">
        <v>7658</v>
      </c>
      <c r="C415" s="1169" t="s">
        <v>673</v>
      </c>
      <c r="D415" s="1187" t="s">
        <v>693</v>
      </c>
      <c r="E415" s="1231">
        <v>80111601</v>
      </c>
      <c r="F415" s="1172" t="s">
        <v>1049</v>
      </c>
      <c r="G415" s="1173" t="s">
        <v>1872</v>
      </c>
      <c r="H415" s="1173" t="s">
        <v>1872</v>
      </c>
      <c r="I415" s="1173">
        <v>6</v>
      </c>
      <c r="J415" s="1173" t="s">
        <v>1904</v>
      </c>
      <c r="K415" s="1173" t="s">
        <v>678</v>
      </c>
      <c r="L415" s="1175" t="s">
        <v>679</v>
      </c>
      <c r="M415" s="1261">
        <v>42000000</v>
      </c>
      <c r="N415" s="1172" t="s">
        <v>741</v>
      </c>
      <c r="O415" s="1172" t="s">
        <v>1875</v>
      </c>
    </row>
    <row r="416" spans="1:15" s="1156" customFormat="1" ht="75" x14ac:dyDescent="0.25">
      <c r="A416" s="1169">
        <v>2022410</v>
      </c>
      <c r="B416" s="1169">
        <v>7658</v>
      </c>
      <c r="C416" s="1169" t="s">
        <v>673</v>
      </c>
      <c r="D416" s="1187" t="s">
        <v>693</v>
      </c>
      <c r="E416" s="1231">
        <v>80111601</v>
      </c>
      <c r="F416" s="1172" t="s">
        <v>1049</v>
      </c>
      <c r="G416" s="1173" t="s">
        <v>1872</v>
      </c>
      <c r="H416" s="1173" t="s">
        <v>1872</v>
      </c>
      <c r="I416" s="1173">
        <v>4</v>
      </c>
      <c r="J416" s="1173" t="s">
        <v>1904</v>
      </c>
      <c r="K416" s="1173" t="s">
        <v>678</v>
      </c>
      <c r="L416" s="1175" t="s">
        <v>679</v>
      </c>
      <c r="M416" s="1261">
        <v>28000000</v>
      </c>
      <c r="N416" s="1172" t="s">
        <v>741</v>
      </c>
      <c r="O416" s="1172" t="s">
        <v>1875</v>
      </c>
    </row>
    <row r="417" spans="1:15" s="1156" customFormat="1" ht="75" x14ac:dyDescent="0.25">
      <c r="A417" s="1169">
        <v>2022411</v>
      </c>
      <c r="B417" s="1169">
        <v>7658</v>
      </c>
      <c r="C417" s="1169" t="s">
        <v>673</v>
      </c>
      <c r="D417" s="1187" t="s">
        <v>693</v>
      </c>
      <c r="E417" s="1231">
        <v>80111601</v>
      </c>
      <c r="F417" s="1172" t="s">
        <v>1051</v>
      </c>
      <c r="G417" s="1173" t="s">
        <v>1872</v>
      </c>
      <c r="H417" s="1173" t="s">
        <v>1872</v>
      </c>
      <c r="I417" s="1173">
        <v>10</v>
      </c>
      <c r="J417" s="1173" t="s">
        <v>1904</v>
      </c>
      <c r="K417" s="1173" t="s">
        <v>678</v>
      </c>
      <c r="L417" s="1175" t="s">
        <v>679</v>
      </c>
      <c r="M417" s="1261">
        <v>60000000</v>
      </c>
      <c r="N417" s="1172" t="s">
        <v>741</v>
      </c>
      <c r="O417" s="1172" t="s">
        <v>1875</v>
      </c>
    </row>
    <row r="418" spans="1:15" s="1156" customFormat="1" ht="75" x14ac:dyDescent="0.25">
      <c r="A418" s="1169">
        <v>2022412</v>
      </c>
      <c r="B418" s="1169">
        <v>7658</v>
      </c>
      <c r="C418" s="1169" t="s">
        <v>673</v>
      </c>
      <c r="D418" s="1187" t="s">
        <v>693</v>
      </c>
      <c r="E418" s="1231">
        <v>80111600</v>
      </c>
      <c r="F418" s="1172" t="s">
        <v>1052</v>
      </c>
      <c r="G418" s="1173" t="s">
        <v>1872</v>
      </c>
      <c r="H418" s="1173" t="s">
        <v>1872</v>
      </c>
      <c r="I418" s="1173">
        <v>10</v>
      </c>
      <c r="J418" s="1173" t="s">
        <v>1904</v>
      </c>
      <c r="K418" s="1173" t="s">
        <v>678</v>
      </c>
      <c r="L418" s="1175" t="s">
        <v>679</v>
      </c>
      <c r="M418" s="1261">
        <v>42000000</v>
      </c>
      <c r="N418" s="1172" t="s">
        <v>741</v>
      </c>
      <c r="O418" s="1172" t="s">
        <v>1875</v>
      </c>
    </row>
    <row r="419" spans="1:15" s="1156" customFormat="1" ht="75" x14ac:dyDescent="0.25">
      <c r="A419" s="1169">
        <v>2022413</v>
      </c>
      <c r="B419" s="1169">
        <v>7658</v>
      </c>
      <c r="C419" s="1169" t="s">
        <v>673</v>
      </c>
      <c r="D419" s="1187" t="s">
        <v>693</v>
      </c>
      <c r="E419" s="1231">
        <v>80111600</v>
      </c>
      <c r="F419" s="1172" t="s">
        <v>1053</v>
      </c>
      <c r="G419" s="1173" t="s">
        <v>1872</v>
      </c>
      <c r="H419" s="1173" t="s">
        <v>1872</v>
      </c>
      <c r="I419" s="1173">
        <v>10</v>
      </c>
      <c r="J419" s="1173" t="s">
        <v>1904</v>
      </c>
      <c r="K419" s="1173" t="s">
        <v>678</v>
      </c>
      <c r="L419" s="1175" t="s">
        <v>679</v>
      </c>
      <c r="M419" s="1261">
        <v>82400000</v>
      </c>
      <c r="N419" s="1172" t="s">
        <v>741</v>
      </c>
      <c r="O419" s="1172" t="s">
        <v>1875</v>
      </c>
    </row>
    <row r="420" spans="1:15" s="1156" customFormat="1" ht="75" x14ac:dyDescent="0.25">
      <c r="A420" s="1169">
        <v>2022414</v>
      </c>
      <c r="B420" s="1169">
        <v>7658</v>
      </c>
      <c r="C420" s="1169" t="s">
        <v>673</v>
      </c>
      <c r="D420" s="1187" t="s">
        <v>693</v>
      </c>
      <c r="E420" s="1231">
        <v>80111600</v>
      </c>
      <c r="F420" s="1172" t="s">
        <v>1054</v>
      </c>
      <c r="G420" s="1173" t="s">
        <v>1872</v>
      </c>
      <c r="H420" s="1173" t="s">
        <v>1872</v>
      </c>
      <c r="I420" s="1173">
        <v>10</v>
      </c>
      <c r="J420" s="1173" t="s">
        <v>1904</v>
      </c>
      <c r="K420" s="1173" t="s">
        <v>678</v>
      </c>
      <c r="L420" s="1175" t="s">
        <v>679</v>
      </c>
      <c r="M420" s="1261">
        <v>42000000</v>
      </c>
      <c r="N420" s="1172" t="s">
        <v>741</v>
      </c>
      <c r="O420" s="1172" t="s">
        <v>1875</v>
      </c>
    </row>
    <row r="421" spans="1:15" s="1156" customFormat="1" ht="75" x14ac:dyDescent="0.25">
      <c r="A421" s="1169">
        <v>2022415</v>
      </c>
      <c r="B421" s="1169">
        <v>7658</v>
      </c>
      <c r="C421" s="1169" t="s">
        <v>673</v>
      </c>
      <c r="D421" s="1187" t="s">
        <v>693</v>
      </c>
      <c r="E421" s="1231">
        <v>80111600</v>
      </c>
      <c r="F421" s="1172" t="s">
        <v>1055</v>
      </c>
      <c r="G421" s="1173" t="s">
        <v>1872</v>
      </c>
      <c r="H421" s="1173" t="s">
        <v>1872</v>
      </c>
      <c r="I421" s="1173">
        <v>10</v>
      </c>
      <c r="J421" s="1173" t="s">
        <v>1904</v>
      </c>
      <c r="K421" s="1173" t="s">
        <v>678</v>
      </c>
      <c r="L421" s="1175" t="s">
        <v>679</v>
      </c>
      <c r="M421" s="1261">
        <v>50000000</v>
      </c>
      <c r="N421" s="1172" t="s">
        <v>741</v>
      </c>
      <c r="O421" s="1172" t="s">
        <v>1875</v>
      </c>
    </row>
    <row r="422" spans="1:15" s="1156" customFormat="1" ht="75" x14ac:dyDescent="0.25">
      <c r="A422" s="1169">
        <v>2022416</v>
      </c>
      <c r="B422" s="1169">
        <v>7658</v>
      </c>
      <c r="C422" s="1169" t="s">
        <v>673</v>
      </c>
      <c r="D422" s="1187" t="s">
        <v>693</v>
      </c>
      <c r="E422" s="1231">
        <v>80111600</v>
      </c>
      <c r="F422" s="1172" t="s">
        <v>1056</v>
      </c>
      <c r="G422" s="1173" t="s">
        <v>1872</v>
      </c>
      <c r="H422" s="1173" t="s">
        <v>1872</v>
      </c>
      <c r="I422" s="1173">
        <v>6</v>
      </c>
      <c r="J422" s="1173" t="s">
        <v>1904</v>
      </c>
      <c r="K422" s="1173" t="s">
        <v>678</v>
      </c>
      <c r="L422" s="1175" t="s">
        <v>679</v>
      </c>
      <c r="M422" s="1261">
        <v>20100000</v>
      </c>
      <c r="N422" s="1172" t="s">
        <v>741</v>
      </c>
      <c r="O422" s="1172" t="s">
        <v>1875</v>
      </c>
    </row>
    <row r="423" spans="1:15" s="1156" customFormat="1" ht="75" x14ac:dyDescent="0.25">
      <c r="A423" s="1169">
        <v>2022417</v>
      </c>
      <c r="B423" s="1169">
        <v>7658</v>
      </c>
      <c r="C423" s="1169" t="s">
        <v>673</v>
      </c>
      <c r="D423" s="1187" t="s">
        <v>693</v>
      </c>
      <c r="E423" s="1231">
        <v>80111600</v>
      </c>
      <c r="F423" s="1172" t="s">
        <v>1057</v>
      </c>
      <c r="G423" s="1173" t="s">
        <v>1872</v>
      </c>
      <c r="H423" s="1173" t="s">
        <v>1872</v>
      </c>
      <c r="I423" s="1173">
        <v>4</v>
      </c>
      <c r="J423" s="1173" t="s">
        <v>1904</v>
      </c>
      <c r="K423" s="1173" t="s">
        <v>678</v>
      </c>
      <c r="L423" s="1175" t="s">
        <v>679</v>
      </c>
      <c r="M423" s="1261">
        <v>20600000</v>
      </c>
      <c r="N423" s="1172" t="s">
        <v>741</v>
      </c>
      <c r="O423" s="1172" t="s">
        <v>1875</v>
      </c>
    </row>
    <row r="424" spans="1:15" s="1156" customFormat="1" ht="75" x14ac:dyDescent="0.25">
      <c r="A424" s="1169">
        <v>2022418</v>
      </c>
      <c r="B424" s="1169">
        <v>7658</v>
      </c>
      <c r="C424" s="1169" t="s">
        <v>673</v>
      </c>
      <c r="D424" s="1187" t="s">
        <v>693</v>
      </c>
      <c r="E424" s="1231">
        <v>80111600</v>
      </c>
      <c r="F424" s="1172" t="s">
        <v>1057</v>
      </c>
      <c r="G424" s="1173" t="s">
        <v>1872</v>
      </c>
      <c r="H424" s="1173" t="s">
        <v>1872</v>
      </c>
      <c r="I424" s="1173">
        <v>6</v>
      </c>
      <c r="J424" s="1173" t="s">
        <v>1904</v>
      </c>
      <c r="K424" s="1173" t="s">
        <v>678</v>
      </c>
      <c r="L424" s="1175" t="s">
        <v>679</v>
      </c>
      <c r="M424" s="1261">
        <v>30900000</v>
      </c>
      <c r="N424" s="1172" t="s">
        <v>741</v>
      </c>
      <c r="O424" s="1172" t="s">
        <v>1875</v>
      </c>
    </row>
    <row r="425" spans="1:15" s="1156" customFormat="1" ht="75" x14ac:dyDescent="0.25">
      <c r="A425" s="1169">
        <v>2022419</v>
      </c>
      <c r="B425" s="1169">
        <v>7658</v>
      </c>
      <c r="C425" s="1169" t="s">
        <v>673</v>
      </c>
      <c r="D425" s="1187" t="s">
        <v>693</v>
      </c>
      <c r="E425" s="1231">
        <v>80111600</v>
      </c>
      <c r="F425" s="1172" t="s">
        <v>1059</v>
      </c>
      <c r="G425" s="1173" t="s">
        <v>1872</v>
      </c>
      <c r="H425" s="1173" t="s">
        <v>1872</v>
      </c>
      <c r="I425" s="1173">
        <v>10</v>
      </c>
      <c r="J425" s="1173" t="s">
        <v>1904</v>
      </c>
      <c r="K425" s="1173" t="s">
        <v>678</v>
      </c>
      <c r="L425" s="1175" t="s">
        <v>679</v>
      </c>
      <c r="M425" s="1261">
        <v>28000000</v>
      </c>
      <c r="N425" s="1172" t="s">
        <v>741</v>
      </c>
      <c r="O425" s="1172" t="s">
        <v>1875</v>
      </c>
    </row>
    <row r="426" spans="1:15" s="1156" customFormat="1" ht="75" x14ac:dyDescent="0.25">
      <c r="A426" s="1169">
        <v>2022420</v>
      </c>
      <c r="B426" s="1169">
        <v>7658</v>
      </c>
      <c r="C426" s="1169" t="s">
        <v>673</v>
      </c>
      <c r="D426" s="1187" t="s">
        <v>693</v>
      </c>
      <c r="E426" s="1231">
        <v>80111600</v>
      </c>
      <c r="F426" s="1172" t="s">
        <v>1060</v>
      </c>
      <c r="G426" s="1173" t="s">
        <v>1872</v>
      </c>
      <c r="H426" s="1173" t="s">
        <v>1872</v>
      </c>
      <c r="I426" s="1173">
        <v>10</v>
      </c>
      <c r="J426" s="1173" t="s">
        <v>1904</v>
      </c>
      <c r="K426" s="1173" t="s">
        <v>678</v>
      </c>
      <c r="L426" s="1175" t="s">
        <v>679</v>
      </c>
      <c r="M426" s="1261">
        <v>28500000</v>
      </c>
      <c r="N426" s="1172" t="s">
        <v>741</v>
      </c>
      <c r="O426" s="1172" t="s">
        <v>1875</v>
      </c>
    </row>
    <row r="427" spans="1:15" s="1156" customFormat="1" ht="75" x14ac:dyDescent="0.25">
      <c r="A427" s="1169">
        <v>2022421</v>
      </c>
      <c r="B427" s="1169">
        <v>7658</v>
      </c>
      <c r="C427" s="1169" t="s">
        <v>673</v>
      </c>
      <c r="D427" s="1187" t="s">
        <v>693</v>
      </c>
      <c r="E427" s="1231">
        <v>80111600</v>
      </c>
      <c r="F427" s="1172" t="s">
        <v>1061</v>
      </c>
      <c r="G427" s="1173" t="s">
        <v>1872</v>
      </c>
      <c r="H427" s="1173" t="s">
        <v>1872</v>
      </c>
      <c r="I427" s="1173">
        <v>10</v>
      </c>
      <c r="J427" s="1173" t="s">
        <v>1904</v>
      </c>
      <c r="K427" s="1173" t="s">
        <v>678</v>
      </c>
      <c r="L427" s="1175" t="s">
        <v>679</v>
      </c>
      <c r="M427" s="1261">
        <v>45000000</v>
      </c>
      <c r="N427" s="1172" t="s">
        <v>741</v>
      </c>
      <c r="O427" s="1172" t="s">
        <v>1875</v>
      </c>
    </row>
    <row r="428" spans="1:15" s="1156" customFormat="1" ht="75" x14ac:dyDescent="0.25">
      <c r="A428" s="1169">
        <v>2022422</v>
      </c>
      <c r="B428" s="1169">
        <v>7658</v>
      </c>
      <c r="C428" s="1169" t="s">
        <v>673</v>
      </c>
      <c r="D428" s="1187" t="s">
        <v>693</v>
      </c>
      <c r="E428" s="1231">
        <v>80111600</v>
      </c>
      <c r="F428" s="1172" t="s">
        <v>1062</v>
      </c>
      <c r="G428" s="1173" t="s">
        <v>1872</v>
      </c>
      <c r="H428" s="1173" t="s">
        <v>1872</v>
      </c>
      <c r="I428" s="1173">
        <v>10</v>
      </c>
      <c r="J428" s="1173" t="s">
        <v>1904</v>
      </c>
      <c r="K428" s="1173" t="s">
        <v>678</v>
      </c>
      <c r="L428" s="1175" t="s">
        <v>679</v>
      </c>
      <c r="M428" s="1261">
        <v>33000000</v>
      </c>
      <c r="N428" s="1172" t="s">
        <v>741</v>
      </c>
      <c r="O428" s="1172" t="s">
        <v>1875</v>
      </c>
    </row>
    <row r="429" spans="1:15" s="1156" customFormat="1" ht="75" x14ac:dyDescent="0.25">
      <c r="A429" s="1169">
        <v>2022423</v>
      </c>
      <c r="B429" s="1169">
        <v>7658</v>
      </c>
      <c r="C429" s="1169" t="s">
        <v>673</v>
      </c>
      <c r="D429" s="1187" t="s">
        <v>693</v>
      </c>
      <c r="E429" s="1231">
        <v>80111600</v>
      </c>
      <c r="F429" s="1172" t="s">
        <v>1062</v>
      </c>
      <c r="G429" s="1173" t="s">
        <v>1872</v>
      </c>
      <c r="H429" s="1173" t="s">
        <v>1872</v>
      </c>
      <c r="I429" s="1173">
        <v>10</v>
      </c>
      <c r="J429" s="1173" t="s">
        <v>1904</v>
      </c>
      <c r="K429" s="1173" t="s">
        <v>678</v>
      </c>
      <c r="L429" s="1175" t="s">
        <v>679</v>
      </c>
      <c r="M429" s="1261">
        <v>24500000</v>
      </c>
      <c r="N429" s="1172" t="s">
        <v>741</v>
      </c>
      <c r="O429" s="1172" t="s">
        <v>1875</v>
      </c>
    </row>
    <row r="430" spans="1:15" s="1156" customFormat="1" ht="75" x14ac:dyDescent="0.25">
      <c r="A430" s="1169">
        <v>2022424</v>
      </c>
      <c r="B430" s="1169">
        <v>7658</v>
      </c>
      <c r="C430" s="1169" t="s">
        <v>673</v>
      </c>
      <c r="D430" s="1187" t="s">
        <v>693</v>
      </c>
      <c r="E430" s="1231">
        <v>80111600</v>
      </c>
      <c r="F430" s="1172" t="s">
        <v>1062</v>
      </c>
      <c r="G430" s="1173" t="s">
        <v>1872</v>
      </c>
      <c r="H430" s="1173" t="s">
        <v>1872</v>
      </c>
      <c r="I430" s="1173">
        <v>10</v>
      </c>
      <c r="J430" s="1173" t="s">
        <v>1904</v>
      </c>
      <c r="K430" s="1173" t="s">
        <v>678</v>
      </c>
      <c r="L430" s="1175" t="s">
        <v>679</v>
      </c>
      <c r="M430" s="1261">
        <v>33000000</v>
      </c>
      <c r="N430" s="1172" t="s">
        <v>741</v>
      </c>
      <c r="O430" s="1172" t="s">
        <v>1875</v>
      </c>
    </row>
    <row r="431" spans="1:15" s="1156" customFormat="1" ht="75" x14ac:dyDescent="0.25">
      <c r="A431" s="1169">
        <v>2022425</v>
      </c>
      <c r="B431" s="1169">
        <v>7658</v>
      </c>
      <c r="C431" s="1169" t="s">
        <v>673</v>
      </c>
      <c r="D431" s="1187" t="s">
        <v>693</v>
      </c>
      <c r="E431" s="1231">
        <v>80111600</v>
      </c>
      <c r="F431" s="1172" t="s">
        <v>1062</v>
      </c>
      <c r="G431" s="1173" t="s">
        <v>1872</v>
      </c>
      <c r="H431" s="1173" t="s">
        <v>1872</v>
      </c>
      <c r="I431" s="1173">
        <v>10</v>
      </c>
      <c r="J431" s="1173" t="s">
        <v>1904</v>
      </c>
      <c r="K431" s="1173" t="s">
        <v>678</v>
      </c>
      <c r="L431" s="1175" t="s">
        <v>679</v>
      </c>
      <c r="M431" s="1261">
        <v>27500000</v>
      </c>
      <c r="N431" s="1172" t="s">
        <v>741</v>
      </c>
      <c r="O431" s="1172" t="s">
        <v>1875</v>
      </c>
    </row>
    <row r="432" spans="1:15" s="1156" customFormat="1" ht="75" x14ac:dyDescent="0.25">
      <c r="A432" s="1169">
        <v>2022426</v>
      </c>
      <c r="B432" s="1169">
        <v>7658</v>
      </c>
      <c r="C432" s="1169" t="s">
        <v>673</v>
      </c>
      <c r="D432" s="1187" t="s">
        <v>693</v>
      </c>
      <c r="E432" s="1231">
        <v>80111600</v>
      </c>
      <c r="F432" s="1172" t="s">
        <v>1062</v>
      </c>
      <c r="G432" s="1173" t="s">
        <v>1872</v>
      </c>
      <c r="H432" s="1173" t="s">
        <v>1872</v>
      </c>
      <c r="I432" s="1173">
        <v>10</v>
      </c>
      <c r="J432" s="1173" t="s">
        <v>1904</v>
      </c>
      <c r="K432" s="1173" t="s">
        <v>678</v>
      </c>
      <c r="L432" s="1175" t="s">
        <v>679</v>
      </c>
      <c r="M432" s="1261">
        <v>33000000</v>
      </c>
      <c r="N432" s="1172" t="s">
        <v>741</v>
      </c>
      <c r="O432" s="1172" t="s">
        <v>1875</v>
      </c>
    </row>
    <row r="433" spans="1:15" s="1156" customFormat="1" ht="75" x14ac:dyDescent="0.25">
      <c r="A433" s="1169">
        <v>2022427</v>
      </c>
      <c r="B433" s="1169">
        <v>7658</v>
      </c>
      <c r="C433" s="1169" t="s">
        <v>673</v>
      </c>
      <c r="D433" s="1187" t="s">
        <v>693</v>
      </c>
      <c r="E433" s="1231">
        <v>80111600</v>
      </c>
      <c r="F433" s="1172" t="s">
        <v>1062</v>
      </c>
      <c r="G433" s="1173" t="s">
        <v>1872</v>
      </c>
      <c r="H433" s="1173" t="s">
        <v>1872</v>
      </c>
      <c r="I433" s="1173">
        <v>10</v>
      </c>
      <c r="J433" s="1173" t="s">
        <v>1904</v>
      </c>
      <c r="K433" s="1173" t="s">
        <v>678</v>
      </c>
      <c r="L433" s="1175" t="s">
        <v>679</v>
      </c>
      <c r="M433" s="1261">
        <v>33000000</v>
      </c>
      <c r="N433" s="1172" t="s">
        <v>741</v>
      </c>
      <c r="O433" s="1172" t="s">
        <v>1875</v>
      </c>
    </row>
    <row r="434" spans="1:15" s="1156" customFormat="1" ht="75" x14ac:dyDescent="0.25">
      <c r="A434" s="1169">
        <v>2022428</v>
      </c>
      <c r="B434" s="1169">
        <v>7658</v>
      </c>
      <c r="C434" s="1169" t="s">
        <v>673</v>
      </c>
      <c r="D434" s="1187" t="s">
        <v>693</v>
      </c>
      <c r="E434" s="1231">
        <v>80111600</v>
      </c>
      <c r="F434" s="1172" t="s">
        <v>1059</v>
      </c>
      <c r="G434" s="1173" t="s">
        <v>1872</v>
      </c>
      <c r="H434" s="1173" t="s">
        <v>1872</v>
      </c>
      <c r="I434" s="1173">
        <v>10</v>
      </c>
      <c r="J434" s="1173" t="s">
        <v>1904</v>
      </c>
      <c r="K434" s="1173" t="s">
        <v>678</v>
      </c>
      <c r="L434" s="1175" t="s">
        <v>679</v>
      </c>
      <c r="M434" s="1261">
        <v>28000000</v>
      </c>
      <c r="N434" s="1172" t="s">
        <v>741</v>
      </c>
      <c r="O434" s="1172" t="s">
        <v>1875</v>
      </c>
    </row>
    <row r="435" spans="1:15" s="1156" customFormat="1" ht="75" x14ac:dyDescent="0.25">
      <c r="A435" s="1169">
        <v>2022429</v>
      </c>
      <c r="B435" s="1169">
        <v>7658</v>
      </c>
      <c r="C435" s="1169" t="s">
        <v>673</v>
      </c>
      <c r="D435" s="1187" t="s">
        <v>693</v>
      </c>
      <c r="E435" s="1231">
        <v>80111600</v>
      </c>
      <c r="F435" s="1172" t="s">
        <v>1059</v>
      </c>
      <c r="G435" s="1173" t="s">
        <v>1872</v>
      </c>
      <c r="H435" s="1173" t="s">
        <v>1872</v>
      </c>
      <c r="I435" s="1173">
        <v>10</v>
      </c>
      <c r="J435" s="1173" t="s">
        <v>1904</v>
      </c>
      <c r="K435" s="1173" t="s">
        <v>678</v>
      </c>
      <c r="L435" s="1175" t="s">
        <v>679</v>
      </c>
      <c r="M435" s="1261">
        <v>28000000</v>
      </c>
      <c r="N435" s="1172" t="s">
        <v>741</v>
      </c>
      <c r="O435" s="1172" t="s">
        <v>1875</v>
      </c>
    </row>
    <row r="436" spans="1:15" s="1156" customFormat="1" ht="75" x14ac:dyDescent="0.25">
      <c r="A436" s="1169">
        <v>2022430</v>
      </c>
      <c r="B436" s="1169">
        <v>7658</v>
      </c>
      <c r="C436" s="1169" t="s">
        <v>673</v>
      </c>
      <c r="D436" s="1187" t="s">
        <v>693</v>
      </c>
      <c r="E436" s="1231">
        <v>80111600</v>
      </c>
      <c r="F436" s="1172" t="s">
        <v>1063</v>
      </c>
      <c r="G436" s="1173" t="s">
        <v>1872</v>
      </c>
      <c r="H436" s="1173" t="s">
        <v>1872</v>
      </c>
      <c r="I436" s="1173">
        <v>10</v>
      </c>
      <c r="J436" s="1173" t="s">
        <v>1904</v>
      </c>
      <c r="K436" s="1173" t="s">
        <v>678</v>
      </c>
      <c r="L436" s="1175" t="s">
        <v>679</v>
      </c>
      <c r="M436" s="1261">
        <v>45000000</v>
      </c>
      <c r="N436" s="1172" t="s">
        <v>741</v>
      </c>
      <c r="O436" s="1172" t="s">
        <v>1875</v>
      </c>
    </row>
    <row r="437" spans="1:15" s="1156" customFormat="1" ht="75" x14ac:dyDescent="0.25">
      <c r="A437" s="1169">
        <v>2022431</v>
      </c>
      <c r="B437" s="1169">
        <v>7658</v>
      </c>
      <c r="C437" s="1169" t="s">
        <v>673</v>
      </c>
      <c r="D437" s="1187" t="s">
        <v>693</v>
      </c>
      <c r="E437" s="1231">
        <v>80111600</v>
      </c>
      <c r="F437" s="1172" t="s">
        <v>1064</v>
      </c>
      <c r="G437" s="1173" t="s">
        <v>1872</v>
      </c>
      <c r="H437" s="1173" t="s">
        <v>1872</v>
      </c>
      <c r="I437" s="1173">
        <v>10</v>
      </c>
      <c r="J437" s="1173" t="s">
        <v>1904</v>
      </c>
      <c r="K437" s="1173" t="s">
        <v>678</v>
      </c>
      <c r="L437" s="1175" t="s">
        <v>679</v>
      </c>
      <c r="M437" s="1261">
        <v>24500000</v>
      </c>
      <c r="N437" s="1172" t="s">
        <v>741</v>
      </c>
      <c r="O437" s="1172" t="s">
        <v>1875</v>
      </c>
    </row>
    <row r="438" spans="1:15" s="1156" customFormat="1" ht="75" x14ac:dyDescent="0.25">
      <c r="A438" s="1169">
        <v>2022432</v>
      </c>
      <c r="B438" s="1169">
        <v>7658</v>
      </c>
      <c r="C438" s="1169" t="s">
        <v>673</v>
      </c>
      <c r="D438" s="1187" t="s">
        <v>693</v>
      </c>
      <c r="E438" s="1231">
        <v>80111600</v>
      </c>
      <c r="F438" s="1172" t="s">
        <v>1064</v>
      </c>
      <c r="G438" s="1173" t="s">
        <v>1872</v>
      </c>
      <c r="H438" s="1173" t="s">
        <v>1872</v>
      </c>
      <c r="I438" s="1173">
        <v>10</v>
      </c>
      <c r="J438" s="1173" t="s">
        <v>1904</v>
      </c>
      <c r="K438" s="1173" t="s">
        <v>678</v>
      </c>
      <c r="L438" s="1175" t="s">
        <v>679</v>
      </c>
      <c r="M438" s="1261">
        <v>33000000</v>
      </c>
      <c r="N438" s="1172" t="s">
        <v>741</v>
      </c>
      <c r="O438" s="1172" t="s">
        <v>1875</v>
      </c>
    </row>
    <row r="439" spans="1:15" s="1156" customFormat="1" ht="75" x14ac:dyDescent="0.25">
      <c r="A439" s="1169">
        <v>2022433</v>
      </c>
      <c r="B439" s="1169">
        <v>7658</v>
      </c>
      <c r="C439" s="1169" t="s">
        <v>673</v>
      </c>
      <c r="D439" s="1187" t="s">
        <v>693</v>
      </c>
      <c r="E439" s="1231">
        <v>80111600</v>
      </c>
      <c r="F439" s="1172" t="s">
        <v>1064</v>
      </c>
      <c r="G439" s="1173" t="s">
        <v>1872</v>
      </c>
      <c r="H439" s="1173" t="s">
        <v>1872</v>
      </c>
      <c r="I439" s="1173">
        <v>10</v>
      </c>
      <c r="J439" s="1173" t="s">
        <v>1904</v>
      </c>
      <c r="K439" s="1173" t="s">
        <v>678</v>
      </c>
      <c r="L439" s="1175" t="s">
        <v>679</v>
      </c>
      <c r="M439" s="1261">
        <v>32000000</v>
      </c>
      <c r="N439" s="1172" t="s">
        <v>741</v>
      </c>
      <c r="O439" s="1172" t="s">
        <v>1875</v>
      </c>
    </row>
    <row r="440" spans="1:15" s="1156" customFormat="1" ht="75" x14ac:dyDescent="0.25">
      <c r="A440" s="1169">
        <v>2022434</v>
      </c>
      <c r="B440" s="1169">
        <v>7658</v>
      </c>
      <c r="C440" s="1169" t="s">
        <v>673</v>
      </c>
      <c r="D440" s="1187" t="s">
        <v>693</v>
      </c>
      <c r="E440" s="1231">
        <v>80111600</v>
      </c>
      <c r="F440" s="1172" t="s">
        <v>1064</v>
      </c>
      <c r="G440" s="1173" t="s">
        <v>1872</v>
      </c>
      <c r="H440" s="1173" t="s">
        <v>1872</v>
      </c>
      <c r="I440" s="1173">
        <v>10</v>
      </c>
      <c r="J440" s="1173" t="s">
        <v>1904</v>
      </c>
      <c r="K440" s="1173" t="s">
        <v>678</v>
      </c>
      <c r="L440" s="1175" t="s">
        <v>679</v>
      </c>
      <c r="M440" s="1261">
        <v>24500000</v>
      </c>
      <c r="N440" s="1172" t="s">
        <v>741</v>
      </c>
      <c r="O440" s="1172" t="s">
        <v>1875</v>
      </c>
    </row>
    <row r="441" spans="1:15" s="1156" customFormat="1" ht="75" x14ac:dyDescent="0.25">
      <c r="A441" s="1169">
        <v>2022435</v>
      </c>
      <c r="B441" s="1169">
        <v>7658</v>
      </c>
      <c r="C441" s="1169" t="s">
        <v>673</v>
      </c>
      <c r="D441" s="1187" t="s">
        <v>693</v>
      </c>
      <c r="E441" s="1231">
        <v>80111600</v>
      </c>
      <c r="F441" s="1172" t="s">
        <v>1064</v>
      </c>
      <c r="G441" s="1173" t="s">
        <v>1872</v>
      </c>
      <c r="H441" s="1173" t="s">
        <v>1872</v>
      </c>
      <c r="I441" s="1173">
        <v>10</v>
      </c>
      <c r="J441" s="1173" t="s">
        <v>1904</v>
      </c>
      <c r="K441" s="1173" t="s">
        <v>678</v>
      </c>
      <c r="L441" s="1175" t="s">
        <v>679</v>
      </c>
      <c r="M441" s="1261">
        <v>28500000</v>
      </c>
      <c r="N441" s="1172" t="s">
        <v>741</v>
      </c>
      <c r="O441" s="1172" t="s">
        <v>1875</v>
      </c>
    </row>
    <row r="442" spans="1:15" s="1156" customFormat="1" ht="75" x14ac:dyDescent="0.25">
      <c r="A442" s="1169">
        <v>2022436</v>
      </c>
      <c r="B442" s="1169">
        <v>7658</v>
      </c>
      <c r="C442" s="1169" t="s">
        <v>673</v>
      </c>
      <c r="D442" s="1187" t="s">
        <v>693</v>
      </c>
      <c r="E442" s="1231">
        <v>80111600</v>
      </c>
      <c r="F442" s="1172" t="s">
        <v>1064</v>
      </c>
      <c r="G442" s="1173" t="s">
        <v>1872</v>
      </c>
      <c r="H442" s="1173" t="s">
        <v>1872</v>
      </c>
      <c r="I442" s="1173">
        <v>10</v>
      </c>
      <c r="J442" s="1173" t="s">
        <v>1904</v>
      </c>
      <c r="K442" s="1173" t="s">
        <v>678</v>
      </c>
      <c r="L442" s="1175" t="s">
        <v>679</v>
      </c>
      <c r="M442" s="1261">
        <v>28500000</v>
      </c>
      <c r="N442" s="1172" t="s">
        <v>741</v>
      </c>
      <c r="O442" s="1172" t="s">
        <v>1875</v>
      </c>
    </row>
    <row r="443" spans="1:15" s="1156" customFormat="1" ht="75" x14ac:dyDescent="0.25">
      <c r="A443" s="1169">
        <v>2022437</v>
      </c>
      <c r="B443" s="1169">
        <v>7658</v>
      </c>
      <c r="C443" s="1169" t="s">
        <v>673</v>
      </c>
      <c r="D443" s="1187" t="s">
        <v>693</v>
      </c>
      <c r="E443" s="1231">
        <v>80111600</v>
      </c>
      <c r="F443" s="1172" t="s">
        <v>1064</v>
      </c>
      <c r="G443" s="1173" t="s">
        <v>1872</v>
      </c>
      <c r="H443" s="1173" t="s">
        <v>1872</v>
      </c>
      <c r="I443" s="1173">
        <v>10</v>
      </c>
      <c r="J443" s="1173" t="s">
        <v>1904</v>
      </c>
      <c r="K443" s="1173" t="s">
        <v>678</v>
      </c>
      <c r="L443" s="1175" t="s">
        <v>679</v>
      </c>
      <c r="M443" s="1261">
        <v>24500000</v>
      </c>
      <c r="N443" s="1172" t="s">
        <v>741</v>
      </c>
      <c r="O443" s="1172" t="s">
        <v>1875</v>
      </c>
    </row>
    <row r="444" spans="1:15" s="1156" customFormat="1" ht="75" x14ac:dyDescent="0.25">
      <c r="A444" s="1169">
        <v>2022438</v>
      </c>
      <c r="B444" s="1169">
        <v>7658</v>
      </c>
      <c r="C444" s="1169" t="s">
        <v>673</v>
      </c>
      <c r="D444" s="1187" t="s">
        <v>693</v>
      </c>
      <c r="E444" s="1231">
        <v>80111600</v>
      </c>
      <c r="F444" s="1172" t="s">
        <v>1064</v>
      </c>
      <c r="G444" s="1173" t="s">
        <v>1872</v>
      </c>
      <c r="H444" s="1173" t="s">
        <v>1872</v>
      </c>
      <c r="I444" s="1173">
        <v>10</v>
      </c>
      <c r="J444" s="1173" t="s">
        <v>1904</v>
      </c>
      <c r="K444" s="1173" t="s">
        <v>678</v>
      </c>
      <c r="L444" s="1175" t="s">
        <v>679</v>
      </c>
      <c r="M444" s="1261">
        <v>24500000</v>
      </c>
      <c r="N444" s="1172" t="s">
        <v>741</v>
      </c>
      <c r="O444" s="1172" t="s">
        <v>1875</v>
      </c>
    </row>
    <row r="445" spans="1:15" s="1156" customFormat="1" ht="75" x14ac:dyDescent="0.25">
      <c r="A445" s="1169">
        <v>2022439</v>
      </c>
      <c r="B445" s="1169">
        <v>7658</v>
      </c>
      <c r="C445" s="1169" t="s">
        <v>673</v>
      </c>
      <c r="D445" s="1187" t="s">
        <v>693</v>
      </c>
      <c r="E445" s="1231">
        <v>80111600</v>
      </c>
      <c r="F445" s="1172" t="s">
        <v>1064</v>
      </c>
      <c r="G445" s="1173" t="s">
        <v>1872</v>
      </c>
      <c r="H445" s="1173" t="s">
        <v>1872</v>
      </c>
      <c r="I445" s="1173">
        <v>10</v>
      </c>
      <c r="J445" s="1173" t="s">
        <v>1904</v>
      </c>
      <c r="K445" s="1173" t="s">
        <v>678</v>
      </c>
      <c r="L445" s="1175" t="s">
        <v>679</v>
      </c>
      <c r="M445" s="1261">
        <v>18000000</v>
      </c>
      <c r="N445" s="1172" t="s">
        <v>741</v>
      </c>
      <c r="O445" s="1172" t="s">
        <v>1875</v>
      </c>
    </row>
    <row r="446" spans="1:15" s="1156" customFormat="1" ht="75" x14ac:dyDescent="0.25">
      <c r="A446" s="1169">
        <v>2022440</v>
      </c>
      <c r="B446" s="1169">
        <v>7658</v>
      </c>
      <c r="C446" s="1169" t="s">
        <v>673</v>
      </c>
      <c r="D446" s="1187" t="s">
        <v>693</v>
      </c>
      <c r="E446" s="1231">
        <v>80111600</v>
      </c>
      <c r="F446" s="1172" t="s">
        <v>1064</v>
      </c>
      <c r="G446" s="1173" t="s">
        <v>1872</v>
      </c>
      <c r="H446" s="1173" t="s">
        <v>1872</v>
      </c>
      <c r="I446" s="1173">
        <v>10</v>
      </c>
      <c r="J446" s="1173" t="s">
        <v>1904</v>
      </c>
      <c r="K446" s="1173" t="s">
        <v>678</v>
      </c>
      <c r="L446" s="1175" t="s">
        <v>679</v>
      </c>
      <c r="M446" s="1261">
        <v>24500000</v>
      </c>
      <c r="N446" s="1172" t="s">
        <v>741</v>
      </c>
      <c r="O446" s="1172" t="s">
        <v>1875</v>
      </c>
    </row>
    <row r="447" spans="1:15" s="1156" customFormat="1" ht="75" x14ac:dyDescent="0.25">
      <c r="A447" s="1169">
        <v>2022441</v>
      </c>
      <c r="B447" s="1169">
        <v>7658</v>
      </c>
      <c r="C447" s="1169" t="s">
        <v>673</v>
      </c>
      <c r="D447" s="1187" t="s">
        <v>693</v>
      </c>
      <c r="E447" s="1231">
        <v>80111600</v>
      </c>
      <c r="F447" s="1172" t="s">
        <v>1064</v>
      </c>
      <c r="G447" s="1173" t="s">
        <v>1872</v>
      </c>
      <c r="H447" s="1173" t="s">
        <v>1872</v>
      </c>
      <c r="I447" s="1173">
        <v>10</v>
      </c>
      <c r="J447" s="1173" t="s">
        <v>1904</v>
      </c>
      <c r="K447" s="1173" t="s">
        <v>678</v>
      </c>
      <c r="L447" s="1175" t="s">
        <v>679</v>
      </c>
      <c r="M447" s="1261">
        <v>28500000</v>
      </c>
      <c r="N447" s="1172" t="s">
        <v>741</v>
      </c>
      <c r="O447" s="1172" t="s">
        <v>1875</v>
      </c>
    </row>
    <row r="448" spans="1:15" s="1156" customFormat="1" ht="75" x14ac:dyDescent="0.25">
      <c r="A448" s="1169">
        <v>2022442</v>
      </c>
      <c r="B448" s="1169">
        <v>7658</v>
      </c>
      <c r="C448" s="1169" t="s">
        <v>673</v>
      </c>
      <c r="D448" s="1187" t="s">
        <v>693</v>
      </c>
      <c r="E448" s="1231">
        <v>80111600</v>
      </c>
      <c r="F448" s="1172" t="s">
        <v>1065</v>
      </c>
      <c r="G448" s="1173" t="s">
        <v>1872</v>
      </c>
      <c r="H448" s="1173" t="s">
        <v>1872</v>
      </c>
      <c r="I448" s="1173">
        <v>10</v>
      </c>
      <c r="J448" s="1173" t="s">
        <v>1904</v>
      </c>
      <c r="K448" s="1173" t="s">
        <v>678</v>
      </c>
      <c r="L448" s="1175" t="s">
        <v>679</v>
      </c>
      <c r="M448" s="1261">
        <v>56650000</v>
      </c>
      <c r="N448" s="1172" t="s">
        <v>741</v>
      </c>
      <c r="O448" s="1172" t="s">
        <v>1875</v>
      </c>
    </row>
    <row r="449" spans="1:15" s="1156" customFormat="1" ht="75" x14ac:dyDescent="0.25">
      <c r="A449" s="1169">
        <v>2022443</v>
      </c>
      <c r="B449" s="1169">
        <v>7658</v>
      </c>
      <c r="C449" s="1169" t="s">
        <v>673</v>
      </c>
      <c r="D449" s="1187" t="s">
        <v>693</v>
      </c>
      <c r="E449" s="1231">
        <v>80111600</v>
      </c>
      <c r="F449" s="1172" t="s">
        <v>1066</v>
      </c>
      <c r="G449" s="1173" t="s">
        <v>1872</v>
      </c>
      <c r="H449" s="1173" t="s">
        <v>1872</v>
      </c>
      <c r="I449" s="1173">
        <v>10</v>
      </c>
      <c r="J449" s="1173" t="s">
        <v>1904</v>
      </c>
      <c r="K449" s="1173" t="s">
        <v>678</v>
      </c>
      <c r="L449" s="1175" t="s">
        <v>679</v>
      </c>
      <c r="M449" s="1261">
        <v>46350000</v>
      </c>
      <c r="N449" s="1172" t="s">
        <v>741</v>
      </c>
      <c r="O449" s="1172" t="s">
        <v>1875</v>
      </c>
    </row>
    <row r="450" spans="1:15" s="1156" customFormat="1" ht="75" x14ac:dyDescent="0.25">
      <c r="A450" s="1169">
        <v>2022444</v>
      </c>
      <c r="B450" s="1169">
        <v>7658</v>
      </c>
      <c r="C450" s="1169" t="s">
        <v>673</v>
      </c>
      <c r="D450" s="1187" t="s">
        <v>693</v>
      </c>
      <c r="E450" s="1231">
        <v>80111600</v>
      </c>
      <c r="F450" s="1172" t="s">
        <v>1066</v>
      </c>
      <c r="G450" s="1173" t="s">
        <v>1872</v>
      </c>
      <c r="H450" s="1173" t="s">
        <v>1872</v>
      </c>
      <c r="I450" s="1173">
        <v>10</v>
      </c>
      <c r="J450" s="1173" t="s">
        <v>1904</v>
      </c>
      <c r="K450" s="1173" t="s">
        <v>678</v>
      </c>
      <c r="L450" s="1175" t="s">
        <v>679</v>
      </c>
      <c r="M450" s="1261">
        <v>45000000</v>
      </c>
      <c r="N450" s="1172" t="s">
        <v>741</v>
      </c>
      <c r="O450" s="1172" t="s">
        <v>1875</v>
      </c>
    </row>
    <row r="451" spans="1:15" s="1156" customFormat="1" ht="75" x14ac:dyDescent="0.25">
      <c r="A451" s="1169">
        <v>2022445</v>
      </c>
      <c r="B451" s="1169">
        <v>7658</v>
      </c>
      <c r="C451" s="1169" t="s">
        <v>673</v>
      </c>
      <c r="D451" s="1187" t="s">
        <v>693</v>
      </c>
      <c r="E451" s="1231">
        <v>80111600</v>
      </c>
      <c r="F451" s="1172" t="s">
        <v>1067</v>
      </c>
      <c r="G451" s="1173" t="s">
        <v>1872</v>
      </c>
      <c r="H451" s="1173" t="s">
        <v>1872</v>
      </c>
      <c r="I451" s="1173">
        <v>6</v>
      </c>
      <c r="J451" s="1173" t="s">
        <v>1904</v>
      </c>
      <c r="K451" s="1173" t="s">
        <v>678</v>
      </c>
      <c r="L451" s="1175" t="s">
        <v>679</v>
      </c>
      <c r="M451" s="1261">
        <v>27810000</v>
      </c>
      <c r="N451" s="1172" t="s">
        <v>741</v>
      </c>
      <c r="O451" s="1172" t="s">
        <v>1875</v>
      </c>
    </row>
    <row r="452" spans="1:15" s="1156" customFormat="1" ht="75" x14ac:dyDescent="0.25">
      <c r="A452" s="1169">
        <v>2022446</v>
      </c>
      <c r="B452" s="1169">
        <v>7658</v>
      </c>
      <c r="C452" s="1169" t="s">
        <v>673</v>
      </c>
      <c r="D452" s="1187" t="s">
        <v>693</v>
      </c>
      <c r="E452" s="1231">
        <v>80111600</v>
      </c>
      <c r="F452" s="1172" t="s">
        <v>1067</v>
      </c>
      <c r="G452" s="1173" t="s">
        <v>1872</v>
      </c>
      <c r="H452" s="1173" t="s">
        <v>1872</v>
      </c>
      <c r="I452" s="1173">
        <v>4</v>
      </c>
      <c r="J452" s="1173" t="s">
        <v>1904</v>
      </c>
      <c r="K452" s="1173" t="s">
        <v>678</v>
      </c>
      <c r="L452" s="1175" t="s">
        <v>679</v>
      </c>
      <c r="M452" s="1261">
        <v>18540000</v>
      </c>
      <c r="N452" s="1172" t="s">
        <v>741</v>
      </c>
      <c r="O452" s="1172" t="s">
        <v>1875</v>
      </c>
    </row>
    <row r="453" spans="1:15" s="1156" customFormat="1" ht="75" x14ac:dyDescent="0.25">
      <c r="A453" s="1169">
        <v>2022447</v>
      </c>
      <c r="B453" s="1169">
        <v>7658</v>
      </c>
      <c r="C453" s="1169" t="s">
        <v>673</v>
      </c>
      <c r="D453" s="1187" t="s">
        <v>693</v>
      </c>
      <c r="E453" s="1231">
        <v>80111600</v>
      </c>
      <c r="F453" s="1172" t="s">
        <v>1068</v>
      </c>
      <c r="G453" s="1173" t="s">
        <v>1872</v>
      </c>
      <c r="H453" s="1173" t="s">
        <v>1872</v>
      </c>
      <c r="I453" s="1173">
        <v>10</v>
      </c>
      <c r="J453" s="1173" t="s">
        <v>1904</v>
      </c>
      <c r="K453" s="1173" t="s">
        <v>678</v>
      </c>
      <c r="L453" s="1175" t="s">
        <v>679</v>
      </c>
      <c r="M453" s="1261">
        <v>57000000</v>
      </c>
      <c r="N453" s="1172" t="s">
        <v>741</v>
      </c>
      <c r="O453" s="1172" t="s">
        <v>1875</v>
      </c>
    </row>
    <row r="454" spans="1:15" s="1156" customFormat="1" ht="75" x14ac:dyDescent="0.25">
      <c r="A454" s="1169">
        <v>2022448</v>
      </c>
      <c r="B454" s="1169">
        <v>7658</v>
      </c>
      <c r="C454" s="1169" t="s">
        <v>673</v>
      </c>
      <c r="D454" s="1187" t="s">
        <v>693</v>
      </c>
      <c r="E454" s="1231">
        <v>80111600</v>
      </c>
      <c r="F454" s="1172" t="s">
        <v>1068</v>
      </c>
      <c r="G454" s="1173" t="s">
        <v>1872</v>
      </c>
      <c r="H454" s="1173" t="s">
        <v>1872</v>
      </c>
      <c r="I454" s="1173">
        <v>10</v>
      </c>
      <c r="J454" s="1173" t="s">
        <v>1904</v>
      </c>
      <c r="K454" s="1173" t="s">
        <v>678</v>
      </c>
      <c r="L454" s="1175" t="s">
        <v>679</v>
      </c>
      <c r="M454" s="1261">
        <v>48500000</v>
      </c>
      <c r="N454" s="1172" t="s">
        <v>741</v>
      </c>
      <c r="O454" s="1172" t="s">
        <v>1875</v>
      </c>
    </row>
    <row r="455" spans="1:15" s="1156" customFormat="1" ht="75" x14ac:dyDescent="0.25">
      <c r="A455" s="1169">
        <v>2022449</v>
      </c>
      <c r="B455" s="1169">
        <v>7658</v>
      </c>
      <c r="C455" s="1169" t="s">
        <v>673</v>
      </c>
      <c r="D455" s="1187" t="s">
        <v>693</v>
      </c>
      <c r="E455" s="1231">
        <v>80111600</v>
      </c>
      <c r="F455" s="1172" t="s">
        <v>1068</v>
      </c>
      <c r="G455" s="1173" t="s">
        <v>1872</v>
      </c>
      <c r="H455" s="1173" t="s">
        <v>1872</v>
      </c>
      <c r="I455" s="1173">
        <v>10</v>
      </c>
      <c r="J455" s="1173" t="s">
        <v>1904</v>
      </c>
      <c r="K455" s="1173" t="s">
        <v>678</v>
      </c>
      <c r="L455" s="1175" t="s">
        <v>679</v>
      </c>
      <c r="M455" s="1261">
        <v>48500000</v>
      </c>
      <c r="N455" s="1172" t="s">
        <v>741</v>
      </c>
      <c r="O455" s="1172" t="s">
        <v>1875</v>
      </c>
    </row>
    <row r="456" spans="1:15" s="1156" customFormat="1" ht="75" x14ac:dyDescent="0.25">
      <c r="A456" s="1169">
        <v>2022450</v>
      </c>
      <c r="B456" s="1169">
        <v>7658</v>
      </c>
      <c r="C456" s="1169" t="s">
        <v>673</v>
      </c>
      <c r="D456" s="1187" t="s">
        <v>693</v>
      </c>
      <c r="E456" s="1231">
        <v>80111600</v>
      </c>
      <c r="F456" s="1172" t="s">
        <v>1069</v>
      </c>
      <c r="G456" s="1173" t="s">
        <v>1872</v>
      </c>
      <c r="H456" s="1173" t="s">
        <v>1872</v>
      </c>
      <c r="I456" s="1173">
        <v>10</v>
      </c>
      <c r="J456" s="1173" t="s">
        <v>1904</v>
      </c>
      <c r="K456" s="1173" t="s">
        <v>678</v>
      </c>
      <c r="L456" s="1175" t="s">
        <v>679</v>
      </c>
      <c r="M456" s="1261">
        <v>48500000</v>
      </c>
      <c r="N456" s="1172" t="s">
        <v>741</v>
      </c>
      <c r="O456" s="1172" t="s">
        <v>1875</v>
      </c>
    </row>
    <row r="457" spans="1:15" s="1156" customFormat="1" ht="75" x14ac:dyDescent="0.25">
      <c r="A457" s="1169">
        <v>2022451</v>
      </c>
      <c r="B457" s="1169">
        <v>7658</v>
      </c>
      <c r="C457" s="1169" t="s">
        <v>673</v>
      </c>
      <c r="D457" s="1187" t="s">
        <v>693</v>
      </c>
      <c r="E457" s="1231">
        <v>80111600</v>
      </c>
      <c r="F457" s="1172" t="s">
        <v>1069</v>
      </c>
      <c r="G457" s="1173" t="s">
        <v>1872</v>
      </c>
      <c r="H457" s="1173" t="s">
        <v>1872</v>
      </c>
      <c r="I457" s="1173">
        <v>10</v>
      </c>
      <c r="J457" s="1173" t="s">
        <v>1904</v>
      </c>
      <c r="K457" s="1173" t="s">
        <v>678</v>
      </c>
      <c r="L457" s="1175" t="s">
        <v>679</v>
      </c>
      <c r="M457" s="1261">
        <v>35000000</v>
      </c>
      <c r="N457" s="1172" t="s">
        <v>741</v>
      </c>
      <c r="O457" s="1172" t="s">
        <v>1875</v>
      </c>
    </row>
    <row r="458" spans="1:15" s="1156" customFormat="1" ht="75" x14ac:dyDescent="0.25">
      <c r="A458" s="1169">
        <v>2022452</v>
      </c>
      <c r="B458" s="1169">
        <v>7658</v>
      </c>
      <c r="C458" s="1169" t="s">
        <v>673</v>
      </c>
      <c r="D458" s="1187" t="s">
        <v>693</v>
      </c>
      <c r="E458" s="1231">
        <v>80111600</v>
      </c>
      <c r="F458" s="1172" t="s">
        <v>1068</v>
      </c>
      <c r="G458" s="1173" t="s">
        <v>1872</v>
      </c>
      <c r="H458" s="1173" t="s">
        <v>1872</v>
      </c>
      <c r="I458" s="1173">
        <v>6</v>
      </c>
      <c r="J458" s="1173" t="s">
        <v>1904</v>
      </c>
      <c r="K458" s="1173" t="s">
        <v>678</v>
      </c>
      <c r="L458" s="1175" t="s">
        <v>679</v>
      </c>
      <c r="M458" s="1261">
        <v>29100000</v>
      </c>
      <c r="N458" s="1172" t="s">
        <v>741</v>
      </c>
      <c r="O458" s="1172" t="s">
        <v>1875</v>
      </c>
    </row>
    <row r="459" spans="1:15" s="1156" customFormat="1" ht="75" x14ac:dyDescent="0.25">
      <c r="A459" s="1169">
        <v>2022453</v>
      </c>
      <c r="B459" s="1169">
        <v>7658</v>
      </c>
      <c r="C459" s="1169" t="s">
        <v>673</v>
      </c>
      <c r="D459" s="1187" t="s">
        <v>693</v>
      </c>
      <c r="E459" s="1231">
        <v>80111600</v>
      </c>
      <c r="F459" s="1172" t="s">
        <v>1068</v>
      </c>
      <c r="G459" s="1173" t="s">
        <v>1872</v>
      </c>
      <c r="H459" s="1173" t="s">
        <v>1872</v>
      </c>
      <c r="I459" s="1173">
        <v>4</v>
      </c>
      <c r="J459" s="1173" t="s">
        <v>1904</v>
      </c>
      <c r="K459" s="1173" t="s">
        <v>678</v>
      </c>
      <c r="L459" s="1175" t="s">
        <v>679</v>
      </c>
      <c r="M459" s="1261">
        <v>19400000</v>
      </c>
      <c r="N459" s="1172" t="s">
        <v>741</v>
      </c>
      <c r="O459" s="1172" t="s">
        <v>1875</v>
      </c>
    </row>
    <row r="460" spans="1:15" s="1156" customFormat="1" ht="75" x14ac:dyDescent="0.25">
      <c r="A460" s="1169">
        <v>2022454</v>
      </c>
      <c r="B460" s="1169">
        <v>7658</v>
      </c>
      <c r="C460" s="1169" t="s">
        <v>673</v>
      </c>
      <c r="D460" s="1187" t="s">
        <v>693</v>
      </c>
      <c r="E460" s="1231">
        <v>80111600</v>
      </c>
      <c r="F460" s="1172" t="s">
        <v>1070</v>
      </c>
      <c r="G460" s="1173" t="s">
        <v>1872</v>
      </c>
      <c r="H460" s="1173" t="s">
        <v>1872</v>
      </c>
      <c r="I460" s="1173">
        <v>10</v>
      </c>
      <c r="J460" s="1173" t="s">
        <v>1904</v>
      </c>
      <c r="K460" s="1173" t="s">
        <v>678</v>
      </c>
      <c r="L460" s="1175" t="s">
        <v>679</v>
      </c>
      <c r="M460" s="1261">
        <v>55000000</v>
      </c>
      <c r="N460" s="1172" t="s">
        <v>741</v>
      </c>
      <c r="O460" s="1172" t="s">
        <v>1875</v>
      </c>
    </row>
    <row r="461" spans="1:15" s="1156" customFormat="1" ht="75" x14ac:dyDescent="0.25">
      <c r="A461" s="1169">
        <v>2022455</v>
      </c>
      <c r="B461" s="1169">
        <v>7658</v>
      </c>
      <c r="C461" s="1169" t="s">
        <v>673</v>
      </c>
      <c r="D461" s="1187" t="s">
        <v>693</v>
      </c>
      <c r="E461" s="1231">
        <v>80111600</v>
      </c>
      <c r="F461" s="1172" t="s">
        <v>1070</v>
      </c>
      <c r="G461" s="1173" t="s">
        <v>1872</v>
      </c>
      <c r="H461" s="1173" t="s">
        <v>1872</v>
      </c>
      <c r="I461" s="1173">
        <v>10</v>
      </c>
      <c r="J461" s="1173" t="s">
        <v>1904</v>
      </c>
      <c r="K461" s="1173" t="s">
        <v>678</v>
      </c>
      <c r="L461" s="1175" t="s">
        <v>679</v>
      </c>
      <c r="M461" s="1261">
        <v>55000000</v>
      </c>
      <c r="N461" s="1172" t="s">
        <v>741</v>
      </c>
      <c r="O461" s="1172" t="s">
        <v>1875</v>
      </c>
    </row>
    <row r="462" spans="1:15" s="1156" customFormat="1" ht="75" x14ac:dyDescent="0.25">
      <c r="A462" s="1169">
        <v>2022456</v>
      </c>
      <c r="B462" s="1169">
        <v>7658</v>
      </c>
      <c r="C462" s="1169" t="s">
        <v>673</v>
      </c>
      <c r="D462" s="1187" t="s">
        <v>693</v>
      </c>
      <c r="E462" s="1231">
        <v>80111600</v>
      </c>
      <c r="F462" s="1172" t="s">
        <v>1070</v>
      </c>
      <c r="G462" s="1173" t="s">
        <v>1872</v>
      </c>
      <c r="H462" s="1173" t="s">
        <v>1872</v>
      </c>
      <c r="I462" s="1173">
        <v>6</v>
      </c>
      <c r="J462" s="1173" t="s">
        <v>1904</v>
      </c>
      <c r="K462" s="1173" t="s">
        <v>678</v>
      </c>
      <c r="L462" s="1175" t="s">
        <v>679</v>
      </c>
      <c r="M462" s="1261">
        <v>29100000</v>
      </c>
      <c r="N462" s="1172" t="s">
        <v>741</v>
      </c>
      <c r="O462" s="1172" t="s">
        <v>1875</v>
      </c>
    </row>
    <row r="463" spans="1:15" s="1156" customFormat="1" ht="75" x14ac:dyDescent="0.25">
      <c r="A463" s="1169">
        <v>2022457</v>
      </c>
      <c r="B463" s="1169">
        <v>7658</v>
      </c>
      <c r="C463" s="1169" t="s">
        <v>673</v>
      </c>
      <c r="D463" s="1187" t="s">
        <v>693</v>
      </c>
      <c r="E463" s="1231">
        <v>80111600</v>
      </c>
      <c r="F463" s="1172" t="s">
        <v>1070</v>
      </c>
      <c r="G463" s="1173" t="s">
        <v>1872</v>
      </c>
      <c r="H463" s="1173" t="s">
        <v>1872</v>
      </c>
      <c r="I463" s="1173">
        <v>4</v>
      </c>
      <c r="J463" s="1173" t="s">
        <v>1904</v>
      </c>
      <c r="K463" s="1173" t="s">
        <v>678</v>
      </c>
      <c r="L463" s="1175" t="s">
        <v>679</v>
      </c>
      <c r="M463" s="1261">
        <v>19400000</v>
      </c>
      <c r="N463" s="1172" t="s">
        <v>741</v>
      </c>
      <c r="O463" s="1172" t="s">
        <v>1875</v>
      </c>
    </row>
    <row r="464" spans="1:15" s="1156" customFormat="1" ht="75" x14ac:dyDescent="0.25">
      <c r="A464" s="1169">
        <v>2022458</v>
      </c>
      <c r="B464" s="1169">
        <v>7658</v>
      </c>
      <c r="C464" s="1169" t="s">
        <v>673</v>
      </c>
      <c r="D464" s="1187" t="s">
        <v>693</v>
      </c>
      <c r="E464" s="1231">
        <v>80111600</v>
      </c>
      <c r="F464" s="1172" t="s">
        <v>1070</v>
      </c>
      <c r="G464" s="1173" t="s">
        <v>1872</v>
      </c>
      <c r="H464" s="1173" t="s">
        <v>1872</v>
      </c>
      <c r="I464" s="1173">
        <v>10</v>
      </c>
      <c r="J464" s="1173" t="s">
        <v>1904</v>
      </c>
      <c r="K464" s="1173" t="s">
        <v>678</v>
      </c>
      <c r="L464" s="1175" t="s">
        <v>679</v>
      </c>
      <c r="M464" s="1261">
        <v>48500000</v>
      </c>
      <c r="N464" s="1172" t="s">
        <v>741</v>
      </c>
      <c r="O464" s="1172" t="s">
        <v>1875</v>
      </c>
    </row>
    <row r="465" spans="1:15" s="1156" customFormat="1" ht="75" x14ac:dyDescent="0.25">
      <c r="A465" s="1169">
        <v>2022459</v>
      </c>
      <c r="B465" s="1169">
        <v>7658</v>
      </c>
      <c r="C465" s="1169" t="s">
        <v>673</v>
      </c>
      <c r="D465" s="1187" t="s">
        <v>693</v>
      </c>
      <c r="E465" s="1231">
        <v>80111600</v>
      </c>
      <c r="F465" s="1172" t="s">
        <v>1070</v>
      </c>
      <c r="G465" s="1173" t="s">
        <v>1872</v>
      </c>
      <c r="H465" s="1173" t="s">
        <v>1872</v>
      </c>
      <c r="I465" s="1173">
        <v>6</v>
      </c>
      <c r="J465" s="1173" t="s">
        <v>1904</v>
      </c>
      <c r="K465" s="1173" t="s">
        <v>678</v>
      </c>
      <c r="L465" s="1175" t="s">
        <v>679</v>
      </c>
      <c r="M465" s="1261">
        <v>29100000</v>
      </c>
      <c r="N465" s="1172" t="s">
        <v>741</v>
      </c>
      <c r="O465" s="1172" t="s">
        <v>1875</v>
      </c>
    </row>
    <row r="466" spans="1:15" s="1156" customFormat="1" ht="75" x14ac:dyDescent="0.25">
      <c r="A466" s="1169">
        <v>2022460</v>
      </c>
      <c r="B466" s="1169">
        <v>7658</v>
      </c>
      <c r="C466" s="1169" t="s">
        <v>673</v>
      </c>
      <c r="D466" s="1187" t="s">
        <v>693</v>
      </c>
      <c r="E466" s="1231">
        <v>80111600</v>
      </c>
      <c r="F466" s="1172" t="s">
        <v>1070</v>
      </c>
      <c r="G466" s="1173" t="s">
        <v>1872</v>
      </c>
      <c r="H466" s="1173" t="s">
        <v>1872</v>
      </c>
      <c r="I466" s="1173">
        <v>4</v>
      </c>
      <c r="J466" s="1173" t="s">
        <v>1904</v>
      </c>
      <c r="K466" s="1173" t="s">
        <v>678</v>
      </c>
      <c r="L466" s="1175" t="s">
        <v>679</v>
      </c>
      <c r="M466" s="1261">
        <v>19400000</v>
      </c>
      <c r="N466" s="1172" t="s">
        <v>741</v>
      </c>
      <c r="O466" s="1172" t="s">
        <v>1875</v>
      </c>
    </row>
    <row r="467" spans="1:15" s="1156" customFormat="1" ht="75" x14ac:dyDescent="0.25">
      <c r="A467" s="1169">
        <v>2022461</v>
      </c>
      <c r="B467" s="1169">
        <v>7658</v>
      </c>
      <c r="C467" s="1169" t="s">
        <v>673</v>
      </c>
      <c r="D467" s="1187" t="s">
        <v>693</v>
      </c>
      <c r="E467" s="1231">
        <v>80111600</v>
      </c>
      <c r="F467" s="1172" t="s">
        <v>1070</v>
      </c>
      <c r="G467" s="1173" t="s">
        <v>1872</v>
      </c>
      <c r="H467" s="1173" t="s">
        <v>1872</v>
      </c>
      <c r="I467" s="1173">
        <v>10</v>
      </c>
      <c r="J467" s="1173" t="s">
        <v>1904</v>
      </c>
      <c r="K467" s="1173" t="s">
        <v>678</v>
      </c>
      <c r="L467" s="1175" t="s">
        <v>679</v>
      </c>
      <c r="M467" s="1261">
        <v>45000000</v>
      </c>
      <c r="N467" s="1172" t="s">
        <v>741</v>
      </c>
      <c r="O467" s="1172" t="s">
        <v>1875</v>
      </c>
    </row>
    <row r="468" spans="1:15" s="1156" customFormat="1" ht="75" x14ac:dyDescent="0.25">
      <c r="A468" s="1169">
        <v>2022462</v>
      </c>
      <c r="B468" s="1169">
        <v>7658</v>
      </c>
      <c r="C468" s="1169" t="s">
        <v>673</v>
      </c>
      <c r="D468" s="1187" t="s">
        <v>693</v>
      </c>
      <c r="E468" s="1231">
        <v>80111600</v>
      </c>
      <c r="F468" s="1172" t="s">
        <v>1071</v>
      </c>
      <c r="G468" s="1173" t="s">
        <v>1872</v>
      </c>
      <c r="H468" s="1173" t="s">
        <v>1872</v>
      </c>
      <c r="I468" s="1173">
        <v>6</v>
      </c>
      <c r="J468" s="1173" t="s">
        <v>1904</v>
      </c>
      <c r="K468" s="1173" t="s">
        <v>678</v>
      </c>
      <c r="L468" s="1175" t="s">
        <v>679</v>
      </c>
      <c r="M468" s="1261">
        <v>16500000</v>
      </c>
      <c r="N468" s="1172" t="s">
        <v>741</v>
      </c>
      <c r="O468" s="1172" t="s">
        <v>1875</v>
      </c>
    </row>
    <row r="469" spans="1:15" s="1156" customFormat="1" ht="75" x14ac:dyDescent="0.25">
      <c r="A469" s="1169">
        <v>2022463</v>
      </c>
      <c r="B469" s="1169">
        <v>7658</v>
      </c>
      <c r="C469" s="1169" t="s">
        <v>673</v>
      </c>
      <c r="D469" s="1187" t="s">
        <v>693</v>
      </c>
      <c r="E469" s="1231">
        <v>80111600</v>
      </c>
      <c r="F469" s="1172" t="s">
        <v>1071</v>
      </c>
      <c r="G469" s="1173" t="s">
        <v>1872</v>
      </c>
      <c r="H469" s="1173" t="s">
        <v>1872</v>
      </c>
      <c r="I469" s="1173">
        <v>4</v>
      </c>
      <c r="J469" s="1173" t="s">
        <v>1904</v>
      </c>
      <c r="K469" s="1173" t="s">
        <v>678</v>
      </c>
      <c r="L469" s="1175" t="s">
        <v>679</v>
      </c>
      <c r="M469" s="1261">
        <v>11000000</v>
      </c>
      <c r="N469" s="1172" t="s">
        <v>741</v>
      </c>
      <c r="O469" s="1172" t="s">
        <v>1875</v>
      </c>
    </row>
    <row r="470" spans="1:15" s="1156" customFormat="1" ht="75" x14ac:dyDescent="0.25">
      <c r="A470" s="1169">
        <v>2022464</v>
      </c>
      <c r="B470" s="1169">
        <v>7658</v>
      </c>
      <c r="C470" s="1169" t="s">
        <v>673</v>
      </c>
      <c r="D470" s="1187" t="s">
        <v>693</v>
      </c>
      <c r="E470" s="1231">
        <v>80111600</v>
      </c>
      <c r="F470" s="1172" t="s">
        <v>1072</v>
      </c>
      <c r="G470" s="1173" t="s">
        <v>1872</v>
      </c>
      <c r="H470" s="1173" t="s">
        <v>1872</v>
      </c>
      <c r="I470" s="1173">
        <v>10</v>
      </c>
      <c r="J470" s="1173" t="s">
        <v>1904</v>
      </c>
      <c r="K470" s="1173" t="s">
        <v>678</v>
      </c>
      <c r="L470" s="1175" t="s">
        <v>679</v>
      </c>
      <c r="M470" s="1261">
        <v>50000000</v>
      </c>
      <c r="N470" s="1172" t="s">
        <v>741</v>
      </c>
      <c r="O470" s="1172" t="s">
        <v>1875</v>
      </c>
    </row>
    <row r="471" spans="1:15" s="1156" customFormat="1" ht="75" x14ac:dyDescent="0.25">
      <c r="A471" s="1169">
        <v>2022465</v>
      </c>
      <c r="B471" s="1169">
        <v>7658</v>
      </c>
      <c r="C471" s="1169" t="s">
        <v>673</v>
      </c>
      <c r="D471" s="1187" t="s">
        <v>693</v>
      </c>
      <c r="E471" s="1231">
        <v>80111600</v>
      </c>
      <c r="F471" s="1172" t="s">
        <v>1073</v>
      </c>
      <c r="G471" s="1173" t="s">
        <v>1872</v>
      </c>
      <c r="H471" s="1173" t="s">
        <v>1872</v>
      </c>
      <c r="I471" s="1173">
        <v>10</v>
      </c>
      <c r="J471" s="1173" t="s">
        <v>1904</v>
      </c>
      <c r="K471" s="1173" t="s">
        <v>678</v>
      </c>
      <c r="L471" s="1175" t="s">
        <v>679</v>
      </c>
      <c r="M471" s="1261">
        <v>48500000</v>
      </c>
      <c r="N471" s="1172" t="s">
        <v>741</v>
      </c>
      <c r="O471" s="1172" t="s">
        <v>1875</v>
      </c>
    </row>
    <row r="472" spans="1:15" s="1156" customFormat="1" ht="75" x14ac:dyDescent="0.25">
      <c r="A472" s="1169">
        <v>2022466</v>
      </c>
      <c r="B472" s="1169">
        <v>7658</v>
      </c>
      <c r="C472" s="1169" t="s">
        <v>673</v>
      </c>
      <c r="D472" s="1187" t="s">
        <v>693</v>
      </c>
      <c r="E472" s="1231">
        <v>80111600</v>
      </c>
      <c r="F472" s="1172" t="s">
        <v>1074</v>
      </c>
      <c r="G472" s="1173" t="s">
        <v>1872</v>
      </c>
      <c r="H472" s="1173" t="s">
        <v>1872</v>
      </c>
      <c r="I472" s="1173">
        <v>10</v>
      </c>
      <c r="J472" s="1173" t="s">
        <v>1904</v>
      </c>
      <c r="K472" s="1173" t="s">
        <v>678</v>
      </c>
      <c r="L472" s="1175" t="s">
        <v>679</v>
      </c>
      <c r="M472" s="1261">
        <v>33500000</v>
      </c>
      <c r="N472" s="1172" t="s">
        <v>741</v>
      </c>
      <c r="O472" s="1172" t="s">
        <v>1875</v>
      </c>
    </row>
    <row r="473" spans="1:15" s="1156" customFormat="1" ht="75" customHeight="1" x14ac:dyDescent="0.25">
      <c r="A473" s="1169">
        <v>2022467</v>
      </c>
      <c r="B473" s="1169">
        <v>7658</v>
      </c>
      <c r="C473" s="1169" t="s">
        <v>673</v>
      </c>
      <c r="D473" s="1187" t="s">
        <v>693</v>
      </c>
      <c r="E473" s="1231">
        <v>80111600</v>
      </c>
      <c r="F473" s="1172" t="s">
        <v>1075</v>
      </c>
      <c r="G473" s="1173" t="s">
        <v>1872</v>
      </c>
      <c r="H473" s="1173" t="s">
        <v>1872</v>
      </c>
      <c r="I473" s="1173">
        <v>10</v>
      </c>
      <c r="J473" s="1173" t="s">
        <v>1904</v>
      </c>
      <c r="K473" s="1173" t="s">
        <v>678</v>
      </c>
      <c r="L473" s="1175" t="s">
        <v>679</v>
      </c>
      <c r="M473" s="1261">
        <v>48500000</v>
      </c>
      <c r="N473" s="1172" t="s">
        <v>741</v>
      </c>
      <c r="O473" s="1172" t="s">
        <v>1875</v>
      </c>
    </row>
    <row r="474" spans="1:15" s="1156" customFormat="1" ht="75" x14ac:dyDescent="0.25">
      <c r="A474" s="1169">
        <v>2022468</v>
      </c>
      <c r="B474" s="1169">
        <v>7658</v>
      </c>
      <c r="C474" s="1169" t="s">
        <v>673</v>
      </c>
      <c r="D474" s="1187" t="s">
        <v>693</v>
      </c>
      <c r="E474" s="1231">
        <v>80111600</v>
      </c>
      <c r="F474" s="1172" t="s">
        <v>1076</v>
      </c>
      <c r="G474" s="1173" t="s">
        <v>1872</v>
      </c>
      <c r="H474" s="1173" t="s">
        <v>1872</v>
      </c>
      <c r="I474" s="1173">
        <v>4</v>
      </c>
      <c r="J474" s="1173" t="s">
        <v>1904</v>
      </c>
      <c r="K474" s="1173" t="s">
        <v>678</v>
      </c>
      <c r="L474" s="1175" t="s">
        <v>679</v>
      </c>
      <c r="M474" s="1261">
        <v>19400000</v>
      </c>
      <c r="N474" s="1172" t="s">
        <v>741</v>
      </c>
      <c r="O474" s="1172" t="s">
        <v>1875</v>
      </c>
    </row>
    <row r="475" spans="1:15" s="1156" customFormat="1" ht="75" x14ac:dyDescent="0.25">
      <c r="A475" s="1169">
        <v>2022469</v>
      </c>
      <c r="B475" s="1169">
        <v>7658</v>
      </c>
      <c r="C475" s="1169" t="s">
        <v>673</v>
      </c>
      <c r="D475" s="1187" t="s">
        <v>693</v>
      </c>
      <c r="E475" s="1231">
        <v>80111600</v>
      </c>
      <c r="F475" s="1172" t="s">
        <v>1076</v>
      </c>
      <c r="G475" s="1173" t="s">
        <v>1872</v>
      </c>
      <c r="H475" s="1173" t="s">
        <v>1872</v>
      </c>
      <c r="I475" s="1173">
        <v>6</v>
      </c>
      <c r="J475" s="1173" t="s">
        <v>1904</v>
      </c>
      <c r="K475" s="1173" t="s">
        <v>678</v>
      </c>
      <c r="L475" s="1175" t="s">
        <v>679</v>
      </c>
      <c r="M475" s="1261">
        <v>29100000</v>
      </c>
      <c r="N475" s="1172" t="s">
        <v>741</v>
      </c>
      <c r="O475" s="1172" t="s">
        <v>1875</v>
      </c>
    </row>
    <row r="476" spans="1:15" s="1156" customFormat="1" ht="75" x14ac:dyDescent="0.25">
      <c r="A476" s="1169">
        <v>2022470</v>
      </c>
      <c r="B476" s="1169">
        <v>7658</v>
      </c>
      <c r="C476" s="1169" t="s">
        <v>673</v>
      </c>
      <c r="D476" s="1187" t="s">
        <v>693</v>
      </c>
      <c r="E476" s="1231">
        <v>80111600</v>
      </c>
      <c r="F476" s="1172" t="s">
        <v>1076</v>
      </c>
      <c r="G476" s="1173" t="s">
        <v>1872</v>
      </c>
      <c r="H476" s="1173" t="s">
        <v>1872</v>
      </c>
      <c r="I476" s="1173">
        <v>4</v>
      </c>
      <c r="J476" s="1173" t="s">
        <v>1904</v>
      </c>
      <c r="K476" s="1173" t="s">
        <v>678</v>
      </c>
      <c r="L476" s="1175" t="s">
        <v>679</v>
      </c>
      <c r="M476" s="1261">
        <v>16000000</v>
      </c>
      <c r="N476" s="1172" t="s">
        <v>741</v>
      </c>
      <c r="O476" s="1172" t="s">
        <v>1875</v>
      </c>
    </row>
    <row r="477" spans="1:15" s="1156" customFormat="1" ht="75" x14ac:dyDescent="0.25">
      <c r="A477" s="1169">
        <v>2022471</v>
      </c>
      <c r="B477" s="1169">
        <v>7658</v>
      </c>
      <c r="C477" s="1169" t="s">
        <v>673</v>
      </c>
      <c r="D477" s="1187" t="s">
        <v>693</v>
      </c>
      <c r="E477" s="1231">
        <v>80111600</v>
      </c>
      <c r="F477" s="1172" t="s">
        <v>1076</v>
      </c>
      <c r="G477" s="1173" t="s">
        <v>1872</v>
      </c>
      <c r="H477" s="1173" t="s">
        <v>1872</v>
      </c>
      <c r="I477" s="1173">
        <v>6</v>
      </c>
      <c r="J477" s="1173" t="s">
        <v>1904</v>
      </c>
      <c r="K477" s="1173" t="s">
        <v>678</v>
      </c>
      <c r="L477" s="1175" t="s">
        <v>679</v>
      </c>
      <c r="M477" s="1261">
        <v>24000000</v>
      </c>
      <c r="N477" s="1172" t="s">
        <v>741</v>
      </c>
      <c r="O477" s="1172" t="s">
        <v>1875</v>
      </c>
    </row>
    <row r="478" spans="1:15" s="1156" customFormat="1" ht="75" x14ac:dyDescent="0.25">
      <c r="A478" s="1169">
        <v>2022472</v>
      </c>
      <c r="B478" s="1169">
        <v>7658</v>
      </c>
      <c r="C478" s="1169" t="s">
        <v>673</v>
      </c>
      <c r="D478" s="1187" t="s">
        <v>693</v>
      </c>
      <c r="E478" s="1231">
        <v>80111600</v>
      </c>
      <c r="F478" s="1172" t="s">
        <v>1076</v>
      </c>
      <c r="G478" s="1173" t="s">
        <v>1872</v>
      </c>
      <c r="H478" s="1173" t="s">
        <v>1872</v>
      </c>
      <c r="I478" s="1173">
        <v>4</v>
      </c>
      <c r="J478" s="1173" t="s">
        <v>1904</v>
      </c>
      <c r="K478" s="1173" t="s">
        <v>678</v>
      </c>
      <c r="L478" s="1175" t="s">
        <v>679</v>
      </c>
      <c r="M478" s="1261">
        <v>15400000</v>
      </c>
      <c r="N478" s="1172" t="s">
        <v>741</v>
      </c>
      <c r="O478" s="1172" t="s">
        <v>1875</v>
      </c>
    </row>
    <row r="479" spans="1:15" s="1156" customFormat="1" ht="75" x14ac:dyDescent="0.25">
      <c r="A479" s="1169">
        <v>2022473</v>
      </c>
      <c r="B479" s="1169">
        <v>7658</v>
      </c>
      <c r="C479" s="1169" t="s">
        <v>673</v>
      </c>
      <c r="D479" s="1187" t="s">
        <v>693</v>
      </c>
      <c r="E479" s="1231">
        <v>80111600</v>
      </c>
      <c r="F479" s="1172" t="s">
        <v>1076</v>
      </c>
      <c r="G479" s="1173" t="s">
        <v>1872</v>
      </c>
      <c r="H479" s="1173" t="s">
        <v>1872</v>
      </c>
      <c r="I479" s="1173">
        <v>6</v>
      </c>
      <c r="J479" s="1173" t="s">
        <v>1904</v>
      </c>
      <c r="K479" s="1173" t="s">
        <v>678</v>
      </c>
      <c r="L479" s="1175" t="s">
        <v>679</v>
      </c>
      <c r="M479" s="1261">
        <v>23100000</v>
      </c>
      <c r="N479" s="1172" t="s">
        <v>741</v>
      </c>
      <c r="O479" s="1172" t="s">
        <v>1875</v>
      </c>
    </row>
    <row r="480" spans="1:15" s="1156" customFormat="1" ht="75" x14ac:dyDescent="0.25">
      <c r="A480" s="1169">
        <v>2022474</v>
      </c>
      <c r="B480" s="1169">
        <v>7658</v>
      </c>
      <c r="C480" s="1169" t="s">
        <v>673</v>
      </c>
      <c r="D480" s="1187" t="s">
        <v>693</v>
      </c>
      <c r="E480" s="1231">
        <v>80111600</v>
      </c>
      <c r="F480" s="1172" t="s">
        <v>1076</v>
      </c>
      <c r="G480" s="1173" t="s">
        <v>1872</v>
      </c>
      <c r="H480" s="1173" t="s">
        <v>1872</v>
      </c>
      <c r="I480" s="1173">
        <v>4</v>
      </c>
      <c r="J480" s="1173" t="s">
        <v>1904</v>
      </c>
      <c r="K480" s="1173" t="s">
        <v>678</v>
      </c>
      <c r="L480" s="1175" t="s">
        <v>679</v>
      </c>
      <c r="M480" s="1261">
        <v>15400000</v>
      </c>
      <c r="N480" s="1172" t="s">
        <v>741</v>
      </c>
      <c r="O480" s="1172" t="s">
        <v>1875</v>
      </c>
    </row>
    <row r="481" spans="1:18" s="1156" customFormat="1" ht="75" x14ac:dyDescent="0.25">
      <c r="A481" s="1169">
        <v>2022475</v>
      </c>
      <c r="B481" s="1169">
        <v>7658</v>
      </c>
      <c r="C481" s="1169" t="s">
        <v>673</v>
      </c>
      <c r="D481" s="1187" t="s">
        <v>693</v>
      </c>
      <c r="E481" s="1231">
        <v>80111600</v>
      </c>
      <c r="F481" s="1172" t="s">
        <v>1076</v>
      </c>
      <c r="G481" s="1173" t="s">
        <v>1872</v>
      </c>
      <c r="H481" s="1173" t="s">
        <v>1872</v>
      </c>
      <c r="I481" s="1173">
        <v>6</v>
      </c>
      <c r="J481" s="1173" t="s">
        <v>1904</v>
      </c>
      <c r="K481" s="1173" t="s">
        <v>678</v>
      </c>
      <c r="L481" s="1175" t="s">
        <v>679</v>
      </c>
      <c r="M481" s="1261">
        <v>23100000</v>
      </c>
      <c r="N481" s="1172" t="s">
        <v>741</v>
      </c>
      <c r="O481" s="1172" t="s">
        <v>1875</v>
      </c>
    </row>
    <row r="482" spans="1:18" s="1156" customFormat="1" ht="75" x14ac:dyDescent="0.25">
      <c r="A482" s="1169">
        <v>2022476</v>
      </c>
      <c r="B482" s="1169">
        <v>7658</v>
      </c>
      <c r="C482" s="1169" t="s">
        <v>673</v>
      </c>
      <c r="D482" s="1187" t="s">
        <v>693</v>
      </c>
      <c r="E482" s="1231">
        <v>80111600</v>
      </c>
      <c r="F482" s="1172" t="s">
        <v>1076</v>
      </c>
      <c r="G482" s="1173" t="s">
        <v>1872</v>
      </c>
      <c r="H482" s="1173" t="s">
        <v>1872</v>
      </c>
      <c r="I482" s="1173">
        <v>4</v>
      </c>
      <c r="J482" s="1173" t="s">
        <v>1904</v>
      </c>
      <c r="K482" s="1173" t="s">
        <v>678</v>
      </c>
      <c r="L482" s="1175" t="s">
        <v>679</v>
      </c>
      <c r="M482" s="1261">
        <v>15400000</v>
      </c>
      <c r="N482" s="1172" t="s">
        <v>741</v>
      </c>
      <c r="O482" s="1172" t="s">
        <v>1875</v>
      </c>
    </row>
    <row r="483" spans="1:18" s="1156" customFormat="1" ht="75" x14ac:dyDescent="0.25">
      <c r="A483" s="1169">
        <v>2022477</v>
      </c>
      <c r="B483" s="1169">
        <v>7658</v>
      </c>
      <c r="C483" s="1169" t="s">
        <v>673</v>
      </c>
      <c r="D483" s="1187" t="s">
        <v>693</v>
      </c>
      <c r="E483" s="1231">
        <v>80111600</v>
      </c>
      <c r="F483" s="1172" t="s">
        <v>1076</v>
      </c>
      <c r="G483" s="1173" t="s">
        <v>1872</v>
      </c>
      <c r="H483" s="1173" t="s">
        <v>1872</v>
      </c>
      <c r="I483" s="1173">
        <v>6</v>
      </c>
      <c r="J483" s="1173" t="s">
        <v>1904</v>
      </c>
      <c r="K483" s="1173" t="s">
        <v>678</v>
      </c>
      <c r="L483" s="1175" t="s">
        <v>679</v>
      </c>
      <c r="M483" s="1261">
        <v>23100000</v>
      </c>
      <c r="N483" s="1172" t="s">
        <v>741</v>
      </c>
      <c r="O483" s="1172" t="s">
        <v>1875</v>
      </c>
    </row>
    <row r="484" spans="1:18" s="1156" customFormat="1" ht="75" x14ac:dyDescent="0.25">
      <c r="A484" s="1169">
        <v>2022478</v>
      </c>
      <c r="B484" s="1169">
        <v>7658</v>
      </c>
      <c r="C484" s="1169" t="s">
        <v>673</v>
      </c>
      <c r="D484" s="1187" t="s">
        <v>693</v>
      </c>
      <c r="E484" s="1231">
        <v>80111600</v>
      </c>
      <c r="F484" s="1172" t="s">
        <v>1077</v>
      </c>
      <c r="G484" s="1173" t="s">
        <v>1872</v>
      </c>
      <c r="H484" s="1173" t="s">
        <v>1872</v>
      </c>
      <c r="I484" s="1173">
        <v>10</v>
      </c>
      <c r="J484" s="1173" t="s">
        <v>1904</v>
      </c>
      <c r="K484" s="1173" t="s">
        <v>678</v>
      </c>
      <c r="L484" s="1175" t="s">
        <v>679</v>
      </c>
      <c r="M484" s="1261">
        <v>72100000</v>
      </c>
      <c r="N484" s="1172" t="s">
        <v>741</v>
      </c>
      <c r="O484" s="1172" t="s">
        <v>1875</v>
      </c>
    </row>
    <row r="485" spans="1:18" s="1156" customFormat="1" ht="75" x14ac:dyDescent="0.25">
      <c r="A485" s="1169">
        <v>2022479</v>
      </c>
      <c r="B485" s="1169">
        <v>7658</v>
      </c>
      <c r="C485" s="1169" t="s">
        <v>673</v>
      </c>
      <c r="D485" s="1187" t="s">
        <v>693</v>
      </c>
      <c r="E485" s="1231">
        <v>80111600</v>
      </c>
      <c r="F485" s="1172" t="s">
        <v>1077</v>
      </c>
      <c r="G485" s="1173" t="s">
        <v>1872</v>
      </c>
      <c r="H485" s="1173" t="s">
        <v>1872</v>
      </c>
      <c r="I485" s="1173">
        <v>10</v>
      </c>
      <c r="J485" s="1173" t="s">
        <v>1904</v>
      </c>
      <c r="K485" s="1173" t="s">
        <v>678</v>
      </c>
      <c r="L485" s="1175" t="s">
        <v>679</v>
      </c>
      <c r="M485" s="1261">
        <v>48500000</v>
      </c>
      <c r="N485" s="1172" t="s">
        <v>741</v>
      </c>
      <c r="O485" s="1172" t="s">
        <v>1875</v>
      </c>
    </row>
    <row r="486" spans="1:18" s="1156" customFormat="1" ht="75" x14ac:dyDescent="0.25">
      <c r="A486" s="1169">
        <v>2022480</v>
      </c>
      <c r="B486" s="1169">
        <v>7658</v>
      </c>
      <c r="C486" s="1169" t="s">
        <v>673</v>
      </c>
      <c r="D486" s="1187" t="s">
        <v>693</v>
      </c>
      <c r="E486" s="1231">
        <v>80111600</v>
      </c>
      <c r="F486" s="1172" t="s">
        <v>1077</v>
      </c>
      <c r="G486" s="1173" t="s">
        <v>1872</v>
      </c>
      <c r="H486" s="1173" t="s">
        <v>1872</v>
      </c>
      <c r="I486" s="1173">
        <v>10</v>
      </c>
      <c r="J486" s="1173" t="s">
        <v>1904</v>
      </c>
      <c r="K486" s="1173" t="s">
        <v>678</v>
      </c>
      <c r="L486" s="1175" t="s">
        <v>679</v>
      </c>
      <c r="M486" s="1261">
        <v>38500000</v>
      </c>
      <c r="N486" s="1172" t="s">
        <v>741</v>
      </c>
      <c r="O486" s="1172" t="s">
        <v>1875</v>
      </c>
    </row>
    <row r="487" spans="1:18" s="1156" customFormat="1" ht="75" x14ac:dyDescent="0.25">
      <c r="A487" s="1169">
        <v>2022481</v>
      </c>
      <c r="B487" s="1169">
        <v>7658</v>
      </c>
      <c r="C487" s="1169" t="s">
        <v>673</v>
      </c>
      <c r="D487" s="1187" t="s">
        <v>693</v>
      </c>
      <c r="E487" s="1231">
        <v>80111600</v>
      </c>
      <c r="F487" s="1172" t="s">
        <v>1078</v>
      </c>
      <c r="G487" s="1173" t="s">
        <v>1872</v>
      </c>
      <c r="H487" s="1173" t="s">
        <v>1872</v>
      </c>
      <c r="I487" s="1173">
        <v>6</v>
      </c>
      <c r="J487" s="1173" t="s">
        <v>1904</v>
      </c>
      <c r="K487" s="1173" t="s">
        <v>678</v>
      </c>
      <c r="L487" s="1175" t="s">
        <v>679</v>
      </c>
      <c r="M487" s="1261">
        <v>48000000</v>
      </c>
      <c r="N487" s="1172" t="s">
        <v>741</v>
      </c>
      <c r="O487" s="1172" t="s">
        <v>1875</v>
      </c>
    </row>
    <row r="488" spans="1:18" s="1156" customFormat="1" ht="75" x14ac:dyDescent="0.25">
      <c r="A488" s="1169">
        <v>2022482</v>
      </c>
      <c r="B488" s="1169">
        <v>7658</v>
      </c>
      <c r="C488" s="1169" t="s">
        <v>673</v>
      </c>
      <c r="D488" s="1187" t="s">
        <v>693</v>
      </c>
      <c r="E488" s="1231">
        <v>80111600</v>
      </c>
      <c r="F488" s="1172" t="s">
        <v>1079</v>
      </c>
      <c r="G488" s="1173" t="s">
        <v>1872</v>
      </c>
      <c r="H488" s="1173" t="s">
        <v>1872</v>
      </c>
      <c r="I488" s="1173">
        <v>6</v>
      </c>
      <c r="J488" s="1173" t="s">
        <v>1904</v>
      </c>
      <c r="K488" s="1173" t="s">
        <v>678</v>
      </c>
      <c r="L488" s="1175" t="s">
        <v>679</v>
      </c>
      <c r="M488" s="1261">
        <v>28200000</v>
      </c>
      <c r="N488" s="1172" t="s">
        <v>741</v>
      </c>
      <c r="O488" s="1172" t="s">
        <v>1875</v>
      </c>
    </row>
    <row r="489" spans="1:18" s="1156" customFormat="1" ht="90" x14ac:dyDescent="0.25">
      <c r="A489" s="1179">
        <v>2022483</v>
      </c>
      <c r="B489" s="1179">
        <v>7658</v>
      </c>
      <c r="C489" s="1179" t="s">
        <v>673</v>
      </c>
      <c r="D489" s="1224" t="s">
        <v>699</v>
      </c>
      <c r="E489" s="1233" t="s">
        <v>1080</v>
      </c>
      <c r="F489" s="1182" t="s">
        <v>1081</v>
      </c>
      <c r="G489" s="1242" t="s">
        <v>1743</v>
      </c>
      <c r="H489" s="1242" t="s">
        <v>1753</v>
      </c>
      <c r="I489" s="1236" t="s">
        <v>1809</v>
      </c>
      <c r="J489" s="1237" t="s">
        <v>1905</v>
      </c>
      <c r="K489" s="1181" t="s">
        <v>678</v>
      </c>
      <c r="L489" s="1244" t="s">
        <v>1469</v>
      </c>
      <c r="M489" s="1183">
        <v>45000000</v>
      </c>
      <c r="N489" s="1182" t="s">
        <v>1906</v>
      </c>
      <c r="O489" s="1182" t="s">
        <v>1815</v>
      </c>
      <c r="R489" s="1177"/>
    </row>
    <row r="490" spans="1:18" s="1156" customFormat="1" ht="90" x14ac:dyDescent="0.25">
      <c r="A490" s="1169">
        <v>2022484</v>
      </c>
      <c r="B490" s="1169">
        <v>7658</v>
      </c>
      <c r="C490" s="1169" t="s">
        <v>673</v>
      </c>
      <c r="D490" s="1187" t="s">
        <v>699</v>
      </c>
      <c r="E490" s="1231" t="s">
        <v>1082</v>
      </c>
      <c r="F490" s="1172" t="s">
        <v>1083</v>
      </c>
      <c r="G490" s="1190" t="s">
        <v>1743</v>
      </c>
      <c r="H490" s="1190" t="s">
        <v>1753</v>
      </c>
      <c r="I490" s="1191" t="s">
        <v>1810</v>
      </c>
      <c r="J490" s="1192" t="s">
        <v>1861</v>
      </c>
      <c r="K490" s="1173" t="s">
        <v>678</v>
      </c>
      <c r="L490" s="1238" t="s">
        <v>1907</v>
      </c>
      <c r="M490" s="1176">
        <v>100000000</v>
      </c>
      <c r="N490" s="1172" t="s">
        <v>1906</v>
      </c>
      <c r="O490" s="1172" t="s">
        <v>1815</v>
      </c>
    </row>
    <row r="491" spans="1:18" s="1156" customFormat="1" ht="90" x14ac:dyDescent="0.25">
      <c r="A491" s="1169">
        <v>2022485</v>
      </c>
      <c r="B491" s="1169">
        <v>7658</v>
      </c>
      <c r="C491" s="1169" t="s">
        <v>673</v>
      </c>
      <c r="D491" s="1187" t="s">
        <v>699</v>
      </c>
      <c r="E491" s="1231" t="s">
        <v>1084</v>
      </c>
      <c r="F491" s="1172" t="s">
        <v>1085</v>
      </c>
      <c r="G491" s="1190" t="s">
        <v>1743</v>
      </c>
      <c r="H491" s="1190" t="s">
        <v>1753</v>
      </c>
      <c r="I491" s="1191" t="s">
        <v>1746</v>
      </c>
      <c r="J491" s="1192" t="s">
        <v>1861</v>
      </c>
      <c r="K491" s="1173" t="s">
        <v>678</v>
      </c>
      <c r="L491" s="1175" t="s">
        <v>1472</v>
      </c>
      <c r="M491" s="1176">
        <v>260900000</v>
      </c>
      <c r="N491" s="1172" t="s">
        <v>1906</v>
      </c>
      <c r="O491" s="1172" t="s">
        <v>1815</v>
      </c>
    </row>
    <row r="492" spans="1:18" s="1156" customFormat="1" ht="90" x14ac:dyDescent="0.25">
      <c r="A492" s="1169">
        <v>2022486</v>
      </c>
      <c r="B492" s="1169">
        <v>7658</v>
      </c>
      <c r="C492" s="1169" t="s">
        <v>673</v>
      </c>
      <c r="D492" s="1187" t="s">
        <v>699</v>
      </c>
      <c r="E492" s="1231" t="s">
        <v>1086</v>
      </c>
      <c r="F492" s="1172" t="s">
        <v>1087</v>
      </c>
      <c r="G492" s="1190" t="s">
        <v>1743</v>
      </c>
      <c r="H492" s="1190" t="s">
        <v>1753</v>
      </c>
      <c r="I492" s="1191" t="s">
        <v>1810</v>
      </c>
      <c r="J492" s="1192" t="s">
        <v>1861</v>
      </c>
      <c r="K492" s="1173" t="s">
        <v>678</v>
      </c>
      <c r="L492" s="1175" t="s">
        <v>1840</v>
      </c>
      <c r="M492" s="1176">
        <v>200000000</v>
      </c>
      <c r="N492" s="1172" t="s">
        <v>1906</v>
      </c>
      <c r="O492" s="1172" t="s">
        <v>1815</v>
      </c>
    </row>
    <row r="493" spans="1:18" s="1156" customFormat="1" ht="90" x14ac:dyDescent="0.25">
      <c r="A493" s="1179">
        <v>2022487</v>
      </c>
      <c r="B493" s="1179">
        <v>7658</v>
      </c>
      <c r="C493" s="1179" t="s">
        <v>673</v>
      </c>
      <c r="D493" s="1224" t="s">
        <v>699</v>
      </c>
      <c r="E493" s="1233" t="s">
        <v>1082</v>
      </c>
      <c r="F493" s="1182" t="s">
        <v>1908</v>
      </c>
      <c r="G493" s="1242" t="s">
        <v>1743</v>
      </c>
      <c r="H493" s="1242" t="s">
        <v>1753</v>
      </c>
      <c r="I493" s="1236" t="s">
        <v>1909</v>
      </c>
      <c r="J493" s="1237" t="s">
        <v>1910</v>
      </c>
      <c r="K493" s="1181" t="s">
        <v>678</v>
      </c>
      <c r="L493" s="1244" t="s">
        <v>1907</v>
      </c>
      <c r="M493" s="1183">
        <f>34000000-10000000-5000000</f>
        <v>19000000</v>
      </c>
      <c r="N493" s="1182" t="s">
        <v>1906</v>
      </c>
      <c r="O493" s="1182" t="s">
        <v>1815</v>
      </c>
      <c r="R493" s="1177"/>
    </row>
    <row r="494" spans="1:18" s="1156" customFormat="1" ht="90" x14ac:dyDescent="0.25">
      <c r="A494" s="1169">
        <v>2022488</v>
      </c>
      <c r="B494" s="1169">
        <v>7658</v>
      </c>
      <c r="C494" s="1169" t="s">
        <v>673</v>
      </c>
      <c r="D494" s="1187" t="s">
        <v>699</v>
      </c>
      <c r="E494" s="1231">
        <v>78181500</v>
      </c>
      <c r="F494" s="1172" t="s">
        <v>1088</v>
      </c>
      <c r="G494" s="1190" t="s">
        <v>1743</v>
      </c>
      <c r="H494" s="1190" t="s">
        <v>1753</v>
      </c>
      <c r="I494" s="1191" t="s">
        <v>1911</v>
      </c>
      <c r="J494" s="1192" t="s">
        <v>1842</v>
      </c>
      <c r="K494" s="1173" t="s">
        <v>678</v>
      </c>
      <c r="L494" s="1175" t="s">
        <v>1494</v>
      </c>
      <c r="M494" s="1176">
        <v>2500000000</v>
      </c>
      <c r="N494" s="1172" t="s">
        <v>725</v>
      </c>
      <c r="O494" s="1172" t="s">
        <v>1815</v>
      </c>
    </row>
    <row r="495" spans="1:18" s="1156" customFormat="1" ht="90" x14ac:dyDescent="0.25">
      <c r="A495" s="1169">
        <v>2022489</v>
      </c>
      <c r="B495" s="1169">
        <v>7658</v>
      </c>
      <c r="C495" s="1169" t="s">
        <v>673</v>
      </c>
      <c r="D495" s="1187" t="s">
        <v>699</v>
      </c>
      <c r="E495" s="1231">
        <v>78181500</v>
      </c>
      <c r="F495" s="1172" t="s">
        <v>1089</v>
      </c>
      <c r="G495" s="1190" t="s">
        <v>1743</v>
      </c>
      <c r="H495" s="1209" t="s">
        <v>1743</v>
      </c>
      <c r="I495" s="1191" t="s">
        <v>1869</v>
      </c>
      <c r="J495" s="1192" t="s">
        <v>1842</v>
      </c>
      <c r="K495" s="1173" t="s">
        <v>678</v>
      </c>
      <c r="L495" s="1175" t="s">
        <v>1494</v>
      </c>
      <c r="M495" s="1176">
        <v>750000000</v>
      </c>
      <c r="N495" s="1172" t="s">
        <v>725</v>
      </c>
      <c r="O495" s="1172" t="s">
        <v>1815</v>
      </c>
    </row>
    <row r="496" spans="1:18" s="1156" customFormat="1" ht="90" x14ac:dyDescent="0.25">
      <c r="A496" s="1169">
        <v>2022490</v>
      </c>
      <c r="B496" s="1169">
        <v>7658</v>
      </c>
      <c r="C496" s="1169" t="s">
        <v>673</v>
      </c>
      <c r="D496" s="1187" t="s">
        <v>699</v>
      </c>
      <c r="E496" s="1231">
        <v>78181500</v>
      </c>
      <c r="F496" s="1172" t="s">
        <v>1090</v>
      </c>
      <c r="G496" s="1190" t="s">
        <v>1743</v>
      </c>
      <c r="H496" s="1209" t="s">
        <v>1743</v>
      </c>
      <c r="I496" s="1191" t="s">
        <v>1912</v>
      </c>
      <c r="J496" s="1192" t="s">
        <v>1842</v>
      </c>
      <c r="K496" s="1173" t="s">
        <v>678</v>
      </c>
      <c r="L496" s="1175" t="s">
        <v>1494</v>
      </c>
      <c r="M496" s="1176">
        <v>100000000</v>
      </c>
      <c r="N496" s="1172" t="s">
        <v>725</v>
      </c>
      <c r="O496" s="1172" t="s">
        <v>1815</v>
      </c>
    </row>
    <row r="497" spans="1:18" s="1156" customFormat="1" ht="90" x14ac:dyDescent="0.25">
      <c r="A497" s="1169">
        <v>2022491</v>
      </c>
      <c r="B497" s="1169">
        <v>7658</v>
      </c>
      <c r="C497" s="1169" t="s">
        <v>673</v>
      </c>
      <c r="D497" s="1187" t="s">
        <v>699</v>
      </c>
      <c r="E497" s="1231">
        <v>25172500</v>
      </c>
      <c r="F497" s="1172" t="s">
        <v>1091</v>
      </c>
      <c r="G497" s="1190" t="s">
        <v>1743</v>
      </c>
      <c r="H497" s="1190" t="s">
        <v>1753</v>
      </c>
      <c r="I497" s="1191" t="s">
        <v>1746</v>
      </c>
      <c r="J497" s="1192" t="s">
        <v>1861</v>
      </c>
      <c r="K497" s="1173" t="s">
        <v>678</v>
      </c>
      <c r="L497" s="1175" t="s">
        <v>962</v>
      </c>
      <c r="M497" s="1176">
        <v>150000000</v>
      </c>
      <c r="N497" s="1172" t="s">
        <v>725</v>
      </c>
      <c r="O497" s="1172" t="s">
        <v>1815</v>
      </c>
    </row>
    <row r="498" spans="1:18" s="1156" customFormat="1" ht="90" x14ac:dyDescent="0.25">
      <c r="A498" s="1169">
        <v>2022492</v>
      </c>
      <c r="B498" s="1169">
        <v>7658</v>
      </c>
      <c r="C498" s="1169" t="s">
        <v>673</v>
      </c>
      <c r="D498" s="1187" t="s">
        <v>699</v>
      </c>
      <c r="E498" s="1231">
        <v>15101500</v>
      </c>
      <c r="F498" s="1172" t="s">
        <v>1092</v>
      </c>
      <c r="G498" s="1190" t="s">
        <v>1743</v>
      </c>
      <c r="H498" s="1190" t="s">
        <v>1753</v>
      </c>
      <c r="I498" s="1191" t="s">
        <v>1911</v>
      </c>
      <c r="J498" s="1192" t="s">
        <v>1817</v>
      </c>
      <c r="K498" s="1173" t="s">
        <v>678</v>
      </c>
      <c r="L498" s="1175" t="s">
        <v>1913</v>
      </c>
      <c r="M498" s="1176">
        <v>1030000000</v>
      </c>
      <c r="N498" s="1172" t="s">
        <v>725</v>
      </c>
      <c r="O498" s="1172" t="s">
        <v>1815</v>
      </c>
    </row>
    <row r="499" spans="1:18" s="1156" customFormat="1" ht="90" x14ac:dyDescent="0.25">
      <c r="A499" s="1179">
        <v>2022493</v>
      </c>
      <c r="B499" s="1179">
        <v>7658</v>
      </c>
      <c r="C499" s="1179" t="s">
        <v>673</v>
      </c>
      <c r="D499" s="1224" t="s">
        <v>699</v>
      </c>
      <c r="E499" s="1233" t="s">
        <v>1093</v>
      </c>
      <c r="F499" s="1182" t="s">
        <v>1094</v>
      </c>
      <c r="G499" s="1242" t="s">
        <v>1743</v>
      </c>
      <c r="H499" s="1242" t="s">
        <v>1753</v>
      </c>
      <c r="I499" s="1236" t="s">
        <v>1911</v>
      </c>
      <c r="J499" s="1237" t="s">
        <v>1861</v>
      </c>
      <c r="K499" s="1181" t="s">
        <v>678</v>
      </c>
      <c r="L499" s="1180" t="s">
        <v>962</v>
      </c>
      <c r="M499" s="1183">
        <f>400000000-175000000-8000000</f>
        <v>217000000</v>
      </c>
      <c r="N499" s="1182" t="s">
        <v>725</v>
      </c>
      <c r="O499" s="1182" t="s">
        <v>1815</v>
      </c>
      <c r="R499" s="1177"/>
    </row>
    <row r="500" spans="1:18" s="1156" customFormat="1" ht="90" x14ac:dyDescent="0.25">
      <c r="A500" s="1169">
        <v>2022494</v>
      </c>
      <c r="B500" s="1169">
        <v>7658</v>
      </c>
      <c r="C500" s="1169" t="s">
        <v>673</v>
      </c>
      <c r="D500" s="1187" t="s">
        <v>699</v>
      </c>
      <c r="E500" s="1231" t="s">
        <v>1914</v>
      </c>
      <c r="F500" s="1172" t="s">
        <v>1915</v>
      </c>
      <c r="G500" s="1190" t="s">
        <v>1743</v>
      </c>
      <c r="H500" s="1190" t="s">
        <v>1753</v>
      </c>
      <c r="I500" s="1191" t="s">
        <v>1810</v>
      </c>
      <c r="J500" s="1192" t="s">
        <v>1916</v>
      </c>
      <c r="K500" s="1173" t="s">
        <v>678</v>
      </c>
      <c r="L500" s="1230" t="s">
        <v>944</v>
      </c>
      <c r="M500" s="1176">
        <v>50000000</v>
      </c>
      <c r="N500" s="1172" t="s">
        <v>725</v>
      </c>
      <c r="O500" s="1172" t="s">
        <v>1815</v>
      </c>
    </row>
    <row r="501" spans="1:18" s="1156" customFormat="1" ht="90" x14ac:dyDescent="0.25">
      <c r="A501" s="1169">
        <v>2022495</v>
      </c>
      <c r="B501" s="1169">
        <v>7658</v>
      </c>
      <c r="C501" s="1169" t="s">
        <v>673</v>
      </c>
      <c r="D501" s="1187" t="s">
        <v>699</v>
      </c>
      <c r="E501" s="1231">
        <v>78181505</v>
      </c>
      <c r="F501" s="1172" t="s">
        <v>1095</v>
      </c>
      <c r="G501" s="1190" t="s">
        <v>1743</v>
      </c>
      <c r="H501" s="1190" t="s">
        <v>1753</v>
      </c>
      <c r="I501" s="1191" t="s">
        <v>1746</v>
      </c>
      <c r="J501" s="1192" t="s">
        <v>1861</v>
      </c>
      <c r="K501" s="1173" t="s">
        <v>678</v>
      </c>
      <c r="L501" s="1175" t="s">
        <v>962</v>
      </c>
      <c r="M501" s="1176">
        <v>80000000</v>
      </c>
      <c r="N501" s="1172" t="s">
        <v>725</v>
      </c>
      <c r="O501" s="1172" t="s">
        <v>1815</v>
      </c>
    </row>
    <row r="502" spans="1:18" s="1156" customFormat="1" ht="90" x14ac:dyDescent="0.25">
      <c r="A502" s="1169">
        <v>2022496</v>
      </c>
      <c r="B502" s="1169">
        <v>7658</v>
      </c>
      <c r="C502" s="1169" t="s">
        <v>673</v>
      </c>
      <c r="D502" s="1187" t="s">
        <v>699</v>
      </c>
      <c r="E502" s="1231" t="s">
        <v>1096</v>
      </c>
      <c r="F502" s="1172" t="s">
        <v>1097</v>
      </c>
      <c r="G502" s="1190" t="s">
        <v>1743</v>
      </c>
      <c r="H502" s="1190" t="s">
        <v>1753</v>
      </c>
      <c r="I502" s="1191" t="s">
        <v>1911</v>
      </c>
      <c r="J502" s="1192" t="s">
        <v>1861</v>
      </c>
      <c r="K502" s="1173" t="s">
        <v>678</v>
      </c>
      <c r="L502" s="1175" t="s">
        <v>962</v>
      </c>
      <c r="M502" s="1176">
        <v>150000000</v>
      </c>
      <c r="N502" s="1172" t="s">
        <v>725</v>
      </c>
      <c r="O502" s="1172" t="s">
        <v>1815</v>
      </c>
    </row>
    <row r="503" spans="1:18" s="1156" customFormat="1" ht="90" x14ac:dyDescent="0.25">
      <c r="A503" s="1169">
        <v>2022497</v>
      </c>
      <c r="B503" s="1169">
        <v>7658</v>
      </c>
      <c r="C503" s="1169" t="s">
        <v>673</v>
      </c>
      <c r="D503" s="1187" t="s">
        <v>699</v>
      </c>
      <c r="E503" s="1231">
        <v>72101509</v>
      </c>
      <c r="F503" s="1172" t="s">
        <v>1098</v>
      </c>
      <c r="G503" s="1190" t="s">
        <v>1743</v>
      </c>
      <c r="H503" s="1190" t="s">
        <v>1753</v>
      </c>
      <c r="I503" s="1191" t="s">
        <v>1911</v>
      </c>
      <c r="J503" s="1192" t="s">
        <v>1861</v>
      </c>
      <c r="K503" s="1173" t="s">
        <v>678</v>
      </c>
      <c r="L503" s="1175" t="s">
        <v>962</v>
      </c>
      <c r="M503" s="1176">
        <v>350000000</v>
      </c>
      <c r="N503" s="1172" t="s">
        <v>725</v>
      </c>
      <c r="O503" s="1172" t="s">
        <v>1815</v>
      </c>
    </row>
    <row r="504" spans="1:18" s="1156" customFormat="1" ht="90" x14ac:dyDescent="0.25">
      <c r="A504" s="1169">
        <v>2022498</v>
      </c>
      <c r="B504" s="1169">
        <v>7658</v>
      </c>
      <c r="C504" s="1169" t="s">
        <v>673</v>
      </c>
      <c r="D504" s="1187" t="s">
        <v>699</v>
      </c>
      <c r="E504" s="1231">
        <v>72101509</v>
      </c>
      <c r="F504" s="1172" t="s">
        <v>1917</v>
      </c>
      <c r="G504" s="1190" t="s">
        <v>1743</v>
      </c>
      <c r="H504" s="1190" t="s">
        <v>1753</v>
      </c>
      <c r="I504" s="1191" t="s">
        <v>1911</v>
      </c>
      <c r="J504" s="1192" t="s">
        <v>1918</v>
      </c>
      <c r="K504" s="1173" t="s">
        <v>678</v>
      </c>
      <c r="L504" s="1175" t="s">
        <v>962</v>
      </c>
      <c r="M504" s="1176">
        <v>300000000</v>
      </c>
      <c r="N504" s="1172" t="s">
        <v>725</v>
      </c>
      <c r="O504" s="1172" t="s">
        <v>1815</v>
      </c>
    </row>
    <row r="505" spans="1:18" s="1156" customFormat="1" ht="90" x14ac:dyDescent="0.25">
      <c r="A505" s="1179">
        <v>2022499</v>
      </c>
      <c r="B505" s="1179">
        <v>7658</v>
      </c>
      <c r="C505" s="1179" t="s">
        <v>673</v>
      </c>
      <c r="D505" s="1224" t="s">
        <v>699</v>
      </c>
      <c r="E505" s="1233">
        <v>78111800</v>
      </c>
      <c r="F505" s="1182" t="s">
        <v>1100</v>
      </c>
      <c r="G505" s="1242" t="s">
        <v>1743</v>
      </c>
      <c r="H505" s="1242" t="s">
        <v>1753</v>
      </c>
      <c r="I505" s="1236" t="s">
        <v>1911</v>
      </c>
      <c r="J505" s="1237" t="s">
        <v>1817</v>
      </c>
      <c r="K505" s="1181" t="s">
        <v>678</v>
      </c>
      <c r="L505" s="1244" t="s">
        <v>1919</v>
      </c>
      <c r="M505" s="1183">
        <f>600000000-100000000</f>
        <v>500000000</v>
      </c>
      <c r="N505" s="1182" t="s">
        <v>725</v>
      </c>
      <c r="O505" s="1182" t="s">
        <v>1815</v>
      </c>
      <c r="R505" s="1177"/>
    </row>
    <row r="506" spans="1:18" s="1156" customFormat="1" ht="90" x14ac:dyDescent="0.2">
      <c r="A506" s="1179">
        <v>2022500</v>
      </c>
      <c r="B506" s="1179">
        <v>7658</v>
      </c>
      <c r="C506" s="1262" t="s">
        <v>673</v>
      </c>
      <c r="D506" s="1224" t="s">
        <v>699</v>
      </c>
      <c r="E506" s="1233"/>
      <c r="F506" s="1182" t="s">
        <v>1101</v>
      </c>
      <c r="G506" s="1242" t="s">
        <v>1743</v>
      </c>
      <c r="H506" s="1242" t="s">
        <v>1753</v>
      </c>
      <c r="I506" s="1236" t="s">
        <v>1911</v>
      </c>
      <c r="J506" s="1263"/>
      <c r="K506" s="1181" t="s">
        <v>678</v>
      </c>
      <c r="L506" s="1264" t="s">
        <v>679</v>
      </c>
      <c r="M506" s="1185">
        <f>93500000-7475000-10000000+1700000+4300000+4225000+4500000+4120000+2750000+3605000+1595000+4225000+1985000+3605000+1985000+1595000+1225000+1595000+50000+4550000+2250000+1985000+3605000+2370000+1595000+2350000+1225000+6435000+2250000+1200000+3605000+1985000+2060000+2350000+3850000+1675000+1125000+3000000+23200000+3000000+3900000+1595000+100000000-35781881-28462255-46885058-432800</f>
        <v>188683006</v>
      </c>
      <c r="N506" s="1182" t="s">
        <v>1906</v>
      </c>
      <c r="O506" s="1182" t="s">
        <v>1815</v>
      </c>
      <c r="R506" s="1177"/>
    </row>
    <row r="507" spans="1:18" s="1156" customFormat="1" ht="90" x14ac:dyDescent="0.25">
      <c r="A507" s="1169">
        <v>2022501</v>
      </c>
      <c r="B507" s="1169">
        <v>7658</v>
      </c>
      <c r="C507" s="1265" t="s">
        <v>673</v>
      </c>
      <c r="D507" s="1187" t="s">
        <v>699</v>
      </c>
      <c r="E507" s="1231" t="s">
        <v>1920</v>
      </c>
      <c r="F507" s="1172" t="s">
        <v>1921</v>
      </c>
      <c r="G507" s="1190" t="s">
        <v>1743</v>
      </c>
      <c r="H507" s="1190" t="s">
        <v>1753</v>
      </c>
      <c r="I507" s="1191" t="s">
        <v>1911</v>
      </c>
      <c r="J507" s="1192" t="s">
        <v>1842</v>
      </c>
      <c r="K507" s="1173" t="s">
        <v>774</v>
      </c>
      <c r="L507" s="1175" t="s">
        <v>1840</v>
      </c>
      <c r="M507" s="1176">
        <v>437560000</v>
      </c>
      <c r="N507" s="1172" t="s">
        <v>725</v>
      </c>
      <c r="O507" s="1172" t="s">
        <v>1815</v>
      </c>
    </row>
    <row r="508" spans="1:18" s="1156" customFormat="1" ht="90" x14ac:dyDescent="0.25">
      <c r="A508" s="1179">
        <v>2022502</v>
      </c>
      <c r="B508" s="1179">
        <v>7658</v>
      </c>
      <c r="C508" s="1262" t="s">
        <v>673</v>
      </c>
      <c r="D508" s="1224" t="s">
        <v>699</v>
      </c>
      <c r="E508" s="1233">
        <v>80111600</v>
      </c>
      <c r="F508" s="1182" t="s">
        <v>1102</v>
      </c>
      <c r="G508" s="1242" t="s">
        <v>1743</v>
      </c>
      <c r="H508" s="1243" t="s">
        <v>1743</v>
      </c>
      <c r="I508" s="1236" t="s">
        <v>1808</v>
      </c>
      <c r="J508" s="1237" t="s">
        <v>1783</v>
      </c>
      <c r="K508" s="1181" t="s">
        <v>678</v>
      </c>
      <c r="L508" s="1180" t="s">
        <v>679</v>
      </c>
      <c r="M508" s="1183">
        <f>98900000-4300000</f>
        <v>94600000</v>
      </c>
      <c r="N508" s="1182" t="s">
        <v>725</v>
      </c>
      <c r="O508" s="1182" t="s">
        <v>1815</v>
      </c>
      <c r="R508" s="1177"/>
    </row>
    <row r="509" spans="1:18" s="1156" customFormat="1" ht="90" x14ac:dyDescent="0.25">
      <c r="A509" s="1179">
        <v>2022503</v>
      </c>
      <c r="B509" s="1179">
        <v>7658</v>
      </c>
      <c r="C509" s="1262" t="s">
        <v>673</v>
      </c>
      <c r="D509" s="1224" t="s">
        <v>699</v>
      </c>
      <c r="E509" s="1233">
        <v>80111600</v>
      </c>
      <c r="F509" s="1182" t="s">
        <v>1103</v>
      </c>
      <c r="G509" s="1242" t="s">
        <v>1743</v>
      </c>
      <c r="H509" s="1243" t="s">
        <v>1743</v>
      </c>
      <c r="I509" s="1236" t="s">
        <v>1808</v>
      </c>
      <c r="J509" s="1237" t="s">
        <v>1783</v>
      </c>
      <c r="K509" s="1181" t="s">
        <v>678</v>
      </c>
      <c r="L509" s="1180" t="s">
        <v>679</v>
      </c>
      <c r="M509" s="1183">
        <f>97175000-4225000</f>
        <v>92950000</v>
      </c>
      <c r="N509" s="1182" t="s">
        <v>725</v>
      </c>
      <c r="O509" s="1182" t="s">
        <v>1815</v>
      </c>
      <c r="R509" s="1177"/>
    </row>
    <row r="510" spans="1:18" s="1156" customFormat="1" ht="90" customHeight="1" x14ac:dyDescent="0.25">
      <c r="A510" s="1179">
        <v>2022504</v>
      </c>
      <c r="B510" s="1179">
        <v>7658</v>
      </c>
      <c r="C510" s="1262" t="s">
        <v>673</v>
      </c>
      <c r="D510" s="1224" t="s">
        <v>699</v>
      </c>
      <c r="E510" s="1233">
        <v>80111600</v>
      </c>
      <c r="F510" s="1182" t="s">
        <v>1104</v>
      </c>
      <c r="G510" s="1242" t="s">
        <v>1743</v>
      </c>
      <c r="H510" s="1243" t="s">
        <v>1743</v>
      </c>
      <c r="I510" s="1236" t="s">
        <v>1808</v>
      </c>
      <c r="J510" s="1237" t="s">
        <v>1783</v>
      </c>
      <c r="K510" s="1181" t="s">
        <v>678</v>
      </c>
      <c r="L510" s="1180" t="s">
        <v>783</v>
      </c>
      <c r="M510" s="1183">
        <f>103500000-4500000</f>
        <v>99000000</v>
      </c>
      <c r="N510" s="1182" t="s">
        <v>725</v>
      </c>
      <c r="O510" s="1182" t="s">
        <v>1815</v>
      </c>
      <c r="R510" s="1177"/>
    </row>
    <row r="511" spans="1:18" s="1156" customFormat="1" ht="90" x14ac:dyDescent="0.25">
      <c r="A511" s="1179">
        <v>2022505</v>
      </c>
      <c r="B511" s="1179">
        <v>7658</v>
      </c>
      <c r="C511" s="1262" t="s">
        <v>673</v>
      </c>
      <c r="D511" s="1224" t="s">
        <v>699</v>
      </c>
      <c r="E511" s="1233">
        <v>80111600</v>
      </c>
      <c r="F511" s="1182" t="s">
        <v>1105</v>
      </c>
      <c r="G511" s="1242" t="s">
        <v>1743</v>
      </c>
      <c r="H511" s="1243" t="s">
        <v>1743</v>
      </c>
      <c r="I511" s="1236" t="s">
        <v>1808</v>
      </c>
      <c r="J511" s="1237" t="s">
        <v>1783</v>
      </c>
      <c r="K511" s="1181" t="s">
        <v>678</v>
      </c>
      <c r="L511" s="1180" t="s">
        <v>679</v>
      </c>
      <c r="M511" s="1183">
        <f>94760000-4120000</f>
        <v>90640000</v>
      </c>
      <c r="N511" s="1182" t="s">
        <v>1906</v>
      </c>
      <c r="O511" s="1182" t="s">
        <v>1815</v>
      </c>
      <c r="R511" s="1177"/>
    </row>
    <row r="512" spans="1:18" s="1156" customFormat="1" ht="90" x14ac:dyDescent="0.25">
      <c r="A512" s="1179">
        <v>2022506</v>
      </c>
      <c r="B512" s="1179">
        <v>7658</v>
      </c>
      <c r="C512" s="1262" t="s">
        <v>673</v>
      </c>
      <c r="D512" s="1224" t="s">
        <v>699</v>
      </c>
      <c r="E512" s="1233">
        <v>80111600</v>
      </c>
      <c r="F512" s="1182" t="s">
        <v>1106</v>
      </c>
      <c r="G512" s="1242" t="s">
        <v>1743</v>
      </c>
      <c r="H512" s="1243" t="s">
        <v>1743</v>
      </c>
      <c r="I512" s="1236" t="s">
        <v>1808</v>
      </c>
      <c r="J512" s="1237" t="s">
        <v>1783</v>
      </c>
      <c r="K512" s="1181" t="s">
        <v>678</v>
      </c>
      <c r="L512" s="1181" t="s">
        <v>679</v>
      </c>
      <c r="M512" s="1183">
        <f>97175000-20700000-13225000-2750000</f>
        <v>60500000</v>
      </c>
      <c r="N512" s="1182" t="s">
        <v>725</v>
      </c>
      <c r="O512" s="1182" t="s">
        <v>1815</v>
      </c>
      <c r="R512" s="1177"/>
    </row>
    <row r="513" spans="1:18" s="1156" customFormat="1" ht="90" x14ac:dyDescent="0.25">
      <c r="A513" s="1179">
        <v>2022507</v>
      </c>
      <c r="B513" s="1179">
        <v>7658</v>
      </c>
      <c r="C513" s="1262" t="s">
        <v>673</v>
      </c>
      <c r="D513" s="1224" t="s">
        <v>699</v>
      </c>
      <c r="E513" s="1233">
        <v>80111600</v>
      </c>
      <c r="F513" s="1182" t="s">
        <v>1107</v>
      </c>
      <c r="G513" s="1242" t="s">
        <v>1743</v>
      </c>
      <c r="H513" s="1243" t="s">
        <v>1743</v>
      </c>
      <c r="I513" s="1236" t="s">
        <v>1808</v>
      </c>
      <c r="J513" s="1237" t="s">
        <v>1783</v>
      </c>
      <c r="K513" s="1181" t="s">
        <v>678</v>
      </c>
      <c r="L513" s="1180" t="s">
        <v>679</v>
      </c>
      <c r="M513" s="1183">
        <f>82915000-3605000</f>
        <v>79310000</v>
      </c>
      <c r="N513" s="1182" t="s">
        <v>725</v>
      </c>
      <c r="O513" s="1182" t="s">
        <v>1815</v>
      </c>
      <c r="R513" s="1177"/>
    </row>
    <row r="514" spans="1:18" s="1156" customFormat="1" ht="90" x14ac:dyDescent="0.25">
      <c r="A514" s="1169">
        <v>2022508</v>
      </c>
      <c r="B514" s="1169">
        <v>7658</v>
      </c>
      <c r="C514" s="1265" t="s">
        <v>673</v>
      </c>
      <c r="D514" s="1187" t="s">
        <v>699</v>
      </c>
      <c r="E514" s="1231">
        <v>80111600</v>
      </c>
      <c r="F514" s="1172" t="s">
        <v>1108</v>
      </c>
      <c r="G514" s="1190" t="s">
        <v>1743</v>
      </c>
      <c r="H514" s="1209" t="s">
        <v>1743</v>
      </c>
      <c r="I514" s="1191" t="s">
        <v>1808</v>
      </c>
      <c r="J514" s="1192" t="s">
        <v>1783</v>
      </c>
      <c r="K514" s="1173" t="s">
        <v>678</v>
      </c>
      <c r="L514" s="1175" t="s">
        <v>679</v>
      </c>
      <c r="M514" s="1176">
        <v>32200000</v>
      </c>
      <c r="N514" s="1172" t="s">
        <v>725</v>
      </c>
      <c r="O514" s="1172" t="s">
        <v>1815</v>
      </c>
    </row>
    <row r="515" spans="1:18" s="1156" customFormat="1" ht="90" customHeight="1" x14ac:dyDescent="0.25">
      <c r="A515" s="1179">
        <v>2022509</v>
      </c>
      <c r="B515" s="1179">
        <v>7658</v>
      </c>
      <c r="C515" s="1262" t="s">
        <v>673</v>
      </c>
      <c r="D515" s="1224" t="s">
        <v>699</v>
      </c>
      <c r="E515" s="1233">
        <v>80111600</v>
      </c>
      <c r="F515" s="1182" t="s">
        <v>1109</v>
      </c>
      <c r="G515" s="1242" t="s">
        <v>1743</v>
      </c>
      <c r="H515" s="1243" t="s">
        <v>1743</v>
      </c>
      <c r="I515" s="1236" t="s">
        <v>1808</v>
      </c>
      <c r="J515" s="1237" t="s">
        <v>1783</v>
      </c>
      <c r="K515" s="1181" t="s">
        <v>678</v>
      </c>
      <c r="L515" s="1180" t="s">
        <v>679</v>
      </c>
      <c r="M515" s="1183">
        <f>36685000-1595000</f>
        <v>35090000</v>
      </c>
      <c r="N515" s="1182" t="s">
        <v>1906</v>
      </c>
      <c r="O515" s="1182" t="s">
        <v>1815</v>
      </c>
      <c r="R515" s="1177"/>
    </row>
    <row r="516" spans="1:18" s="1156" customFormat="1" ht="90" customHeight="1" x14ac:dyDescent="0.25">
      <c r="A516" s="1179">
        <v>2022510</v>
      </c>
      <c r="B516" s="1179">
        <v>7658</v>
      </c>
      <c r="C516" s="1262" t="s">
        <v>673</v>
      </c>
      <c r="D516" s="1224" t="s">
        <v>699</v>
      </c>
      <c r="E516" s="1233">
        <v>80111600</v>
      </c>
      <c r="F516" s="1182" t="s">
        <v>1110</v>
      </c>
      <c r="G516" s="1242" t="s">
        <v>1743</v>
      </c>
      <c r="H516" s="1243" t="s">
        <v>1743</v>
      </c>
      <c r="I516" s="1236" t="s">
        <v>1808</v>
      </c>
      <c r="J516" s="1237" t="s">
        <v>1783</v>
      </c>
      <c r="K516" s="1181" t="s">
        <v>678</v>
      </c>
      <c r="L516" s="1180" t="s">
        <v>679</v>
      </c>
      <c r="M516" s="1183">
        <f>97175000-4225000</f>
        <v>92950000</v>
      </c>
      <c r="N516" s="1182" t="s">
        <v>1906</v>
      </c>
      <c r="O516" s="1182" t="s">
        <v>1815</v>
      </c>
      <c r="R516" s="1177"/>
    </row>
    <row r="517" spans="1:18" s="1156" customFormat="1" ht="90" customHeight="1" x14ac:dyDescent="0.25">
      <c r="A517" s="1179">
        <v>2022511</v>
      </c>
      <c r="B517" s="1179">
        <v>7658</v>
      </c>
      <c r="C517" s="1262" t="s">
        <v>673</v>
      </c>
      <c r="D517" s="1224" t="s">
        <v>699</v>
      </c>
      <c r="E517" s="1233">
        <v>80111600</v>
      </c>
      <c r="F517" s="1182" t="s">
        <v>1111</v>
      </c>
      <c r="G517" s="1242" t="s">
        <v>1743</v>
      </c>
      <c r="H517" s="1243" t="s">
        <v>1743</v>
      </c>
      <c r="I517" s="1236" t="s">
        <v>1808</v>
      </c>
      <c r="J517" s="1237" t="s">
        <v>1783</v>
      </c>
      <c r="K517" s="1181" t="s">
        <v>678</v>
      </c>
      <c r="L517" s="1180" t="s">
        <v>679</v>
      </c>
      <c r="M517" s="1183">
        <f>45655000-1985000</f>
        <v>43670000</v>
      </c>
      <c r="N517" s="1182" t="s">
        <v>1906</v>
      </c>
      <c r="O517" s="1182" t="s">
        <v>1815</v>
      </c>
      <c r="R517" s="1177"/>
    </row>
    <row r="518" spans="1:18" s="1156" customFormat="1" ht="90" customHeight="1" x14ac:dyDescent="0.25">
      <c r="A518" s="1179">
        <v>2022512</v>
      </c>
      <c r="B518" s="1179">
        <v>7658</v>
      </c>
      <c r="C518" s="1262" t="s">
        <v>673</v>
      </c>
      <c r="D518" s="1224" t="s">
        <v>699</v>
      </c>
      <c r="E518" s="1233">
        <v>80111600</v>
      </c>
      <c r="F518" s="1182" t="s">
        <v>1107</v>
      </c>
      <c r="G518" s="1242" t="s">
        <v>1743</v>
      </c>
      <c r="H518" s="1243" t="s">
        <v>1743</v>
      </c>
      <c r="I518" s="1236" t="s">
        <v>1808</v>
      </c>
      <c r="J518" s="1237" t="s">
        <v>1783</v>
      </c>
      <c r="K518" s="1181" t="s">
        <v>678</v>
      </c>
      <c r="L518" s="1180" t="s">
        <v>679</v>
      </c>
      <c r="M518" s="1183">
        <f>82915000-3605000</f>
        <v>79310000</v>
      </c>
      <c r="N518" s="1182" t="s">
        <v>725</v>
      </c>
      <c r="O518" s="1182" t="s">
        <v>1815</v>
      </c>
      <c r="R518" s="1177"/>
    </row>
    <row r="519" spans="1:18" s="1156" customFormat="1" ht="90" customHeight="1" x14ac:dyDescent="0.25">
      <c r="A519" s="1179">
        <v>2022513</v>
      </c>
      <c r="B519" s="1179">
        <v>7658</v>
      </c>
      <c r="C519" s="1262" t="s">
        <v>673</v>
      </c>
      <c r="D519" s="1224" t="s">
        <v>699</v>
      </c>
      <c r="E519" s="1233">
        <v>80111600</v>
      </c>
      <c r="F519" s="1182" t="s">
        <v>1922</v>
      </c>
      <c r="G519" s="1242" t="s">
        <v>1743</v>
      </c>
      <c r="H519" s="1243" t="s">
        <v>1743</v>
      </c>
      <c r="I519" s="1236" t="s">
        <v>1808</v>
      </c>
      <c r="J519" s="1237" t="s">
        <v>1783</v>
      </c>
      <c r="K519" s="1181" t="s">
        <v>678</v>
      </c>
      <c r="L519" s="1180" t="s">
        <v>679</v>
      </c>
      <c r="M519" s="1183">
        <f>28175000-28175000</f>
        <v>0</v>
      </c>
      <c r="N519" s="1182" t="s">
        <v>725</v>
      </c>
      <c r="O519" s="1182" t="s">
        <v>1815</v>
      </c>
      <c r="P519" s="1266"/>
      <c r="R519" s="1177"/>
    </row>
    <row r="520" spans="1:18" s="1156" customFormat="1" ht="90" customHeight="1" x14ac:dyDescent="0.25">
      <c r="A520" s="1179">
        <v>2022514</v>
      </c>
      <c r="B520" s="1179">
        <v>7658</v>
      </c>
      <c r="C520" s="1262" t="s">
        <v>673</v>
      </c>
      <c r="D520" s="1224" t="s">
        <v>699</v>
      </c>
      <c r="E520" s="1233">
        <v>80111600</v>
      </c>
      <c r="F520" s="1182" t="s">
        <v>1113</v>
      </c>
      <c r="G520" s="1242" t="s">
        <v>1743</v>
      </c>
      <c r="H520" s="1243" t="s">
        <v>1743</v>
      </c>
      <c r="I520" s="1236" t="s">
        <v>1808</v>
      </c>
      <c r="J520" s="1237" t="s">
        <v>1783</v>
      </c>
      <c r="K520" s="1181" t="s">
        <v>678</v>
      </c>
      <c r="L520" s="1180" t="s">
        <v>679</v>
      </c>
      <c r="M520" s="1183">
        <f>45655000-1985000</f>
        <v>43670000</v>
      </c>
      <c r="N520" s="1182" t="s">
        <v>1906</v>
      </c>
      <c r="O520" s="1182" t="s">
        <v>1815</v>
      </c>
      <c r="R520" s="1177"/>
    </row>
    <row r="521" spans="1:18" s="1156" customFormat="1" ht="90" x14ac:dyDescent="0.25">
      <c r="A521" s="1179">
        <v>2022515</v>
      </c>
      <c r="B521" s="1179">
        <v>7658</v>
      </c>
      <c r="C521" s="1262" t="s">
        <v>673</v>
      </c>
      <c r="D521" s="1224" t="s">
        <v>699</v>
      </c>
      <c r="E521" s="1233">
        <v>80111600</v>
      </c>
      <c r="F521" s="1182" t="s">
        <v>1114</v>
      </c>
      <c r="G521" s="1242" t="s">
        <v>1743</v>
      </c>
      <c r="H521" s="1243" t="s">
        <v>1743</v>
      </c>
      <c r="I521" s="1236" t="s">
        <v>1808</v>
      </c>
      <c r="J521" s="1237" t="s">
        <v>1783</v>
      </c>
      <c r="K521" s="1181" t="s">
        <v>678</v>
      </c>
      <c r="L521" s="1180" t="s">
        <v>679</v>
      </c>
      <c r="M521" s="1183">
        <f>36685000-1595000</f>
        <v>35090000</v>
      </c>
      <c r="N521" s="1182" t="s">
        <v>725</v>
      </c>
      <c r="O521" s="1182" t="s">
        <v>1815</v>
      </c>
      <c r="R521" s="1177"/>
    </row>
    <row r="522" spans="1:18" s="1156" customFormat="1" ht="90" x14ac:dyDescent="0.25">
      <c r="A522" s="1179">
        <v>2022516</v>
      </c>
      <c r="B522" s="1179">
        <v>7658</v>
      </c>
      <c r="C522" s="1262" t="s">
        <v>673</v>
      </c>
      <c r="D522" s="1224" t="s">
        <v>699</v>
      </c>
      <c r="E522" s="1233">
        <v>80111600</v>
      </c>
      <c r="F522" s="1182" t="s">
        <v>1115</v>
      </c>
      <c r="G522" s="1242" t="s">
        <v>1743</v>
      </c>
      <c r="H522" s="1243" t="s">
        <v>1743</v>
      </c>
      <c r="I522" s="1236" t="s">
        <v>1808</v>
      </c>
      <c r="J522" s="1237" t="s">
        <v>1783</v>
      </c>
      <c r="K522" s="1181" t="s">
        <v>678</v>
      </c>
      <c r="L522" s="1180" t="s">
        <v>679</v>
      </c>
      <c r="M522" s="1183">
        <f>28175000-1225000</f>
        <v>26950000</v>
      </c>
      <c r="N522" s="1182" t="s">
        <v>1906</v>
      </c>
      <c r="O522" s="1182" t="s">
        <v>1815</v>
      </c>
      <c r="R522" s="1177"/>
    </row>
    <row r="523" spans="1:18" s="1156" customFormat="1" ht="90" x14ac:dyDescent="0.25">
      <c r="A523" s="1179">
        <v>2022517</v>
      </c>
      <c r="B523" s="1179">
        <v>7658</v>
      </c>
      <c r="C523" s="1262" t="s">
        <v>673</v>
      </c>
      <c r="D523" s="1224" t="s">
        <v>699</v>
      </c>
      <c r="E523" s="1233">
        <v>80111600</v>
      </c>
      <c r="F523" s="1182" t="s">
        <v>1116</v>
      </c>
      <c r="G523" s="1242" t="s">
        <v>1743</v>
      </c>
      <c r="H523" s="1243" t="s">
        <v>1743</v>
      </c>
      <c r="I523" s="1236" t="s">
        <v>1808</v>
      </c>
      <c r="J523" s="1237" t="s">
        <v>1783</v>
      </c>
      <c r="K523" s="1181" t="s">
        <v>678</v>
      </c>
      <c r="L523" s="1180" t="s">
        <v>679</v>
      </c>
      <c r="M523" s="1183">
        <f>36685000-1595000</f>
        <v>35090000</v>
      </c>
      <c r="N523" s="1182" t="s">
        <v>725</v>
      </c>
      <c r="O523" s="1182" t="s">
        <v>1815</v>
      </c>
      <c r="R523" s="1177"/>
    </row>
    <row r="524" spans="1:18" s="1156" customFormat="1" ht="90" x14ac:dyDescent="0.25">
      <c r="A524" s="1179">
        <v>2022518</v>
      </c>
      <c r="B524" s="1179">
        <v>7658</v>
      </c>
      <c r="C524" s="1262" t="s">
        <v>673</v>
      </c>
      <c r="D524" s="1224" t="s">
        <v>699</v>
      </c>
      <c r="E524" s="1233">
        <v>80111600</v>
      </c>
      <c r="F524" s="1182" t="s">
        <v>1117</v>
      </c>
      <c r="G524" s="1242" t="s">
        <v>1743</v>
      </c>
      <c r="H524" s="1243" t="s">
        <v>1743</v>
      </c>
      <c r="I524" s="1236" t="s">
        <v>1808</v>
      </c>
      <c r="J524" s="1237" t="s">
        <v>1783</v>
      </c>
      <c r="K524" s="1181" t="s">
        <v>678</v>
      </c>
      <c r="L524" s="1181" t="s">
        <v>679</v>
      </c>
      <c r="M524" s="1183">
        <f>51750000-50000</f>
        <v>51700000</v>
      </c>
      <c r="N524" s="1182" t="s">
        <v>725</v>
      </c>
      <c r="O524" s="1182" t="s">
        <v>1815</v>
      </c>
      <c r="R524" s="1177"/>
    </row>
    <row r="525" spans="1:18" s="1156" customFormat="1" ht="90" x14ac:dyDescent="0.25">
      <c r="A525" s="1179">
        <v>2022519</v>
      </c>
      <c r="B525" s="1179">
        <v>7658</v>
      </c>
      <c r="C525" s="1262" t="s">
        <v>673</v>
      </c>
      <c r="D525" s="1224" t="s">
        <v>699</v>
      </c>
      <c r="E525" s="1233">
        <v>80111600</v>
      </c>
      <c r="F525" s="1182" t="s">
        <v>1118</v>
      </c>
      <c r="G525" s="1242" t="s">
        <v>1743</v>
      </c>
      <c r="H525" s="1243" t="s">
        <v>1743</v>
      </c>
      <c r="I525" s="1236" t="s">
        <v>1808</v>
      </c>
      <c r="J525" s="1237" t="s">
        <v>1783</v>
      </c>
      <c r="K525" s="1181" t="s">
        <v>678</v>
      </c>
      <c r="L525" s="1180" t="s">
        <v>679</v>
      </c>
      <c r="M525" s="1183">
        <f>54050000-4550000</f>
        <v>49500000</v>
      </c>
      <c r="N525" s="1182" t="s">
        <v>1906</v>
      </c>
      <c r="O525" s="1182" t="s">
        <v>1815</v>
      </c>
      <c r="R525" s="1177"/>
    </row>
    <row r="526" spans="1:18" s="1156" customFormat="1" ht="90" x14ac:dyDescent="0.25">
      <c r="A526" s="1179">
        <v>2022520</v>
      </c>
      <c r="B526" s="1179">
        <v>7658</v>
      </c>
      <c r="C526" s="1262" t="s">
        <v>673</v>
      </c>
      <c r="D526" s="1224" t="s">
        <v>699</v>
      </c>
      <c r="E526" s="1233">
        <v>80111600</v>
      </c>
      <c r="F526" s="1182" t="s">
        <v>1119</v>
      </c>
      <c r="G526" s="1242" t="s">
        <v>1743</v>
      </c>
      <c r="H526" s="1243" t="s">
        <v>1743</v>
      </c>
      <c r="I526" s="1236" t="s">
        <v>1808</v>
      </c>
      <c r="J526" s="1237" t="s">
        <v>1783</v>
      </c>
      <c r="K526" s="1181" t="s">
        <v>678</v>
      </c>
      <c r="L526" s="1180" t="s">
        <v>679</v>
      </c>
      <c r="M526" s="1183">
        <f>51750000-2250000</f>
        <v>49500000</v>
      </c>
      <c r="N526" s="1182" t="s">
        <v>725</v>
      </c>
      <c r="O526" s="1182" t="s">
        <v>1815</v>
      </c>
      <c r="R526" s="1177"/>
    </row>
    <row r="527" spans="1:18" s="1156" customFormat="1" ht="90" x14ac:dyDescent="0.25">
      <c r="A527" s="1179">
        <v>2022521</v>
      </c>
      <c r="B527" s="1179">
        <v>7658</v>
      </c>
      <c r="C527" s="1262" t="s">
        <v>673</v>
      </c>
      <c r="D527" s="1224" t="s">
        <v>699</v>
      </c>
      <c r="E527" s="1233">
        <v>80111600</v>
      </c>
      <c r="F527" s="1182" t="s">
        <v>1120</v>
      </c>
      <c r="G527" s="1242" t="s">
        <v>1743</v>
      </c>
      <c r="H527" s="1243" t="s">
        <v>1743</v>
      </c>
      <c r="I527" s="1236" t="s">
        <v>1808</v>
      </c>
      <c r="J527" s="1237" t="s">
        <v>1783</v>
      </c>
      <c r="K527" s="1181" t="s">
        <v>678</v>
      </c>
      <c r="L527" s="1180" t="s">
        <v>679</v>
      </c>
      <c r="M527" s="1183">
        <f>45655000-1985000</f>
        <v>43670000</v>
      </c>
      <c r="N527" s="1182" t="s">
        <v>725</v>
      </c>
      <c r="O527" s="1182" t="s">
        <v>1815</v>
      </c>
      <c r="R527" s="1177"/>
    </row>
    <row r="528" spans="1:18" s="1156" customFormat="1" ht="90" x14ac:dyDescent="0.25">
      <c r="A528" s="1179">
        <v>2022522</v>
      </c>
      <c r="B528" s="1179">
        <v>7658</v>
      </c>
      <c r="C528" s="1262" t="s">
        <v>673</v>
      </c>
      <c r="D528" s="1224" t="s">
        <v>699</v>
      </c>
      <c r="E528" s="1233">
        <v>80111600</v>
      </c>
      <c r="F528" s="1182" t="s">
        <v>1107</v>
      </c>
      <c r="G528" s="1242" t="s">
        <v>1743</v>
      </c>
      <c r="H528" s="1243" t="s">
        <v>1743</v>
      </c>
      <c r="I528" s="1236" t="s">
        <v>1808</v>
      </c>
      <c r="J528" s="1237" t="s">
        <v>1783</v>
      </c>
      <c r="K528" s="1181" t="s">
        <v>678</v>
      </c>
      <c r="L528" s="1180" t="s">
        <v>679</v>
      </c>
      <c r="M528" s="1183">
        <f>82915000-3605000</f>
        <v>79310000</v>
      </c>
      <c r="N528" s="1182" t="s">
        <v>725</v>
      </c>
      <c r="O528" s="1182" t="s">
        <v>1815</v>
      </c>
      <c r="R528" s="1177"/>
    </row>
    <row r="529" spans="1:18" s="1156" customFormat="1" ht="90" x14ac:dyDescent="0.25">
      <c r="A529" s="1179">
        <v>2022523</v>
      </c>
      <c r="B529" s="1179">
        <v>7658</v>
      </c>
      <c r="C529" s="1262" t="s">
        <v>673</v>
      </c>
      <c r="D529" s="1224" t="s">
        <v>699</v>
      </c>
      <c r="E529" s="1233">
        <v>80111600</v>
      </c>
      <c r="F529" s="1182" t="s">
        <v>1121</v>
      </c>
      <c r="G529" s="1242" t="s">
        <v>1743</v>
      </c>
      <c r="H529" s="1243" t="s">
        <v>1743</v>
      </c>
      <c r="I529" s="1236" t="s">
        <v>1808</v>
      </c>
      <c r="J529" s="1237" t="s">
        <v>1783</v>
      </c>
      <c r="K529" s="1181" t="s">
        <v>678</v>
      </c>
      <c r="L529" s="1180" t="s">
        <v>783</v>
      </c>
      <c r="M529" s="1183">
        <f>54510000-2370000</f>
        <v>52140000</v>
      </c>
      <c r="N529" s="1182" t="s">
        <v>1906</v>
      </c>
      <c r="O529" s="1182" t="s">
        <v>1815</v>
      </c>
      <c r="R529" s="1177"/>
    </row>
    <row r="530" spans="1:18" s="1156" customFormat="1" ht="90" x14ac:dyDescent="0.25">
      <c r="A530" s="1179">
        <v>2022524</v>
      </c>
      <c r="B530" s="1179">
        <v>7658</v>
      </c>
      <c r="C530" s="1262" t="s">
        <v>673</v>
      </c>
      <c r="D530" s="1224" t="s">
        <v>699</v>
      </c>
      <c r="E530" s="1233">
        <v>80111600</v>
      </c>
      <c r="F530" s="1182" t="s">
        <v>1122</v>
      </c>
      <c r="G530" s="1242" t="s">
        <v>1743</v>
      </c>
      <c r="H530" s="1243" t="s">
        <v>1743</v>
      </c>
      <c r="I530" s="1236" t="s">
        <v>1808</v>
      </c>
      <c r="J530" s="1237" t="s">
        <v>1783</v>
      </c>
      <c r="K530" s="1181" t="s">
        <v>678</v>
      </c>
      <c r="L530" s="1180" t="s">
        <v>679</v>
      </c>
      <c r="M530" s="1183">
        <f>36685000-1595000</f>
        <v>35090000</v>
      </c>
      <c r="N530" s="1182" t="s">
        <v>725</v>
      </c>
      <c r="O530" s="1182" t="s">
        <v>1815</v>
      </c>
    </row>
    <row r="531" spans="1:18" s="1156" customFormat="1" ht="90" x14ac:dyDescent="0.25">
      <c r="A531" s="1179">
        <v>2022525</v>
      </c>
      <c r="B531" s="1179">
        <v>7658</v>
      </c>
      <c r="C531" s="1262" t="s">
        <v>673</v>
      </c>
      <c r="D531" s="1224" t="s">
        <v>699</v>
      </c>
      <c r="E531" s="1233">
        <v>80111600</v>
      </c>
      <c r="F531" s="1182" t="s">
        <v>1123</v>
      </c>
      <c r="G531" s="1242" t="s">
        <v>1743</v>
      </c>
      <c r="H531" s="1243" t="s">
        <v>1743</v>
      </c>
      <c r="I531" s="1236" t="s">
        <v>1808</v>
      </c>
      <c r="J531" s="1237" t="s">
        <v>1783</v>
      </c>
      <c r="K531" s="1181" t="s">
        <v>678</v>
      </c>
      <c r="L531" s="1180" t="s">
        <v>679</v>
      </c>
      <c r="M531" s="1183">
        <f>54050000-2350000</f>
        <v>51700000</v>
      </c>
      <c r="N531" s="1182" t="s">
        <v>725</v>
      </c>
      <c r="O531" s="1182" t="s">
        <v>1815</v>
      </c>
    </row>
    <row r="532" spans="1:18" s="1156" customFormat="1" ht="90" x14ac:dyDescent="0.25">
      <c r="A532" s="1179">
        <v>2022526</v>
      </c>
      <c r="B532" s="1179">
        <v>7658</v>
      </c>
      <c r="C532" s="1262" t="s">
        <v>673</v>
      </c>
      <c r="D532" s="1224" t="s">
        <v>699</v>
      </c>
      <c r="E532" s="1233">
        <v>80111600</v>
      </c>
      <c r="F532" s="1182" t="s">
        <v>1124</v>
      </c>
      <c r="G532" s="1242" t="s">
        <v>1743</v>
      </c>
      <c r="H532" s="1243" t="s">
        <v>1743</v>
      </c>
      <c r="I532" s="1236" t="s">
        <v>1808</v>
      </c>
      <c r="J532" s="1237" t="s">
        <v>1783</v>
      </c>
      <c r="K532" s="1181" t="s">
        <v>678</v>
      </c>
      <c r="L532" s="1180" t="s">
        <v>679</v>
      </c>
      <c r="M532" s="1183">
        <f>28175000-1225000</f>
        <v>26950000</v>
      </c>
      <c r="N532" s="1182" t="s">
        <v>725</v>
      </c>
      <c r="O532" s="1182" t="s">
        <v>1815</v>
      </c>
    </row>
    <row r="533" spans="1:18" s="1156" customFormat="1" ht="90" x14ac:dyDescent="0.25">
      <c r="A533" s="1179">
        <v>2022527</v>
      </c>
      <c r="B533" s="1179">
        <v>7658</v>
      </c>
      <c r="C533" s="1262" t="s">
        <v>673</v>
      </c>
      <c r="D533" s="1224" t="s">
        <v>699</v>
      </c>
      <c r="E533" s="1233">
        <v>80111600</v>
      </c>
      <c r="F533" s="1182" t="s">
        <v>1125</v>
      </c>
      <c r="G533" s="1242" t="s">
        <v>1743</v>
      </c>
      <c r="H533" s="1243" t="s">
        <v>1743</v>
      </c>
      <c r="I533" s="1236" t="s">
        <v>1808</v>
      </c>
      <c r="J533" s="1237" t="s">
        <v>1783</v>
      </c>
      <c r="K533" s="1181" t="s">
        <v>678</v>
      </c>
      <c r="L533" s="1180" t="s">
        <v>679</v>
      </c>
      <c r="M533" s="1185">
        <f>36685000+28175000-6435000</f>
        <v>58425000</v>
      </c>
      <c r="N533" s="1182" t="s">
        <v>725</v>
      </c>
      <c r="O533" s="1182" t="s">
        <v>1815</v>
      </c>
      <c r="P533" s="1245"/>
    </row>
    <row r="534" spans="1:18" s="1156" customFormat="1" ht="90" x14ac:dyDescent="0.25">
      <c r="A534" s="1179">
        <v>2022528</v>
      </c>
      <c r="B534" s="1179">
        <v>7658</v>
      </c>
      <c r="C534" s="1262" t="s">
        <v>673</v>
      </c>
      <c r="D534" s="1224" t="s">
        <v>699</v>
      </c>
      <c r="E534" s="1233">
        <v>80111600</v>
      </c>
      <c r="F534" s="1182" t="s">
        <v>1126</v>
      </c>
      <c r="G534" s="1242" t="s">
        <v>1743</v>
      </c>
      <c r="H534" s="1243" t="s">
        <v>1743</v>
      </c>
      <c r="I534" s="1236" t="s">
        <v>1808</v>
      </c>
      <c r="J534" s="1237" t="s">
        <v>1783</v>
      </c>
      <c r="K534" s="1181" t="s">
        <v>678</v>
      </c>
      <c r="L534" s="1180" t="s">
        <v>679</v>
      </c>
      <c r="M534" s="1183">
        <f>51750000-2250000</f>
        <v>49500000</v>
      </c>
      <c r="N534" s="1182" t="s">
        <v>725</v>
      </c>
      <c r="O534" s="1182" t="s">
        <v>1815</v>
      </c>
    </row>
    <row r="535" spans="1:18" s="1156" customFormat="1" ht="90" x14ac:dyDescent="0.25">
      <c r="A535" s="1179">
        <v>2022529</v>
      </c>
      <c r="B535" s="1179">
        <v>7658</v>
      </c>
      <c r="C535" s="1262" t="s">
        <v>673</v>
      </c>
      <c r="D535" s="1224" t="s">
        <v>699</v>
      </c>
      <c r="E535" s="1233">
        <v>80111600</v>
      </c>
      <c r="F535" s="1182" t="s">
        <v>1127</v>
      </c>
      <c r="G535" s="1242" t="s">
        <v>1743</v>
      </c>
      <c r="H535" s="1243" t="s">
        <v>1743</v>
      </c>
      <c r="I535" s="1236" t="s">
        <v>1808</v>
      </c>
      <c r="J535" s="1237" t="s">
        <v>1783</v>
      </c>
      <c r="K535" s="1181" t="s">
        <v>678</v>
      </c>
      <c r="L535" s="1181" t="s">
        <v>679</v>
      </c>
      <c r="M535" s="1185">
        <f>48300000+20700000-1200000</f>
        <v>67800000</v>
      </c>
      <c r="N535" s="1182" t="s">
        <v>725</v>
      </c>
      <c r="O535" s="1182" t="s">
        <v>1815</v>
      </c>
      <c r="P535" s="1245"/>
    </row>
    <row r="536" spans="1:18" s="1156" customFormat="1" ht="90" x14ac:dyDescent="0.25">
      <c r="A536" s="1179">
        <v>2022530</v>
      </c>
      <c r="B536" s="1179">
        <v>7658</v>
      </c>
      <c r="C536" s="1262" t="s">
        <v>673</v>
      </c>
      <c r="D536" s="1224" t="s">
        <v>699</v>
      </c>
      <c r="E536" s="1233">
        <v>80111600</v>
      </c>
      <c r="F536" s="1182" t="s">
        <v>1107</v>
      </c>
      <c r="G536" s="1242" t="s">
        <v>1743</v>
      </c>
      <c r="H536" s="1243" t="s">
        <v>1743</v>
      </c>
      <c r="I536" s="1236" t="s">
        <v>1808</v>
      </c>
      <c r="J536" s="1237" t="s">
        <v>1783</v>
      </c>
      <c r="K536" s="1181" t="s">
        <v>678</v>
      </c>
      <c r="L536" s="1180" t="s">
        <v>679</v>
      </c>
      <c r="M536" s="1183">
        <f>82915000-3605000</f>
        <v>79310000</v>
      </c>
      <c r="N536" s="1182" t="s">
        <v>725</v>
      </c>
      <c r="O536" s="1182" t="s">
        <v>1815</v>
      </c>
    </row>
    <row r="537" spans="1:18" s="1156" customFormat="1" ht="90" x14ac:dyDescent="0.25">
      <c r="A537" s="1179">
        <v>2022531</v>
      </c>
      <c r="B537" s="1179">
        <v>7658</v>
      </c>
      <c r="C537" s="1262" t="s">
        <v>673</v>
      </c>
      <c r="D537" s="1224" t="s">
        <v>699</v>
      </c>
      <c r="E537" s="1233">
        <v>80111600</v>
      </c>
      <c r="F537" s="1182" t="s">
        <v>1128</v>
      </c>
      <c r="G537" s="1242" t="s">
        <v>1743</v>
      </c>
      <c r="H537" s="1243" t="s">
        <v>1743</v>
      </c>
      <c r="I537" s="1236" t="s">
        <v>1808</v>
      </c>
      <c r="J537" s="1237" t="s">
        <v>1783</v>
      </c>
      <c r="K537" s="1181" t="s">
        <v>678</v>
      </c>
      <c r="L537" s="1180" t="s">
        <v>679</v>
      </c>
      <c r="M537" s="1183">
        <f>45655000-1985000</f>
        <v>43670000</v>
      </c>
      <c r="N537" s="1182" t="s">
        <v>1906</v>
      </c>
      <c r="O537" s="1182" t="s">
        <v>1815</v>
      </c>
    </row>
    <row r="538" spans="1:18" s="1156" customFormat="1" ht="90" x14ac:dyDescent="0.25">
      <c r="A538" s="1179">
        <v>2022532</v>
      </c>
      <c r="B538" s="1179">
        <v>7658</v>
      </c>
      <c r="C538" s="1262" t="s">
        <v>673</v>
      </c>
      <c r="D538" s="1224" t="s">
        <v>699</v>
      </c>
      <c r="E538" s="1233">
        <v>80111600</v>
      </c>
      <c r="F538" s="1182" t="s">
        <v>1129</v>
      </c>
      <c r="G538" s="1242" t="s">
        <v>1743</v>
      </c>
      <c r="H538" s="1243" t="s">
        <v>1743</v>
      </c>
      <c r="I538" s="1236" t="s">
        <v>1808</v>
      </c>
      <c r="J538" s="1237" t="s">
        <v>1783</v>
      </c>
      <c r="K538" s="1181" t="s">
        <v>678</v>
      </c>
      <c r="L538" s="1180" t="s">
        <v>679</v>
      </c>
      <c r="M538" s="1183">
        <f>47380000-2060000</f>
        <v>45320000</v>
      </c>
      <c r="N538" s="1182" t="s">
        <v>1906</v>
      </c>
      <c r="O538" s="1182" t="s">
        <v>1815</v>
      </c>
    </row>
    <row r="539" spans="1:18" s="1156" customFormat="1" ht="90" x14ac:dyDescent="0.25">
      <c r="A539" s="1179">
        <v>2022533</v>
      </c>
      <c r="B539" s="1179">
        <v>7658</v>
      </c>
      <c r="C539" s="1262" t="s">
        <v>673</v>
      </c>
      <c r="D539" s="1224" t="s">
        <v>699</v>
      </c>
      <c r="E539" s="1233">
        <v>80111600</v>
      </c>
      <c r="F539" s="1182" t="s">
        <v>1130</v>
      </c>
      <c r="G539" s="1242" t="s">
        <v>1743</v>
      </c>
      <c r="H539" s="1243" t="s">
        <v>1743</v>
      </c>
      <c r="I539" s="1236" t="s">
        <v>1808</v>
      </c>
      <c r="J539" s="1237" t="s">
        <v>1783</v>
      </c>
      <c r="K539" s="1181" t="s">
        <v>678</v>
      </c>
      <c r="L539" s="1180" t="s">
        <v>679</v>
      </c>
      <c r="M539" s="1183">
        <f>54050000-2350000</f>
        <v>51700000</v>
      </c>
      <c r="N539" s="1182" t="s">
        <v>1906</v>
      </c>
      <c r="O539" s="1182" t="s">
        <v>1815</v>
      </c>
    </row>
    <row r="540" spans="1:18" s="1156" customFormat="1" ht="90" x14ac:dyDescent="0.25">
      <c r="A540" s="1179">
        <v>2022534</v>
      </c>
      <c r="B540" s="1179">
        <v>7658</v>
      </c>
      <c r="C540" s="1262" t="s">
        <v>673</v>
      </c>
      <c r="D540" s="1224" t="s">
        <v>699</v>
      </c>
      <c r="E540" s="1233">
        <v>80111600</v>
      </c>
      <c r="F540" s="1182" t="s">
        <v>1131</v>
      </c>
      <c r="G540" s="1242" t="s">
        <v>1743</v>
      </c>
      <c r="H540" s="1243" t="s">
        <v>1743</v>
      </c>
      <c r="I540" s="1236" t="s">
        <v>1808</v>
      </c>
      <c r="J540" s="1237" t="s">
        <v>1783</v>
      </c>
      <c r="K540" s="1181" t="s">
        <v>678</v>
      </c>
      <c r="L540" s="1180" t="s">
        <v>783</v>
      </c>
      <c r="M540" s="1183">
        <f>88550000-3850000</f>
        <v>84700000</v>
      </c>
      <c r="N540" s="1182" t="s">
        <v>725</v>
      </c>
      <c r="O540" s="1182" t="s">
        <v>1815</v>
      </c>
    </row>
    <row r="541" spans="1:18" s="1156" customFormat="1" ht="90" x14ac:dyDescent="0.25">
      <c r="A541" s="1179">
        <v>2022535</v>
      </c>
      <c r="B541" s="1179">
        <v>7658</v>
      </c>
      <c r="C541" s="1262" t="s">
        <v>673</v>
      </c>
      <c r="D541" s="1224" t="s">
        <v>699</v>
      </c>
      <c r="E541" s="1233">
        <v>80111600</v>
      </c>
      <c r="F541" s="1182" t="s">
        <v>1132</v>
      </c>
      <c r="G541" s="1242" t="s">
        <v>1743</v>
      </c>
      <c r="H541" s="1243" t="s">
        <v>1743</v>
      </c>
      <c r="I541" s="1236" t="s">
        <v>1808</v>
      </c>
      <c r="J541" s="1237" t="s">
        <v>1783</v>
      </c>
      <c r="K541" s="1181" t="s">
        <v>678</v>
      </c>
      <c r="L541" s="1180" t="s">
        <v>679</v>
      </c>
      <c r="M541" s="1183">
        <f>38525000-1675000</f>
        <v>36850000</v>
      </c>
      <c r="N541" s="1182" t="s">
        <v>725</v>
      </c>
      <c r="O541" s="1182" t="s">
        <v>1815</v>
      </c>
    </row>
    <row r="542" spans="1:18" s="1156" customFormat="1" ht="90" x14ac:dyDescent="0.25">
      <c r="A542" s="1179">
        <v>2022536</v>
      </c>
      <c r="B542" s="1179">
        <v>7658</v>
      </c>
      <c r="C542" s="1262" t="s">
        <v>673</v>
      </c>
      <c r="D542" s="1224" t="s">
        <v>699</v>
      </c>
      <c r="E542" s="1233">
        <v>80111600</v>
      </c>
      <c r="F542" s="1182" t="s">
        <v>1133</v>
      </c>
      <c r="G542" s="1242" t="s">
        <v>1743</v>
      </c>
      <c r="H542" s="1243" t="s">
        <v>1743</v>
      </c>
      <c r="I542" s="1236" t="s">
        <v>1808</v>
      </c>
      <c r="J542" s="1237" t="s">
        <v>1783</v>
      </c>
      <c r="K542" s="1181" t="s">
        <v>678</v>
      </c>
      <c r="L542" s="1180" t="s">
        <v>679</v>
      </c>
      <c r="M542" s="1183">
        <f>38525000-1125000</f>
        <v>37400000</v>
      </c>
      <c r="N542" s="1182" t="s">
        <v>725</v>
      </c>
      <c r="O542" s="1182" t="s">
        <v>1815</v>
      </c>
    </row>
    <row r="543" spans="1:18" s="1156" customFormat="1" ht="90" x14ac:dyDescent="0.25">
      <c r="A543" s="1179">
        <v>2022537</v>
      </c>
      <c r="B543" s="1179">
        <v>7658</v>
      </c>
      <c r="C543" s="1262" t="s">
        <v>673</v>
      </c>
      <c r="D543" s="1224" t="s">
        <v>699</v>
      </c>
      <c r="E543" s="1233">
        <v>80111600</v>
      </c>
      <c r="F543" s="1182" t="s">
        <v>1134</v>
      </c>
      <c r="G543" s="1242" t="s">
        <v>1743</v>
      </c>
      <c r="H543" s="1243" t="s">
        <v>1743</v>
      </c>
      <c r="I543" s="1236" t="s">
        <v>1808</v>
      </c>
      <c r="J543" s="1237" t="s">
        <v>1783</v>
      </c>
      <c r="K543" s="1181" t="s">
        <v>678</v>
      </c>
      <c r="L543" s="1181" t="s">
        <v>679</v>
      </c>
      <c r="M543" s="1183">
        <f>48300000+13225000+7475000-3000000</f>
        <v>66000000</v>
      </c>
      <c r="N543" s="1182" t="s">
        <v>1906</v>
      </c>
      <c r="O543" s="1182" t="s">
        <v>1815</v>
      </c>
    </row>
    <row r="544" spans="1:18" s="1156" customFormat="1" ht="90" x14ac:dyDescent="0.25">
      <c r="A544" s="1179">
        <v>2022538</v>
      </c>
      <c r="B544" s="1179">
        <v>7658</v>
      </c>
      <c r="C544" s="1179" t="s">
        <v>673</v>
      </c>
      <c r="D544" s="1224" t="s">
        <v>699</v>
      </c>
      <c r="E544" s="1233">
        <v>80111600</v>
      </c>
      <c r="F544" s="1182" t="s">
        <v>1135</v>
      </c>
      <c r="G544" s="1242" t="s">
        <v>1743</v>
      </c>
      <c r="H544" s="1243" t="s">
        <v>1743</v>
      </c>
      <c r="I544" s="1236" t="s">
        <v>1808</v>
      </c>
      <c r="J544" s="1237" t="s">
        <v>1783</v>
      </c>
      <c r="K544" s="1181" t="s">
        <v>678</v>
      </c>
      <c r="L544" s="1180" t="s">
        <v>679</v>
      </c>
      <c r="M544" s="1183">
        <f>65550000-23200000</f>
        <v>42350000</v>
      </c>
      <c r="N544" s="1182" t="s">
        <v>725</v>
      </c>
      <c r="O544" s="1182" t="s">
        <v>1815</v>
      </c>
    </row>
    <row r="545" spans="1:18" s="1156" customFormat="1" ht="90" x14ac:dyDescent="0.25">
      <c r="A545" s="1179">
        <v>2022539</v>
      </c>
      <c r="B545" s="1179">
        <v>7658</v>
      </c>
      <c r="C545" s="1179" t="s">
        <v>673</v>
      </c>
      <c r="D545" s="1224" t="s">
        <v>699</v>
      </c>
      <c r="E545" s="1233">
        <v>80111600</v>
      </c>
      <c r="F545" s="1182" t="s">
        <v>1136</v>
      </c>
      <c r="G545" s="1242" t="s">
        <v>1743</v>
      </c>
      <c r="H545" s="1243" t="s">
        <v>1743</v>
      </c>
      <c r="I545" s="1236" t="s">
        <v>1808</v>
      </c>
      <c r="J545" s="1237" t="s">
        <v>1783</v>
      </c>
      <c r="K545" s="1181" t="s">
        <v>678</v>
      </c>
      <c r="L545" s="1180" t="s">
        <v>679</v>
      </c>
      <c r="M545" s="1183">
        <f>69000000-3000000</f>
        <v>66000000</v>
      </c>
      <c r="N545" s="1182" t="s">
        <v>725</v>
      </c>
      <c r="O545" s="1182" t="s">
        <v>1815</v>
      </c>
    </row>
    <row r="546" spans="1:18" s="1156" customFormat="1" ht="90" x14ac:dyDescent="0.25">
      <c r="A546" s="1179">
        <v>2022540</v>
      </c>
      <c r="B546" s="1179">
        <v>7658</v>
      </c>
      <c r="C546" s="1179" t="s">
        <v>673</v>
      </c>
      <c r="D546" s="1224" t="s">
        <v>699</v>
      </c>
      <c r="E546" s="1233">
        <v>80111600</v>
      </c>
      <c r="F546" s="1182" t="s">
        <v>1137</v>
      </c>
      <c r="G546" s="1242" t="s">
        <v>1743</v>
      </c>
      <c r="H546" s="1243" t="s">
        <v>1743</v>
      </c>
      <c r="I546" s="1236" t="s">
        <v>1808</v>
      </c>
      <c r="J546" s="1237" t="s">
        <v>1783</v>
      </c>
      <c r="K546" s="1181" t="s">
        <v>678</v>
      </c>
      <c r="L546" s="1180" t="s">
        <v>679</v>
      </c>
      <c r="M546" s="1183">
        <f>39100000-3900000</f>
        <v>35200000</v>
      </c>
      <c r="N546" s="1182" t="s">
        <v>725</v>
      </c>
      <c r="O546" s="1182" t="s">
        <v>1815</v>
      </c>
    </row>
    <row r="547" spans="1:18" s="1156" customFormat="1" ht="90" x14ac:dyDescent="0.25">
      <c r="A547" s="1179">
        <v>2022541</v>
      </c>
      <c r="B547" s="1179">
        <v>7658</v>
      </c>
      <c r="C547" s="1179" t="s">
        <v>673</v>
      </c>
      <c r="D547" s="1224" t="s">
        <v>699</v>
      </c>
      <c r="E547" s="1233">
        <v>80111600</v>
      </c>
      <c r="F547" s="1182" t="s">
        <v>1138</v>
      </c>
      <c r="G547" s="1242" t="s">
        <v>1743</v>
      </c>
      <c r="H547" s="1243" t="s">
        <v>1743</v>
      </c>
      <c r="I547" s="1236" t="s">
        <v>1808</v>
      </c>
      <c r="J547" s="1237" t="s">
        <v>1783</v>
      </c>
      <c r="K547" s="1181" t="s">
        <v>678</v>
      </c>
      <c r="L547" s="1180" t="s">
        <v>679</v>
      </c>
      <c r="M547" s="1183">
        <f>36685000-1595000</f>
        <v>35090000</v>
      </c>
      <c r="N547" s="1182" t="s">
        <v>725</v>
      </c>
      <c r="O547" s="1182" t="s">
        <v>1815</v>
      </c>
    </row>
    <row r="548" spans="1:18" ht="60" x14ac:dyDescent="0.2">
      <c r="A548" s="1169">
        <v>2022542</v>
      </c>
      <c r="B548" s="1267" t="s">
        <v>459</v>
      </c>
      <c r="C548" s="1267"/>
      <c r="D548" s="1187" t="s">
        <v>690</v>
      </c>
      <c r="E548" s="1218" t="s">
        <v>1139</v>
      </c>
      <c r="F548" s="1194" t="s">
        <v>1140</v>
      </c>
      <c r="G548" s="1265" t="s">
        <v>1872</v>
      </c>
      <c r="H548" s="1265" t="s">
        <v>1872</v>
      </c>
      <c r="I548" s="1265" t="s">
        <v>1923</v>
      </c>
      <c r="J548" s="1265" t="s">
        <v>1760</v>
      </c>
      <c r="K548" s="1173" t="s">
        <v>43</v>
      </c>
      <c r="L548" s="1268"/>
      <c r="M548" s="1246">
        <v>4200000</v>
      </c>
      <c r="N548" s="1172"/>
      <c r="O548" s="1172"/>
    </row>
    <row r="549" spans="1:18" ht="60" x14ac:dyDescent="0.2">
      <c r="A549" s="1169">
        <v>2022543</v>
      </c>
      <c r="B549" s="1267" t="s">
        <v>459</v>
      </c>
      <c r="C549" s="1267"/>
      <c r="D549" s="1187" t="s">
        <v>690</v>
      </c>
      <c r="E549" s="1218" t="s">
        <v>1139</v>
      </c>
      <c r="F549" s="1194" t="s">
        <v>1141</v>
      </c>
      <c r="G549" s="1265" t="s">
        <v>1873</v>
      </c>
      <c r="H549" s="1265" t="s">
        <v>1873</v>
      </c>
      <c r="I549" s="1265" t="s">
        <v>1924</v>
      </c>
      <c r="J549" s="1265" t="s">
        <v>1760</v>
      </c>
      <c r="K549" s="1173" t="s">
        <v>43</v>
      </c>
      <c r="L549" s="1268"/>
      <c r="M549" s="1246">
        <v>6799000</v>
      </c>
      <c r="N549" s="1172"/>
      <c r="O549" s="1172"/>
    </row>
    <row r="550" spans="1:18" ht="60" x14ac:dyDescent="0.2">
      <c r="A550" s="1169">
        <v>2022544</v>
      </c>
      <c r="B550" s="1267" t="s">
        <v>459</v>
      </c>
      <c r="C550" s="1267"/>
      <c r="D550" s="1187" t="s">
        <v>690</v>
      </c>
      <c r="E550" s="1218" t="s">
        <v>1139</v>
      </c>
      <c r="F550" s="1194" t="s">
        <v>1142</v>
      </c>
      <c r="G550" s="1265" t="s">
        <v>1872</v>
      </c>
      <c r="H550" s="1265" t="s">
        <v>1872</v>
      </c>
      <c r="I550" s="1265" t="s">
        <v>1850</v>
      </c>
      <c r="J550" s="1265" t="s">
        <v>1817</v>
      </c>
      <c r="K550" s="1173" t="s">
        <v>43</v>
      </c>
      <c r="L550" s="1268"/>
      <c r="M550" s="1246">
        <v>10000000</v>
      </c>
      <c r="N550" s="1172"/>
      <c r="O550" s="1172"/>
    </row>
    <row r="551" spans="1:18" ht="60" x14ac:dyDescent="0.2">
      <c r="A551" s="1169">
        <v>2022545</v>
      </c>
      <c r="B551" s="1267" t="s">
        <v>459</v>
      </c>
      <c r="C551" s="1267"/>
      <c r="D551" s="1187" t="s">
        <v>690</v>
      </c>
      <c r="E551" s="1218" t="s">
        <v>1139</v>
      </c>
      <c r="F551" s="1194" t="s">
        <v>1143</v>
      </c>
      <c r="G551" s="1265" t="s">
        <v>1872</v>
      </c>
      <c r="H551" s="1265" t="s">
        <v>1872</v>
      </c>
      <c r="I551" s="1265" t="s">
        <v>1812</v>
      </c>
      <c r="J551" s="1265" t="s">
        <v>1817</v>
      </c>
      <c r="K551" s="1173" t="s">
        <v>43</v>
      </c>
      <c r="L551" s="1268"/>
      <c r="M551" s="1246">
        <v>87000000</v>
      </c>
      <c r="N551" s="1172"/>
      <c r="O551" s="1172"/>
    </row>
    <row r="552" spans="1:18" ht="60" x14ac:dyDescent="0.2">
      <c r="A552" s="1169">
        <v>2022546</v>
      </c>
      <c r="B552" s="1267" t="s">
        <v>459</v>
      </c>
      <c r="C552" s="1267"/>
      <c r="D552" s="1187" t="s">
        <v>690</v>
      </c>
      <c r="E552" s="1218" t="s">
        <v>1139</v>
      </c>
      <c r="F552" s="1194" t="s">
        <v>1140</v>
      </c>
      <c r="G552" s="1265" t="s">
        <v>1872</v>
      </c>
      <c r="H552" s="1265" t="s">
        <v>1872</v>
      </c>
      <c r="I552" s="1265" t="s">
        <v>1923</v>
      </c>
      <c r="J552" s="1265" t="s">
        <v>1760</v>
      </c>
      <c r="K552" s="1173" t="s">
        <v>43</v>
      </c>
      <c r="L552" s="1268"/>
      <c r="M552" s="1246">
        <v>5600000</v>
      </c>
      <c r="N552" s="1172"/>
      <c r="O552" s="1172"/>
    </row>
    <row r="553" spans="1:18" ht="60" x14ac:dyDescent="0.2">
      <c r="A553" s="1169">
        <v>2022547</v>
      </c>
      <c r="B553" s="1267" t="s">
        <v>459</v>
      </c>
      <c r="C553" s="1267"/>
      <c r="D553" s="1187" t="s">
        <v>690</v>
      </c>
      <c r="E553" s="1218" t="s">
        <v>1139</v>
      </c>
      <c r="F553" s="1194" t="s">
        <v>1144</v>
      </c>
      <c r="G553" s="1265" t="s">
        <v>1873</v>
      </c>
      <c r="H553" s="1265" t="s">
        <v>1873</v>
      </c>
      <c r="I553" s="1265" t="s">
        <v>1924</v>
      </c>
      <c r="J553" s="1265" t="s">
        <v>1760</v>
      </c>
      <c r="K553" s="1173" t="s">
        <v>43</v>
      </c>
      <c r="L553" s="1268"/>
      <c r="M553" s="1246">
        <v>28400000</v>
      </c>
      <c r="N553" s="1172"/>
      <c r="O553" s="1172"/>
    </row>
    <row r="554" spans="1:18" ht="120" x14ac:dyDescent="0.2">
      <c r="A554" s="1179">
        <v>2022548</v>
      </c>
      <c r="B554" s="1269" t="s">
        <v>459</v>
      </c>
      <c r="C554" s="1270"/>
      <c r="D554" s="1224" t="s">
        <v>690</v>
      </c>
      <c r="E554" s="1271" t="s">
        <v>1145</v>
      </c>
      <c r="F554" s="1272" t="s">
        <v>1146</v>
      </c>
      <c r="G554" s="1262" t="s">
        <v>1872</v>
      </c>
      <c r="H554" s="1262" t="s">
        <v>1872</v>
      </c>
      <c r="I554" s="1262" t="s">
        <v>1812</v>
      </c>
      <c r="J554" s="1262" t="s">
        <v>1817</v>
      </c>
      <c r="K554" s="1181" t="s">
        <v>43</v>
      </c>
      <c r="L554" s="1273"/>
      <c r="M554" s="1185">
        <f>100000000-20000000</f>
        <v>80000000</v>
      </c>
      <c r="N554" s="1182"/>
      <c r="O554" s="1182"/>
      <c r="R554" s="1156"/>
    </row>
    <row r="555" spans="1:18" ht="120" x14ac:dyDescent="0.2">
      <c r="A555" s="1179">
        <v>2022549</v>
      </c>
      <c r="B555" s="1269" t="s">
        <v>459</v>
      </c>
      <c r="C555" s="1270"/>
      <c r="D555" s="1224" t="s">
        <v>690</v>
      </c>
      <c r="E555" s="1271" t="s">
        <v>1145</v>
      </c>
      <c r="F555" s="1272" t="s">
        <v>1147</v>
      </c>
      <c r="G555" s="1262" t="s">
        <v>1873</v>
      </c>
      <c r="H555" s="1262" t="s">
        <v>1873</v>
      </c>
      <c r="I555" s="1262" t="s">
        <v>1924</v>
      </c>
      <c r="J555" s="1262" t="s">
        <v>1760</v>
      </c>
      <c r="K555" s="1181" t="s">
        <v>43</v>
      </c>
      <c r="L555" s="1273"/>
      <c r="M555" s="1185">
        <f>10000000+20000000</f>
        <v>30000000</v>
      </c>
      <c r="N555" s="1182"/>
      <c r="O555" s="1182"/>
      <c r="R555" s="1156"/>
    </row>
    <row r="556" spans="1:18" ht="60" x14ac:dyDescent="0.2">
      <c r="A556" s="1169">
        <v>2022550</v>
      </c>
      <c r="B556" s="1267" t="s">
        <v>459</v>
      </c>
      <c r="C556" s="1267"/>
      <c r="D556" s="1187" t="s">
        <v>690</v>
      </c>
      <c r="E556" s="1218" t="s">
        <v>1139</v>
      </c>
      <c r="F556" s="1194" t="s">
        <v>970</v>
      </c>
      <c r="G556" s="1265" t="s">
        <v>1872</v>
      </c>
      <c r="H556" s="1265" t="s">
        <v>1872</v>
      </c>
      <c r="I556" s="1265" t="s">
        <v>1812</v>
      </c>
      <c r="J556" s="1265" t="s">
        <v>1817</v>
      </c>
      <c r="K556" s="1173" t="s">
        <v>43</v>
      </c>
      <c r="L556" s="1268"/>
      <c r="M556" s="1246">
        <v>42542000</v>
      </c>
      <c r="N556" s="1172"/>
      <c r="O556" s="1172"/>
    </row>
    <row r="557" spans="1:18" ht="60" x14ac:dyDescent="0.2">
      <c r="A557" s="1169">
        <v>2022551</v>
      </c>
      <c r="B557" s="1267" t="s">
        <v>459</v>
      </c>
      <c r="C557" s="1267"/>
      <c r="D557" s="1187" t="s">
        <v>690</v>
      </c>
      <c r="E557" s="1218" t="s">
        <v>1139</v>
      </c>
      <c r="F557" s="1194" t="s">
        <v>1142</v>
      </c>
      <c r="G557" s="1265" t="s">
        <v>1872</v>
      </c>
      <c r="H557" s="1265" t="s">
        <v>1872</v>
      </c>
      <c r="I557" s="1265" t="s">
        <v>1850</v>
      </c>
      <c r="J557" s="1265" t="s">
        <v>1817</v>
      </c>
      <c r="K557" s="1173" t="s">
        <v>43</v>
      </c>
      <c r="L557" s="1268"/>
      <c r="M557" s="1246">
        <v>2345000</v>
      </c>
      <c r="N557" s="1172"/>
      <c r="O557" s="1172"/>
    </row>
    <row r="558" spans="1:18" ht="60" x14ac:dyDescent="0.2">
      <c r="A558" s="1169">
        <v>2022552</v>
      </c>
      <c r="B558" s="1267" t="s">
        <v>459</v>
      </c>
      <c r="C558" s="1267"/>
      <c r="D558" s="1187" t="s">
        <v>690</v>
      </c>
      <c r="E558" s="1218" t="s">
        <v>1139</v>
      </c>
      <c r="F558" s="1194" t="s">
        <v>1142</v>
      </c>
      <c r="G558" s="1265" t="s">
        <v>1872</v>
      </c>
      <c r="H558" s="1265" t="s">
        <v>1872</v>
      </c>
      <c r="I558" s="1265" t="s">
        <v>1850</v>
      </c>
      <c r="J558" s="1265" t="s">
        <v>1817</v>
      </c>
      <c r="K558" s="1173" t="s">
        <v>43</v>
      </c>
      <c r="L558" s="1268"/>
      <c r="M558" s="1246">
        <v>1450000</v>
      </c>
      <c r="N558" s="1172"/>
      <c r="O558" s="1172"/>
    </row>
    <row r="559" spans="1:18" ht="60" x14ac:dyDescent="0.2">
      <c r="A559" s="1169">
        <v>2022553</v>
      </c>
      <c r="B559" s="1267" t="s">
        <v>459</v>
      </c>
      <c r="C559" s="1267"/>
      <c r="D559" s="1187" t="s">
        <v>690</v>
      </c>
      <c r="E559" s="1218" t="s">
        <v>1139</v>
      </c>
      <c r="F559" s="1194" t="s">
        <v>970</v>
      </c>
      <c r="G559" s="1265" t="s">
        <v>1872</v>
      </c>
      <c r="H559" s="1265" t="s">
        <v>1872</v>
      </c>
      <c r="I559" s="1265" t="s">
        <v>1812</v>
      </c>
      <c r="J559" s="1265" t="s">
        <v>1817</v>
      </c>
      <c r="K559" s="1173" t="s">
        <v>43</v>
      </c>
      <c r="L559" s="1268"/>
      <c r="M559" s="1246">
        <v>11550000</v>
      </c>
      <c r="N559" s="1172"/>
      <c r="O559" s="1172"/>
    </row>
    <row r="560" spans="1:18" ht="60" x14ac:dyDescent="0.2">
      <c r="A560" s="1169">
        <v>2022554</v>
      </c>
      <c r="B560" s="1267" t="s">
        <v>459</v>
      </c>
      <c r="C560" s="1267"/>
      <c r="D560" s="1187" t="s">
        <v>690</v>
      </c>
      <c r="E560" s="1218" t="s">
        <v>1139</v>
      </c>
      <c r="F560" s="1194" t="s">
        <v>1140</v>
      </c>
      <c r="G560" s="1265" t="s">
        <v>1872</v>
      </c>
      <c r="H560" s="1265" t="s">
        <v>1872</v>
      </c>
      <c r="I560" s="1265" t="s">
        <v>1923</v>
      </c>
      <c r="J560" s="1265" t="s">
        <v>1760</v>
      </c>
      <c r="K560" s="1173" t="s">
        <v>43</v>
      </c>
      <c r="L560" s="1268"/>
      <c r="M560" s="1246">
        <v>2800000</v>
      </c>
      <c r="N560" s="1172"/>
      <c r="O560" s="1172"/>
    </row>
    <row r="561" spans="1:15" ht="60" x14ac:dyDescent="0.2">
      <c r="A561" s="1169">
        <v>2022555</v>
      </c>
      <c r="B561" s="1267" t="s">
        <v>459</v>
      </c>
      <c r="C561" s="1267"/>
      <c r="D561" s="1187" t="s">
        <v>690</v>
      </c>
      <c r="E561" s="1218" t="s">
        <v>1139</v>
      </c>
      <c r="F561" s="1194" t="s">
        <v>1148</v>
      </c>
      <c r="G561" s="1265" t="s">
        <v>1873</v>
      </c>
      <c r="H561" s="1265" t="s">
        <v>1873</v>
      </c>
      <c r="I561" s="1265" t="s">
        <v>1924</v>
      </c>
      <c r="J561" s="1265" t="s">
        <v>1760</v>
      </c>
      <c r="K561" s="1173" t="s">
        <v>43</v>
      </c>
      <c r="L561" s="1268"/>
      <c r="M561" s="1246">
        <v>5204000</v>
      </c>
      <c r="N561" s="1172"/>
      <c r="O561" s="1172"/>
    </row>
    <row r="562" spans="1:15" ht="60" x14ac:dyDescent="0.2">
      <c r="A562" s="1169">
        <v>2022556</v>
      </c>
      <c r="B562" s="1267" t="s">
        <v>459</v>
      </c>
      <c r="C562" s="1267"/>
      <c r="D562" s="1187" t="s">
        <v>690</v>
      </c>
      <c r="E562" s="1218" t="s">
        <v>1139</v>
      </c>
      <c r="F562" s="1194" t="s">
        <v>1142</v>
      </c>
      <c r="G562" s="1265" t="s">
        <v>1872</v>
      </c>
      <c r="H562" s="1265" t="s">
        <v>1872</v>
      </c>
      <c r="I562" s="1265" t="s">
        <v>1850</v>
      </c>
      <c r="J562" s="1265" t="s">
        <v>1817</v>
      </c>
      <c r="K562" s="1173" t="s">
        <v>43</v>
      </c>
      <c r="L562" s="1268"/>
      <c r="M562" s="1246">
        <v>1308000</v>
      </c>
      <c r="N562" s="1172"/>
      <c r="O562" s="1172"/>
    </row>
    <row r="563" spans="1:15" ht="60" x14ac:dyDescent="0.2">
      <c r="A563" s="1169">
        <v>2022557</v>
      </c>
      <c r="B563" s="1267" t="s">
        <v>459</v>
      </c>
      <c r="C563" s="1267"/>
      <c r="D563" s="1187" t="s">
        <v>690</v>
      </c>
      <c r="E563" s="1218" t="s">
        <v>1139</v>
      </c>
      <c r="F563" s="1194" t="s">
        <v>970</v>
      </c>
      <c r="G563" s="1265" t="s">
        <v>1872</v>
      </c>
      <c r="H563" s="1265" t="s">
        <v>1872</v>
      </c>
      <c r="I563" s="1265" t="s">
        <v>1812</v>
      </c>
      <c r="J563" s="1265" t="s">
        <v>1817</v>
      </c>
      <c r="K563" s="1173" t="s">
        <v>43</v>
      </c>
      <c r="L563" s="1268"/>
      <c r="M563" s="1246">
        <v>14692000</v>
      </c>
      <c r="N563" s="1172"/>
      <c r="O563" s="1172"/>
    </row>
    <row r="564" spans="1:15" ht="60" x14ac:dyDescent="0.2">
      <c r="A564" s="1169">
        <v>2022558</v>
      </c>
      <c r="B564" s="1267" t="s">
        <v>459</v>
      </c>
      <c r="C564" s="1267"/>
      <c r="D564" s="1187" t="s">
        <v>690</v>
      </c>
      <c r="E564" s="1218" t="s">
        <v>1139</v>
      </c>
      <c r="F564" s="1194" t="s">
        <v>1149</v>
      </c>
      <c r="G564" s="1265" t="s">
        <v>1872</v>
      </c>
      <c r="H564" s="1265" t="s">
        <v>1872</v>
      </c>
      <c r="I564" s="1265" t="s">
        <v>1923</v>
      </c>
      <c r="J564" s="1265" t="s">
        <v>1760</v>
      </c>
      <c r="K564" s="1173" t="s">
        <v>43</v>
      </c>
      <c r="L564" s="1268"/>
      <c r="M564" s="1246">
        <v>1400000</v>
      </c>
      <c r="N564" s="1172"/>
      <c r="O564" s="1172"/>
    </row>
    <row r="565" spans="1:15" ht="60" x14ac:dyDescent="0.2">
      <c r="A565" s="1169">
        <v>2022559</v>
      </c>
      <c r="B565" s="1267" t="s">
        <v>459</v>
      </c>
      <c r="C565" s="1267"/>
      <c r="D565" s="1187" t="s">
        <v>690</v>
      </c>
      <c r="E565" s="1218" t="s">
        <v>1139</v>
      </c>
      <c r="F565" s="1194" t="s">
        <v>1148</v>
      </c>
      <c r="G565" s="1265" t="s">
        <v>1873</v>
      </c>
      <c r="H565" s="1265" t="s">
        <v>1873</v>
      </c>
      <c r="I565" s="1265" t="s">
        <v>1924</v>
      </c>
      <c r="J565" s="1265" t="s">
        <v>1760</v>
      </c>
      <c r="K565" s="1173" t="s">
        <v>43</v>
      </c>
      <c r="L565" s="1268"/>
      <c r="M565" s="1246">
        <v>9600000</v>
      </c>
      <c r="N565" s="1172"/>
      <c r="O565" s="1172"/>
    </row>
    <row r="566" spans="1:15" ht="120" x14ac:dyDescent="0.2">
      <c r="A566" s="1169">
        <v>2022560</v>
      </c>
      <c r="B566" s="1267" t="s">
        <v>459</v>
      </c>
      <c r="C566" s="1267"/>
      <c r="D566" s="1187" t="s">
        <v>690</v>
      </c>
      <c r="E566" s="1267" t="s">
        <v>1150</v>
      </c>
      <c r="F566" s="1194" t="s">
        <v>1151</v>
      </c>
      <c r="G566" s="1265" t="s">
        <v>1892</v>
      </c>
      <c r="H566" s="1265" t="s">
        <v>1892</v>
      </c>
      <c r="I566" s="1265" t="s">
        <v>1925</v>
      </c>
      <c r="J566" s="1265" t="s">
        <v>1926</v>
      </c>
      <c r="K566" s="1173" t="s">
        <v>43</v>
      </c>
      <c r="L566" s="1268"/>
      <c r="M566" s="1246">
        <v>79500000</v>
      </c>
      <c r="N566" s="1172"/>
      <c r="O566" s="1172"/>
    </row>
    <row r="567" spans="1:15" ht="135" x14ac:dyDescent="0.2">
      <c r="A567" s="1169">
        <v>2022561</v>
      </c>
      <c r="B567" s="1267" t="s">
        <v>459</v>
      </c>
      <c r="C567" s="1267"/>
      <c r="D567" s="1187" t="s">
        <v>690</v>
      </c>
      <c r="E567" s="1267" t="s">
        <v>1150</v>
      </c>
      <c r="F567" s="1194" t="s">
        <v>1152</v>
      </c>
      <c r="G567" s="1265" t="s">
        <v>1879</v>
      </c>
      <c r="H567" s="1265" t="s">
        <v>1879</v>
      </c>
      <c r="I567" s="1265" t="s">
        <v>1927</v>
      </c>
      <c r="J567" s="1265" t="s">
        <v>1926</v>
      </c>
      <c r="K567" s="1173" t="s">
        <v>43</v>
      </c>
      <c r="L567" s="1268"/>
      <c r="M567" s="1246">
        <v>41500000</v>
      </c>
      <c r="N567" s="1172"/>
      <c r="O567" s="1172"/>
    </row>
    <row r="568" spans="1:15" ht="45" x14ac:dyDescent="0.2">
      <c r="A568" s="1169">
        <v>2022562</v>
      </c>
      <c r="B568" s="1267" t="s">
        <v>459</v>
      </c>
      <c r="C568" s="1267"/>
      <c r="D568" s="1187" t="s">
        <v>690</v>
      </c>
      <c r="E568" s="1267" t="s">
        <v>1153</v>
      </c>
      <c r="F568" s="1194" t="s">
        <v>1154</v>
      </c>
      <c r="G568" s="1265" t="s">
        <v>1879</v>
      </c>
      <c r="H568" s="1265" t="s">
        <v>1879</v>
      </c>
      <c r="I568" s="1265" t="s">
        <v>1928</v>
      </c>
      <c r="J568" s="1265" t="s">
        <v>1929</v>
      </c>
      <c r="K568" s="1173" t="s">
        <v>43</v>
      </c>
      <c r="L568" s="1268"/>
      <c r="M568" s="1246">
        <v>1500000000</v>
      </c>
      <c r="N568" s="1172"/>
      <c r="O568" s="1172"/>
    </row>
    <row r="569" spans="1:15" ht="45" x14ac:dyDescent="0.2">
      <c r="A569" s="1169">
        <v>2022563</v>
      </c>
      <c r="B569" s="1267" t="s">
        <v>459</v>
      </c>
      <c r="C569" s="1267"/>
      <c r="D569" s="1187" t="s">
        <v>690</v>
      </c>
      <c r="E569" s="1267" t="s">
        <v>1153</v>
      </c>
      <c r="F569" s="1194" t="s">
        <v>1154</v>
      </c>
      <c r="G569" s="1265" t="s">
        <v>1879</v>
      </c>
      <c r="H569" s="1265" t="s">
        <v>1879</v>
      </c>
      <c r="I569" s="1265" t="s">
        <v>1928</v>
      </c>
      <c r="J569" s="1265" t="s">
        <v>1929</v>
      </c>
      <c r="K569" s="1173" t="s">
        <v>43</v>
      </c>
      <c r="L569" s="1268"/>
      <c r="M569" s="1246">
        <v>550000000</v>
      </c>
      <c r="N569" s="1172"/>
      <c r="O569" s="1172"/>
    </row>
    <row r="570" spans="1:15" ht="45" x14ac:dyDescent="0.2">
      <c r="A570" s="1169">
        <v>2022564</v>
      </c>
      <c r="B570" s="1267" t="s">
        <v>459</v>
      </c>
      <c r="C570" s="1267"/>
      <c r="D570" s="1187" t="s">
        <v>690</v>
      </c>
      <c r="E570" s="1267" t="s">
        <v>1153</v>
      </c>
      <c r="F570" s="1194" t="s">
        <v>1154</v>
      </c>
      <c r="G570" s="1265" t="s">
        <v>1879</v>
      </c>
      <c r="H570" s="1265" t="s">
        <v>1879</v>
      </c>
      <c r="I570" s="1265" t="s">
        <v>1928</v>
      </c>
      <c r="J570" s="1265" t="s">
        <v>1929</v>
      </c>
      <c r="K570" s="1173" t="s">
        <v>43</v>
      </c>
      <c r="L570" s="1268"/>
      <c r="M570" s="1246">
        <v>733000000</v>
      </c>
      <c r="N570" s="1172"/>
      <c r="O570" s="1172"/>
    </row>
    <row r="571" spans="1:15" ht="45" x14ac:dyDescent="0.2">
      <c r="A571" s="1169">
        <v>2022565</v>
      </c>
      <c r="B571" s="1267" t="s">
        <v>459</v>
      </c>
      <c r="C571" s="1267"/>
      <c r="D571" s="1187" t="s">
        <v>690</v>
      </c>
      <c r="E571" s="1267" t="s">
        <v>1153</v>
      </c>
      <c r="F571" s="1194" t="s">
        <v>1154</v>
      </c>
      <c r="G571" s="1265" t="s">
        <v>1879</v>
      </c>
      <c r="H571" s="1265" t="s">
        <v>1879</v>
      </c>
      <c r="I571" s="1265" t="s">
        <v>1928</v>
      </c>
      <c r="J571" s="1265" t="s">
        <v>1929</v>
      </c>
      <c r="K571" s="1173" t="s">
        <v>43</v>
      </c>
      <c r="L571" s="1268"/>
      <c r="M571" s="1246">
        <v>150000000</v>
      </c>
      <c r="N571" s="1172"/>
      <c r="O571" s="1172"/>
    </row>
    <row r="572" spans="1:15" ht="45" x14ac:dyDescent="0.2">
      <c r="A572" s="1169">
        <v>2022566</v>
      </c>
      <c r="B572" s="1267" t="s">
        <v>459</v>
      </c>
      <c r="C572" s="1267"/>
      <c r="D572" s="1187" t="s">
        <v>690</v>
      </c>
      <c r="E572" s="1267" t="s">
        <v>1153</v>
      </c>
      <c r="F572" s="1194" t="s">
        <v>1154</v>
      </c>
      <c r="G572" s="1265" t="s">
        <v>1879</v>
      </c>
      <c r="H572" s="1265" t="s">
        <v>1879</v>
      </c>
      <c r="I572" s="1265" t="s">
        <v>1928</v>
      </c>
      <c r="J572" s="1265" t="s">
        <v>1929</v>
      </c>
      <c r="K572" s="1173" t="s">
        <v>43</v>
      </c>
      <c r="L572" s="1268"/>
      <c r="M572" s="1246">
        <v>300000000</v>
      </c>
      <c r="N572" s="1172"/>
      <c r="O572" s="1172"/>
    </row>
    <row r="573" spans="1:15" ht="45" x14ac:dyDescent="0.2">
      <c r="A573" s="1169">
        <v>2022567</v>
      </c>
      <c r="B573" s="1267" t="s">
        <v>459</v>
      </c>
      <c r="C573" s="1267"/>
      <c r="D573" s="1187" t="s">
        <v>690</v>
      </c>
      <c r="E573" s="1267" t="s">
        <v>1153</v>
      </c>
      <c r="F573" s="1194" t="s">
        <v>1154</v>
      </c>
      <c r="G573" s="1265" t="s">
        <v>1879</v>
      </c>
      <c r="H573" s="1265" t="s">
        <v>1879</v>
      </c>
      <c r="I573" s="1265" t="s">
        <v>1928</v>
      </c>
      <c r="J573" s="1265" t="s">
        <v>1929</v>
      </c>
      <c r="K573" s="1173" t="s">
        <v>43</v>
      </c>
      <c r="L573" s="1268"/>
      <c r="M573" s="1246">
        <v>67000000</v>
      </c>
      <c r="N573" s="1172"/>
      <c r="O573" s="1172"/>
    </row>
    <row r="574" spans="1:15" ht="45" x14ac:dyDescent="0.2">
      <c r="A574" s="1169">
        <v>2022568</v>
      </c>
      <c r="B574" s="1267" t="s">
        <v>459</v>
      </c>
      <c r="C574" s="1267"/>
      <c r="D574" s="1187" t="s">
        <v>690</v>
      </c>
      <c r="E574" s="1267" t="s">
        <v>1155</v>
      </c>
      <c r="F574" s="1194" t="s">
        <v>1156</v>
      </c>
      <c r="G574" s="1265" t="s">
        <v>1887</v>
      </c>
      <c r="H574" s="1265" t="s">
        <v>1887</v>
      </c>
      <c r="I574" s="1265" t="s">
        <v>1925</v>
      </c>
      <c r="J574" s="1265" t="s">
        <v>1926</v>
      </c>
      <c r="K574" s="1173" t="s">
        <v>43</v>
      </c>
      <c r="L574" s="1268"/>
      <c r="M574" s="1246">
        <v>124000000</v>
      </c>
      <c r="N574" s="1172"/>
      <c r="O574" s="1172"/>
    </row>
    <row r="575" spans="1:15" ht="45" x14ac:dyDescent="0.2">
      <c r="A575" s="1169">
        <v>2022569</v>
      </c>
      <c r="B575" s="1267" t="s">
        <v>459</v>
      </c>
      <c r="C575" s="1267"/>
      <c r="D575" s="1187" t="s">
        <v>690</v>
      </c>
      <c r="E575" s="1267" t="s">
        <v>1155</v>
      </c>
      <c r="F575" s="1194" t="s">
        <v>1157</v>
      </c>
      <c r="G575" s="1265" t="s">
        <v>1872</v>
      </c>
      <c r="H575" s="1265" t="s">
        <v>1872</v>
      </c>
      <c r="I575" s="1265" t="s">
        <v>1928</v>
      </c>
      <c r="J575" s="1265" t="s">
        <v>1926</v>
      </c>
      <c r="K575" s="1173" t="s">
        <v>43</v>
      </c>
      <c r="L575" s="1268"/>
      <c r="M575" s="1246">
        <v>109000000</v>
      </c>
      <c r="N575" s="1172"/>
      <c r="O575" s="1172"/>
    </row>
    <row r="576" spans="1:15" ht="45" x14ac:dyDescent="0.2">
      <c r="A576" s="1169">
        <v>2022570</v>
      </c>
      <c r="B576" s="1267" t="s">
        <v>459</v>
      </c>
      <c r="C576" s="1267"/>
      <c r="D576" s="1187" t="s">
        <v>690</v>
      </c>
      <c r="E576" s="1267" t="s">
        <v>781</v>
      </c>
      <c r="F576" s="1194" t="s">
        <v>1158</v>
      </c>
      <c r="G576" s="1265" t="s">
        <v>1893</v>
      </c>
      <c r="H576" s="1265" t="s">
        <v>1893</v>
      </c>
      <c r="I576" s="1265" t="s">
        <v>1930</v>
      </c>
      <c r="J576" s="1265" t="s">
        <v>1926</v>
      </c>
      <c r="K576" s="1173" t="s">
        <v>43</v>
      </c>
      <c r="L576" s="1268"/>
      <c r="M576" s="1246">
        <v>350000000</v>
      </c>
      <c r="N576" s="1172"/>
      <c r="O576" s="1172"/>
    </row>
    <row r="577" spans="1:18" ht="60" x14ac:dyDescent="0.2">
      <c r="A577" s="1179">
        <v>2022571</v>
      </c>
      <c r="B577" s="1270" t="s">
        <v>459</v>
      </c>
      <c r="C577" s="1270"/>
      <c r="D577" s="1224" t="s">
        <v>690</v>
      </c>
      <c r="E577" s="1270" t="s">
        <v>964</v>
      </c>
      <c r="F577" s="1272" t="s">
        <v>1159</v>
      </c>
      <c r="G577" s="1262" t="s">
        <v>1880</v>
      </c>
      <c r="H577" s="1262" t="s">
        <v>1880</v>
      </c>
      <c r="I577" s="1262" t="s">
        <v>1936</v>
      </c>
      <c r="J577" s="1262" t="s">
        <v>1929</v>
      </c>
      <c r="K577" s="1181" t="s">
        <v>43</v>
      </c>
      <c r="L577" s="1273"/>
      <c r="M577" s="1185">
        <v>756263000</v>
      </c>
      <c r="N577" s="1182"/>
      <c r="O577" s="1182"/>
      <c r="R577" s="1156"/>
    </row>
    <row r="578" spans="1:18" ht="45" x14ac:dyDescent="0.2">
      <c r="A578" s="1169">
        <v>2022572</v>
      </c>
      <c r="B578" s="1267" t="s">
        <v>459</v>
      </c>
      <c r="C578" s="1267"/>
      <c r="D578" s="1187" t="s">
        <v>690</v>
      </c>
      <c r="E578" s="1267" t="s">
        <v>1139</v>
      </c>
      <c r="F578" s="1194" t="s">
        <v>1142</v>
      </c>
      <c r="G578" s="1265" t="s">
        <v>1872</v>
      </c>
      <c r="H578" s="1265" t="s">
        <v>1872</v>
      </c>
      <c r="I578" s="1265" t="s">
        <v>1850</v>
      </c>
      <c r="J578" s="1265" t="s">
        <v>1817</v>
      </c>
      <c r="K578" s="1173" t="s">
        <v>43</v>
      </c>
      <c r="L578" s="1268"/>
      <c r="M578" s="1246">
        <v>37063000</v>
      </c>
      <c r="N578" s="1172"/>
      <c r="O578" s="1172"/>
    </row>
    <row r="579" spans="1:18" ht="45" x14ac:dyDescent="0.2">
      <c r="A579" s="1169">
        <v>2022573</v>
      </c>
      <c r="B579" s="1267" t="s">
        <v>459</v>
      </c>
      <c r="C579" s="1267"/>
      <c r="D579" s="1187" t="s">
        <v>690</v>
      </c>
      <c r="E579" s="1267" t="s">
        <v>1139</v>
      </c>
      <c r="F579" s="1194" t="s">
        <v>970</v>
      </c>
      <c r="G579" s="1265" t="s">
        <v>1872</v>
      </c>
      <c r="H579" s="1265" t="s">
        <v>1872</v>
      </c>
      <c r="I579" s="1265" t="s">
        <v>1812</v>
      </c>
      <c r="J579" s="1265" t="s">
        <v>1817</v>
      </c>
      <c r="K579" s="1173" t="s">
        <v>43</v>
      </c>
      <c r="L579" s="1268"/>
      <c r="M579" s="1246">
        <v>382937000</v>
      </c>
      <c r="N579" s="1172"/>
      <c r="O579" s="1172"/>
    </row>
    <row r="580" spans="1:18" ht="45" x14ac:dyDescent="0.2">
      <c r="A580" s="1169">
        <v>2022574</v>
      </c>
      <c r="B580" s="1267" t="s">
        <v>459</v>
      </c>
      <c r="C580" s="1267"/>
      <c r="D580" s="1187" t="s">
        <v>690</v>
      </c>
      <c r="E580" s="1267" t="s">
        <v>1160</v>
      </c>
      <c r="F580" s="1194" t="s">
        <v>1932</v>
      </c>
      <c r="G580" s="1265" t="s">
        <v>1872</v>
      </c>
      <c r="H580" s="1265" t="s">
        <v>1872</v>
      </c>
      <c r="I580" s="1265" t="s">
        <v>1924</v>
      </c>
      <c r="J580" s="1265" t="s">
        <v>1926</v>
      </c>
      <c r="K580" s="1173" t="s">
        <v>43</v>
      </c>
      <c r="L580" s="1268"/>
      <c r="M580" s="1246">
        <v>4019274</v>
      </c>
      <c r="N580" s="1172"/>
      <c r="O580" s="1172"/>
    </row>
    <row r="581" spans="1:18" ht="45" x14ac:dyDescent="0.2">
      <c r="A581" s="1169">
        <v>2022575</v>
      </c>
      <c r="B581" s="1267" t="s">
        <v>459</v>
      </c>
      <c r="C581" s="1267"/>
      <c r="D581" s="1187" t="s">
        <v>690</v>
      </c>
      <c r="E581" s="1267" t="s">
        <v>1162</v>
      </c>
      <c r="F581" s="1194" t="s">
        <v>1163</v>
      </c>
      <c r="G581" s="1265" t="s">
        <v>1872</v>
      </c>
      <c r="H581" s="1265" t="s">
        <v>1872</v>
      </c>
      <c r="I581" s="1265" t="s">
        <v>1933</v>
      </c>
      <c r="J581" s="1265" t="s">
        <v>1926</v>
      </c>
      <c r="K581" s="1173" t="s">
        <v>43</v>
      </c>
      <c r="L581" s="1268"/>
      <c r="M581" s="1246">
        <v>8664250</v>
      </c>
      <c r="N581" s="1172"/>
      <c r="O581" s="1172"/>
    </row>
    <row r="582" spans="1:18" ht="45" x14ac:dyDescent="0.2">
      <c r="A582" s="1169">
        <v>2022576</v>
      </c>
      <c r="B582" s="1267" t="s">
        <v>459</v>
      </c>
      <c r="C582" s="1267"/>
      <c r="D582" s="1187" t="s">
        <v>690</v>
      </c>
      <c r="E582" s="1267" t="s">
        <v>1160</v>
      </c>
      <c r="F582" s="1194" t="s">
        <v>1164</v>
      </c>
      <c r="G582" s="1265" t="s">
        <v>1887</v>
      </c>
      <c r="H582" s="1265" t="s">
        <v>1887</v>
      </c>
      <c r="I582" s="1265" t="s">
        <v>1934</v>
      </c>
      <c r="J582" s="1265" t="s">
        <v>1926</v>
      </c>
      <c r="K582" s="1173" t="s">
        <v>43</v>
      </c>
      <c r="L582" s="1268"/>
      <c r="M582" s="1246">
        <v>13335750</v>
      </c>
      <c r="N582" s="1172"/>
      <c r="O582" s="1172"/>
    </row>
    <row r="583" spans="1:18" ht="45" x14ac:dyDescent="0.2">
      <c r="A583" s="1169">
        <v>2022577</v>
      </c>
      <c r="B583" s="1267" t="s">
        <v>459</v>
      </c>
      <c r="C583" s="1267"/>
      <c r="D583" s="1187" t="s">
        <v>690</v>
      </c>
      <c r="E583" s="1267" t="s">
        <v>1162</v>
      </c>
      <c r="F583" s="1194" t="s">
        <v>1161</v>
      </c>
      <c r="G583" s="1265" t="s">
        <v>1890</v>
      </c>
      <c r="H583" s="1265" t="s">
        <v>1890</v>
      </c>
      <c r="I583" s="1265" t="s">
        <v>1924</v>
      </c>
      <c r="J583" s="1265" t="s">
        <v>1926</v>
      </c>
      <c r="K583" s="1173" t="s">
        <v>43</v>
      </c>
      <c r="L583" s="1268"/>
      <c r="M583" s="1246">
        <v>3980726</v>
      </c>
      <c r="N583" s="1172"/>
      <c r="O583" s="1172"/>
    </row>
    <row r="584" spans="1:18" ht="60" x14ac:dyDescent="0.2">
      <c r="A584" s="1169">
        <v>2022578</v>
      </c>
      <c r="B584" s="1267" t="s">
        <v>459</v>
      </c>
      <c r="C584" s="1267"/>
      <c r="D584" s="1187" t="s">
        <v>690</v>
      </c>
      <c r="E584" s="1267" t="s">
        <v>805</v>
      </c>
      <c r="F584" s="1194" t="s">
        <v>806</v>
      </c>
      <c r="G584" s="1265" t="s">
        <v>1872</v>
      </c>
      <c r="H584" s="1265" t="s">
        <v>1872</v>
      </c>
      <c r="I584" s="1265">
        <v>0</v>
      </c>
      <c r="J584" s="1265" t="s">
        <v>1935</v>
      </c>
      <c r="K584" s="1173" t="s">
        <v>43</v>
      </c>
      <c r="L584" s="1268"/>
      <c r="M584" s="1246">
        <v>20000000</v>
      </c>
      <c r="N584" s="1172"/>
      <c r="O584" s="1172"/>
    </row>
    <row r="585" spans="1:18" ht="45" x14ac:dyDescent="0.2">
      <c r="A585" s="1169">
        <v>2022579</v>
      </c>
      <c r="B585" s="1267" t="s">
        <v>459</v>
      </c>
      <c r="C585" s="1267"/>
      <c r="D585" s="1187" t="s">
        <v>690</v>
      </c>
      <c r="E585" s="1267" t="s">
        <v>805</v>
      </c>
      <c r="F585" s="1194" t="s">
        <v>1165</v>
      </c>
      <c r="G585" s="1265" t="s">
        <v>1872</v>
      </c>
      <c r="H585" s="1265" t="s">
        <v>1872</v>
      </c>
      <c r="I585" s="1265" t="s">
        <v>1936</v>
      </c>
      <c r="J585" s="1265" t="s">
        <v>1935</v>
      </c>
      <c r="K585" s="1173" t="s">
        <v>43</v>
      </c>
      <c r="L585" s="1268"/>
      <c r="M585" s="1246">
        <v>130000000</v>
      </c>
      <c r="N585" s="1172"/>
      <c r="O585" s="1172"/>
    </row>
    <row r="586" spans="1:18" ht="30" x14ac:dyDescent="0.2">
      <c r="A586" s="1169">
        <v>2022580</v>
      </c>
      <c r="B586" s="1267" t="s">
        <v>459</v>
      </c>
      <c r="C586" s="1267"/>
      <c r="D586" s="1187" t="s">
        <v>1804</v>
      </c>
      <c r="E586" s="1267" t="s">
        <v>781</v>
      </c>
      <c r="F586" s="1194" t="s">
        <v>1166</v>
      </c>
      <c r="G586" s="1274" t="s">
        <v>1872</v>
      </c>
      <c r="H586" s="1274" t="s">
        <v>1872</v>
      </c>
      <c r="I586" s="1265" t="s">
        <v>1937</v>
      </c>
      <c r="J586" s="1265" t="s">
        <v>1926</v>
      </c>
      <c r="K586" s="1173" t="s">
        <v>43</v>
      </c>
      <c r="L586" s="1268"/>
      <c r="M586" s="1246">
        <v>85650000</v>
      </c>
      <c r="N586" s="1172"/>
      <c r="O586" s="1172"/>
    </row>
    <row r="587" spans="1:18" ht="45" x14ac:dyDescent="0.2">
      <c r="A587" s="1169">
        <v>2022581</v>
      </c>
      <c r="B587" s="1267" t="s">
        <v>459</v>
      </c>
      <c r="C587" s="1267"/>
      <c r="D587" s="1187" t="s">
        <v>1804</v>
      </c>
      <c r="E587" s="1267" t="s">
        <v>781</v>
      </c>
      <c r="F587" s="1194" t="s">
        <v>1167</v>
      </c>
      <c r="G587" s="1274" t="s">
        <v>1872</v>
      </c>
      <c r="H587" s="1274" t="s">
        <v>1872</v>
      </c>
      <c r="I587" s="1265" t="s">
        <v>1937</v>
      </c>
      <c r="J587" s="1265" t="s">
        <v>1926</v>
      </c>
      <c r="K587" s="1173" t="s">
        <v>43</v>
      </c>
      <c r="L587" s="1268"/>
      <c r="M587" s="1246">
        <v>55350000</v>
      </c>
      <c r="N587" s="1172"/>
      <c r="O587" s="1172"/>
    </row>
    <row r="588" spans="1:18" ht="45" x14ac:dyDescent="0.2">
      <c r="A588" s="1169">
        <v>2022582</v>
      </c>
      <c r="B588" s="1267" t="s">
        <v>459</v>
      </c>
      <c r="C588" s="1267"/>
      <c r="D588" s="1187" t="s">
        <v>1804</v>
      </c>
      <c r="E588" s="1267" t="s">
        <v>781</v>
      </c>
      <c r="F588" s="1194" t="s">
        <v>1168</v>
      </c>
      <c r="G588" s="1274" t="s">
        <v>1872</v>
      </c>
      <c r="H588" s="1274" t="s">
        <v>1872</v>
      </c>
      <c r="I588" s="1265" t="s">
        <v>1816</v>
      </c>
      <c r="J588" s="1265" t="s">
        <v>1926</v>
      </c>
      <c r="K588" s="1173" t="s">
        <v>43</v>
      </c>
      <c r="L588" s="1268"/>
      <c r="M588" s="1246">
        <v>99000000</v>
      </c>
      <c r="N588" s="1172"/>
      <c r="O588" s="1172"/>
    </row>
    <row r="589" spans="1:18" ht="90" x14ac:dyDescent="0.2">
      <c r="A589" s="1169">
        <v>2022583</v>
      </c>
      <c r="B589" s="1267" t="s">
        <v>459</v>
      </c>
      <c r="C589" s="1267"/>
      <c r="D589" s="1187" t="s">
        <v>699</v>
      </c>
      <c r="E589" s="1267" t="s">
        <v>1169</v>
      </c>
      <c r="F589" s="1194" t="s">
        <v>1170</v>
      </c>
      <c r="G589" s="1274" t="s">
        <v>1872</v>
      </c>
      <c r="H589" s="1274" t="s">
        <v>1872</v>
      </c>
      <c r="I589" s="1265" t="s">
        <v>1793</v>
      </c>
      <c r="J589" s="1265" t="s">
        <v>1938</v>
      </c>
      <c r="K589" s="1173" t="s">
        <v>43</v>
      </c>
      <c r="L589" s="1268"/>
      <c r="M589" s="1246">
        <v>22000000</v>
      </c>
      <c r="N589" s="1172"/>
      <c r="O589" s="1172"/>
    </row>
    <row r="590" spans="1:18" ht="30" x14ac:dyDescent="0.2">
      <c r="A590" s="1169">
        <v>2022584</v>
      </c>
      <c r="B590" s="1267" t="s">
        <v>459</v>
      </c>
      <c r="C590" s="1267"/>
      <c r="D590" s="1187" t="s">
        <v>702</v>
      </c>
      <c r="E590" s="1267" t="s">
        <v>1939</v>
      </c>
      <c r="F590" s="1194" t="s">
        <v>1940</v>
      </c>
      <c r="G590" s="1265" t="s">
        <v>1879</v>
      </c>
      <c r="H590" s="1265" t="s">
        <v>1879</v>
      </c>
      <c r="I590" s="1265" t="s">
        <v>1924</v>
      </c>
      <c r="J590" s="1265" t="s">
        <v>1926</v>
      </c>
      <c r="K590" s="1173" t="s">
        <v>43</v>
      </c>
      <c r="L590" s="1268"/>
      <c r="M590" s="1246">
        <v>700102000</v>
      </c>
      <c r="N590" s="1172"/>
      <c r="O590" s="1172"/>
    </row>
    <row r="591" spans="1:18" ht="195" x14ac:dyDescent="0.2">
      <c r="A591" s="1169">
        <v>2022585</v>
      </c>
      <c r="B591" s="1267" t="s">
        <v>459</v>
      </c>
      <c r="C591" s="1267"/>
      <c r="D591" s="1187" t="s">
        <v>696</v>
      </c>
      <c r="E591" s="1267" t="s">
        <v>1941</v>
      </c>
      <c r="F591" s="1194" t="s">
        <v>1942</v>
      </c>
      <c r="G591" s="1265" t="s">
        <v>1887</v>
      </c>
      <c r="H591" s="1265" t="s">
        <v>1887</v>
      </c>
      <c r="I591" s="1265" t="s">
        <v>1924</v>
      </c>
      <c r="J591" s="1265" t="s">
        <v>1929</v>
      </c>
      <c r="K591" s="1173" t="s">
        <v>43</v>
      </c>
      <c r="L591" s="1268"/>
      <c r="M591" s="1246">
        <v>40000000</v>
      </c>
      <c r="N591" s="1172"/>
      <c r="O591" s="1172"/>
      <c r="R591" s="331"/>
    </row>
    <row r="592" spans="1:18" ht="45" x14ac:dyDescent="0.2">
      <c r="A592" s="1169">
        <v>2022586</v>
      </c>
      <c r="B592" s="1267" t="s">
        <v>459</v>
      </c>
      <c r="C592" s="1267"/>
      <c r="D592" s="1187" t="s">
        <v>696</v>
      </c>
      <c r="E592" s="1267" t="s">
        <v>1173</v>
      </c>
      <c r="F592" s="1194" t="s">
        <v>1174</v>
      </c>
      <c r="G592" s="1265" t="s">
        <v>1873</v>
      </c>
      <c r="H592" s="1265" t="s">
        <v>1873</v>
      </c>
      <c r="I592" s="1265" t="s">
        <v>1934</v>
      </c>
      <c r="J592" s="1265" t="s">
        <v>1929</v>
      </c>
      <c r="K592" s="1173" t="s">
        <v>43</v>
      </c>
      <c r="L592" s="1268"/>
      <c r="M592" s="1246">
        <v>870000000</v>
      </c>
      <c r="N592" s="1172"/>
      <c r="O592" s="1172"/>
    </row>
    <row r="593" spans="1:18" ht="30" x14ac:dyDescent="0.2">
      <c r="A593" s="1169">
        <v>2022587</v>
      </c>
      <c r="B593" s="1267" t="s">
        <v>459</v>
      </c>
      <c r="C593" s="1267"/>
      <c r="D593" s="1187" t="s">
        <v>696</v>
      </c>
      <c r="E593" s="1267" t="s">
        <v>1175</v>
      </c>
      <c r="F593" s="1194" t="s">
        <v>1176</v>
      </c>
      <c r="G593" s="1265" t="s">
        <v>1943</v>
      </c>
      <c r="H593" s="1265" t="s">
        <v>1943</v>
      </c>
      <c r="I593" s="1265" t="s">
        <v>1177</v>
      </c>
      <c r="J593" s="1265"/>
      <c r="K593" s="1173" t="s">
        <v>43</v>
      </c>
      <c r="L593" s="1268"/>
      <c r="M593" s="1246">
        <v>150000000</v>
      </c>
      <c r="N593" s="1172"/>
      <c r="O593" s="1172"/>
    </row>
    <row r="594" spans="1:18" ht="30" x14ac:dyDescent="0.2">
      <c r="A594" s="1169">
        <v>2022588</v>
      </c>
      <c r="B594" s="1267" t="s">
        <v>459</v>
      </c>
      <c r="C594" s="1267"/>
      <c r="D594" s="1187" t="s">
        <v>696</v>
      </c>
      <c r="E594" s="1267" t="s">
        <v>1178</v>
      </c>
      <c r="F594" s="1194" t="s">
        <v>1179</v>
      </c>
      <c r="G594" s="1265" t="s">
        <v>1892</v>
      </c>
      <c r="H594" s="1265" t="s">
        <v>1892</v>
      </c>
      <c r="I594" s="1265" t="s">
        <v>1925</v>
      </c>
      <c r="J594" s="1265" t="s">
        <v>1935</v>
      </c>
      <c r="K594" s="1173" t="s">
        <v>43</v>
      </c>
      <c r="L594" s="1268"/>
      <c r="M594" s="1246">
        <v>250000000</v>
      </c>
      <c r="N594" s="1172"/>
      <c r="O594" s="1172"/>
    </row>
    <row r="595" spans="1:18" ht="90" x14ac:dyDescent="0.2">
      <c r="A595" s="1179">
        <v>2022589</v>
      </c>
      <c r="B595" s="1270" t="s">
        <v>459</v>
      </c>
      <c r="C595" s="1270"/>
      <c r="D595" s="1224" t="s">
        <v>696</v>
      </c>
      <c r="E595" s="1270" t="s">
        <v>1180</v>
      </c>
      <c r="F595" s="1272" t="s">
        <v>1181</v>
      </c>
      <c r="G595" s="1262" t="s">
        <v>1873</v>
      </c>
      <c r="H595" s="1262" t="s">
        <v>1873</v>
      </c>
      <c r="I595" s="1262" t="s">
        <v>1934</v>
      </c>
      <c r="J595" s="1262" t="s">
        <v>1938</v>
      </c>
      <c r="K595" s="1181" t="s">
        <v>43</v>
      </c>
      <c r="L595" s="1273"/>
      <c r="M595" s="1185">
        <f>50000000-29250000</f>
        <v>20750000</v>
      </c>
      <c r="N595" s="1182"/>
      <c r="O595" s="1182"/>
      <c r="R595" s="1156"/>
    </row>
    <row r="596" spans="1:18" ht="60" x14ac:dyDescent="0.2">
      <c r="A596" s="1169">
        <v>2022590</v>
      </c>
      <c r="B596" s="1267" t="s">
        <v>459</v>
      </c>
      <c r="C596" s="1267"/>
      <c r="D596" s="1187" t="s">
        <v>696</v>
      </c>
      <c r="E596" s="1267" t="s">
        <v>1177</v>
      </c>
      <c r="F596" s="1194" t="s">
        <v>1182</v>
      </c>
      <c r="G596" s="1265" t="s">
        <v>1879</v>
      </c>
      <c r="H596" s="1265" t="s">
        <v>1879</v>
      </c>
      <c r="I596" s="1265" t="s">
        <v>1928</v>
      </c>
      <c r="J596" s="1265" t="s">
        <v>1944</v>
      </c>
      <c r="K596" s="1173" t="s">
        <v>43</v>
      </c>
      <c r="L596" s="1268"/>
      <c r="M596" s="1246">
        <v>2476000000</v>
      </c>
      <c r="N596" s="1172"/>
      <c r="O596" s="1172"/>
    </row>
    <row r="597" spans="1:18" ht="84" customHeight="1" x14ac:dyDescent="0.2">
      <c r="A597" s="1169">
        <v>2022591</v>
      </c>
      <c r="B597" s="1267" t="s">
        <v>459</v>
      </c>
      <c r="C597" s="1267"/>
      <c r="D597" s="1170" t="s">
        <v>674</v>
      </c>
      <c r="E597" s="1267" t="s">
        <v>1183</v>
      </c>
      <c r="F597" s="1194" t="s">
        <v>1945</v>
      </c>
      <c r="G597" s="1265" t="s">
        <v>1872</v>
      </c>
      <c r="H597" s="1265" t="s">
        <v>1872</v>
      </c>
      <c r="I597" s="1265" t="s">
        <v>1946</v>
      </c>
      <c r="J597" s="1265" t="s">
        <v>1926</v>
      </c>
      <c r="K597" s="1173" t="s">
        <v>43</v>
      </c>
      <c r="L597" s="1268"/>
      <c r="M597" s="1246">
        <v>35000000</v>
      </c>
      <c r="N597" s="1172"/>
      <c r="O597" s="1172"/>
    </row>
    <row r="598" spans="1:18" ht="45" x14ac:dyDescent="0.2">
      <c r="A598" s="1169">
        <v>2022592</v>
      </c>
      <c r="B598" s="1267" t="s">
        <v>459</v>
      </c>
      <c r="C598" s="1267"/>
      <c r="D598" s="1170" t="s">
        <v>674</v>
      </c>
      <c r="E598" s="1267" t="s">
        <v>1183</v>
      </c>
      <c r="F598" s="1194" t="s">
        <v>1185</v>
      </c>
      <c r="G598" s="1265" t="s">
        <v>1872</v>
      </c>
      <c r="H598" s="1265" t="s">
        <v>1872</v>
      </c>
      <c r="I598" s="1265" t="s">
        <v>1946</v>
      </c>
      <c r="J598" s="1265" t="s">
        <v>1947</v>
      </c>
      <c r="K598" s="1173" t="s">
        <v>43</v>
      </c>
      <c r="L598" s="1268"/>
      <c r="M598" s="1246">
        <v>19810000</v>
      </c>
      <c r="N598" s="1172"/>
      <c r="O598" s="1172"/>
    </row>
    <row r="599" spans="1:18" ht="60" x14ac:dyDescent="0.2">
      <c r="A599" s="1169">
        <v>2022593</v>
      </c>
      <c r="B599" s="1267" t="s">
        <v>459</v>
      </c>
      <c r="C599" s="1267"/>
      <c r="D599" s="1170" t="s">
        <v>674</v>
      </c>
      <c r="E599" s="1267" t="s">
        <v>1186</v>
      </c>
      <c r="F599" s="1194" t="s">
        <v>1187</v>
      </c>
      <c r="G599" s="1265" t="s">
        <v>1872</v>
      </c>
      <c r="H599" s="1265" t="s">
        <v>1872</v>
      </c>
      <c r="I599" s="1265" t="s">
        <v>1948</v>
      </c>
      <c r="J599" s="1265" t="s">
        <v>1926</v>
      </c>
      <c r="K599" s="1173" t="s">
        <v>43</v>
      </c>
      <c r="L599" s="1268"/>
      <c r="M599" s="1246">
        <v>10000000</v>
      </c>
      <c r="N599" s="1172"/>
      <c r="O599" s="1172"/>
      <c r="R599" s="1275"/>
    </row>
    <row r="600" spans="1:18" ht="45" x14ac:dyDescent="0.2">
      <c r="A600" s="1169">
        <v>2022594</v>
      </c>
      <c r="B600" s="1267" t="s">
        <v>459</v>
      </c>
      <c r="C600" s="1267"/>
      <c r="D600" s="1170" t="s">
        <v>674</v>
      </c>
      <c r="E600" s="1267" t="s">
        <v>1188</v>
      </c>
      <c r="F600" s="1194" t="s">
        <v>1949</v>
      </c>
      <c r="G600" s="1265" t="s">
        <v>1872</v>
      </c>
      <c r="H600" s="1265" t="s">
        <v>1872</v>
      </c>
      <c r="I600" s="1265" t="s">
        <v>1924</v>
      </c>
      <c r="J600" s="1265" t="s">
        <v>1926</v>
      </c>
      <c r="K600" s="1173" t="s">
        <v>43</v>
      </c>
      <c r="L600" s="1268"/>
      <c r="M600" s="1246">
        <v>8386190</v>
      </c>
      <c r="N600" s="1172"/>
      <c r="O600" s="1172"/>
    </row>
    <row r="601" spans="1:18" ht="30" x14ac:dyDescent="0.2">
      <c r="A601" s="1169">
        <v>2022595</v>
      </c>
      <c r="B601" s="1267" t="s">
        <v>459</v>
      </c>
      <c r="C601" s="1267"/>
      <c r="D601" s="1170" t="s">
        <v>674</v>
      </c>
      <c r="E601" s="1267" t="s">
        <v>1190</v>
      </c>
      <c r="F601" s="1194" t="s">
        <v>1191</v>
      </c>
      <c r="G601" s="1265" t="s">
        <v>1893</v>
      </c>
      <c r="H601" s="1265" t="s">
        <v>1893</v>
      </c>
      <c r="I601" s="1265" t="s">
        <v>1928</v>
      </c>
      <c r="J601" s="1265" t="s">
        <v>1926</v>
      </c>
      <c r="K601" s="1173" t="s">
        <v>43</v>
      </c>
      <c r="L601" s="1268"/>
      <c r="M601" s="1246">
        <v>35000000</v>
      </c>
      <c r="N601" s="1172"/>
      <c r="O601" s="1172"/>
    </row>
    <row r="602" spans="1:18" ht="45" x14ac:dyDescent="0.2">
      <c r="A602" s="1169">
        <v>2022596</v>
      </c>
      <c r="B602" s="1267" t="s">
        <v>459</v>
      </c>
      <c r="C602" s="1267"/>
      <c r="D602" s="1170" t="s">
        <v>674</v>
      </c>
      <c r="E602" s="1267" t="s">
        <v>1192</v>
      </c>
      <c r="F602" s="1194" t="s">
        <v>1950</v>
      </c>
      <c r="G602" s="1265" t="s">
        <v>1892</v>
      </c>
      <c r="H602" s="1265" t="s">
        <v>1892</v>
      </c>
      <c r="I602" s="1265" t="s">
        <v>1946</v>
      </c>
      <c r="J602" s="1265" t="s">
        <v>1817</v>
      </c>
      <c r="K602" s="1173" t="s">
        <v>43</v>
      </c>
      <c r="L602" s="1268"/>
      <c r="M602" s="1246">
        <v>35000000</v>
      </c>
      <c r="N602" s="1172"/>
      <c r="O602" s="1172"/>
    </row>
    <row r="603" spans="1:18" ht="75" x14ac:dyDescent="0.2">
      <c r="A603" s="1179">
        <v>2022597</v>
      </c>
      <c r="B603" s="1270" t="s">
        <v>459</v>
      </c>
      <c r="C603" s="1270"/>
      <c r="D603" s="1276" t="s">
        <v>674</v>
      </c>
      <c r="E603" s="1270" t="s">
        <v>1194</v>
      </c>
      <c r="F603" s="1272" t="s">
        <v>1195</v>
      </c>
      <c r="G603" s="1262" t="s">
        <v>1873</v>
      </c>
      <c r="H603" s="1262" t="s">
        <v>1873</v>
      </c>
      <c r="I603" s="1262" t="s">
        <v>1924</v>
      </c>
      <c r="J603" s="1262" t="s">
        <v>1817</v>
      </c>
      <c r="K603" s="1181" t="s">
        <v>43</v>
      </c>
      <c r="L603" s="1273"/>
      <c r="M603" s="1185">
        <f>300000000-81890487</f>
        <v>218109513</v>
      </c>
      <c r="N603" s="1182"/>
      <c r="O603" s="1182"/>
      <c r="R603" s="1156"/>
    </row>
    <row r="604" spans="1:18" ht="60" x14ac:dyDescent="0.2">
      <c r="A604" s="1169">
        <v>2022598</v>
      </c>
      <c r="B604" s="1267" t="s">
        <v>459</v>
      </c>
      <c r="C604" s="1267"/>
      <c r="D604" s="1170" t="s">
        <v>674</v>
      </c>
      <c r="E604" s="1267" t="s">
        <v>1196</v>
      </c>
      <c r="F604" s="1194" t="s">
        <v>1197</v>
      </c>
      <c r="G604" s="1265" t="s">
        <v>1872</v>
      </c>
      <c r="H604" s="1265" t="s">
        <v>1872</v>
      </c>
      <c r="I604" s="1265" t="s">
        <v>1952</v>
      </c>
      <c r="J604" s="1265" t="s">
        <v>1926</v>
      </c>
      <c r="K604" s="1173" t="s">
        <v>43</v>
      </c>
      <c r="L604" s="1268"/>
      <c r="M604" s="1246">
        <v>120473160</v>
      </c>
      <c r="N604" s="1172"/>
      <c r="O604" s="1172"/>
    </row>
    <row r="605" spans="1:18" ht="45" x14ac:dyDescent="0.2">
      <c r="A605" s="1169">
        <v>2022599</v>
      </c>
      <c r="B605" s="1267" t="s">
        <v>459</v>
      </c>
      <c r="C605" s="1267"/>
      <c r="D605" s="1170" t="s">
        <v>674</v>
      </c>
      <c r="E605" s="1267" t="s">
        <v>1196</v>
      </c>
      <c r="F605" s="1194" t="s">
        <v>1199</v>
      </c>
      <c r="G605" s="1265" t="s">
        <v>1887</v>
      </c>
      <c r="H605" s="1265" t="s">
        <v>1887</v>
      </c>
      <c r="I605" s="1265" t="s">
        <v>1953</v>
      </c>
      <c r="J605" s="1265" t="s">
        <v>1926</v>
      </c>
      <c r="K605" s="1173" t="s">
        <v>43</v>
      </c>
      <c r="L605" s="1268"/>
      <c r="M605" s="1246">
        <v>171518585</v>
      </c>
      <c r="N605" s="1172"/>
      <c r="O605" s="1172"/>
    </row>
    <row r="606" spans="1:18" ht="30" x14ac:dyDescent="0.2">
      <c r="A606" s="1169">
        <v>2022600</v>
      </c>
      <c r="B606" s="1267" t="s">
        <v>459</v>
      </c>
      <c r="C606" s="1267"/>
      <c r="D606" s="1170" t="s">
        <v>674</v>
      </c>
      <c r="E606" s="1267" t="s">
        <v>1177</v>
      </c>
      <c r="F606" s="1194" t="s">
        <v>1200</v>
      </c>
      <c r="G606" s="1265" t="s">
        <v>1177</v>
      </c>
      <c r="H606" s="1265" t="s">
        <v>1177</v>
      </c>
      <c r="I606" s="1265" t="s">
        <v>1177</v>
      </c>
      <c r="J606" s="1265" t="s">
        <v>1177</v>
      </c>
      <c r="K606" s="1173"/>
      <c r="L606" s="1268"/>
      <c r="M606" s="1246">
        <v>1613810</v>
      </c>
      <c r="N606" s="1172"/>
      <c r="O606" s="1172"/>
    </row>
    <row r="607" spans="1:18" ht="30" x14ac:dyDescent="0.2">
      <c r="A607" s="1169">
        <v>2022601</v>
      </c>
      <c r="B607" s="1267" t="s">
        <v>459</v>
      </c>
      <c r="C607" s="1267"/>
      <c r="D607" s="1170" t="s">
        <v>674</v>
      </c>
      <c r="E607" s="1267" t="s">
        <v>1177</v>
      </c>
      <c r="F607" s="1194" t="s">
        <v>1201</v>
      </c>
      <c r="G607" s="1265" t="s">
        <v>1177</v>
      </c>
      <c r="H607" s="1265" t="s">
        <v>1177</v>
      </c>
      <c r="I607" s="1265" t="s">
        <v>1177</v>
      </c>
      <c r="J607" s="1265" t="s">
        <v>1177</v>
      </c>
      <c r="K607" s="1173"/>
      <c r="L607" s="1268"/>
      <c r="M607" s="1246">
        <v>8008255</v>
      </c>
      <c r="N607" s="1172"/>
      <c r="O607" s="1172"/>
    </row>
    <row r="608" spans="1:18" s="331" customFormat="1" ht="120" x14ac:dyDescent="0.2">
      <c r="A608" s="1169">
        <v>2022602</v>
      </c>
      <c r="B608" s="1277">
        <v>7637</v>
      </c>
      <c r="C608" s="1265" t="s">
        <v>645</v>
      </c>
      <c r="D608" s="1170" t="s">
        <v>674</v>
      </c>
      <c r="E608" s="1277">
        <v>80111600</v>
      </c>
      <c r="F608" s="1194" t="s">
        <v>1202</v>
      </c>
      <c r="G608" s="1265" t="s">
        <v>1743</v>
      </c>
      <c r="H608" s="1265" t="s">
        <v>1743</v>
      </c>
      <c r="I608" s="1265" t="s">
        <v>1954</v>
      </c>
      <c r="J608" s="1265" t="s">
        <v>1783</v>
      </c>
      <c r="K608" s="1173" t="s">
        <v>678</v>
      </c>
      <c r="L608" s="1278" t="s">
        <v>679</v>
      </c>
      <c r="M608" s="1246">
        <v>3500000</v>
      </c>
      <c r="N608" s="1172" t="s">
        <v>733</v>
      </c>
      <c r="O608" s="1172" t="s">
        <v>1745</v>
      </c>
      <c r="R608" s="1204"/>
    </row>
    <row r="609" spans="1:18" ht="90" x14ac:dyDescent="0.2">
      <c r="A609" s="1169">
        <v>2022603</v>
      </c>
      <c r="B609" s="1169">
        <v>7655</v>
      </c>
      <c r="C609" s="1169" t="s">
        <v>648</v>
      </c>
      <c r="D609" s="1187" t="s">
        <v>674</v>
      </c>
      <c r="E609" s="1169">
        <v>80111600</v>
      </c>
      <c r="F609" s="1189" t="s">
        <v>1203</v>
      </c>
      <c r="G609" s="1190" t="s">
        <v>1743</v>
      </c>
      <c r="H609" s="1209" t="s">
        <v>1743</v>
      </c>
      <c r="I609" s="1212" t="s">
        <v>1785</v>
      </c>
      <c r="J609" s="1192" t="s">
        <v>1783</v>
      </c>
      <c r="K609" s="1173" t="s">
        <v>678</v>
      </c>
      <c r="L609" s="1173" t="s">
        <v>679</v>
      </c>
      <c r="M609" s="1176">
        <v>42000000</v>
      </c>
      <c r="N609" s="1211" t="s">
        <v>727</v>
      </c>
      <c r="O609" s="1203" t="s">
        <v>1784</v>
      </c>
      <c r="R609" s="1156"/>
    </row>
    <row r="610" spans="1:18" ht="60" x14ac:dyDescent="0.2">
      <c r="A610" s="1169">
        <v>2022604</v>
      </c>
      <c r="B610" s="1169">
        <v>7655</v>
      </c>
      <c r="C610" s="1169" t="s">
        <v>648</v>
      </c>
      <c r="D610" s="1187" t="s">
        <v>1804</v>
      </c>
      <c r="E610" s="1169">
        <v>80111600</v>
      </c>
      <c r="F610" s="1189" t="s">
        <v>1204</v>
      </c>
      <c r="G610" s="1221">
        <v>44578</v>
      </c>
      <c r="H610" s="1221">
        <v>44578</v>
      </c>
      <c r="I610" s="1191" t="s">
        <v>1955</v>
      </c>
      <c r="J610" s="1192" t="s">
        <v>1783</v>
      </c>
      <c r="K610" s="1173" t="s">
        <v>678</v>
      </c>
      <c r="L610" s="1173" t="s">
        <v>679</v>
      </c>
      <c r="M610" s="1176">
        <v>28175000</v>
      </c>
      <c r="N610" s="1194" t="s">
        <v>729</v>
      </c>
      <c r="O610" s="1194" t="s">
        <v>1784</v>
      </c>
      <c r="R610" s="1156"/>
    </row>
    <row r="611" spans="1:18" ht="60" x14ac:dyDescent="0.2">
      <c r="A611" s="1169">
        <v>2022605</v>
      </c>
      <c r="B611" s="1169">
        <v>7655</v>
      </c>
      <c r="C611" s="1169" t="s">
        <v>648</v>
      </c>
      <c r="D611" s="1187" t="s">
        <v>674</v>
      </c>
      <c r="E611" s="1169">
        <v>80111600</v>
      </c>
      <c r="F611" s="1189" t="s">
        <v>1205</v>
      </c>
      <c r="G611" s="1190" t="s">
        <v>1743</v>
      </c>
      <c r="H611" s="1209" t="s">
        <v>1743</v>
      </c>
      <c r="I611" s="1279" t="s">
        <v>1791</v>
      </c>
      <c r="J611" s="1192" t="s">
        <v>1783</v>
      </c>
      <c r="K611" s="1173" t="s">
        <v>678</v>
      </c>
      <c r="L611" s="1173" t="s">
        <v>679</v>
      </c>
      <c r="M611" s="1176">
        <f>10*4500000</f>
        <v>45000000</v>
      </c>
      <c r="N611" s="1194" t="s">
        <v>729</v>
      </c>
      <c r="O611" s="1203" t="s">
        <v>1784</v>
      </c>
      <c r="R611" s="1156"/>
    </row>
    <row r="612" spans="1:18" ht="60" x14ac:dyDescent="0.2">
      <c r="A612" s="1169">
        <v>2022606</v>
      </c>
      <c r="B612" s="1169">
        <v>7655</v>
      </c>
      <c r="C612" s="1169" t="s">
        <v>648</v>
      </c>
      <c r="D612" s="1187" t="s">
        <v>1804</v>
      </c>
      <c r="E612" s="1169">
        <v>80111600</v>
      </c>
      <c r="F612" s="1194" t="s">
        <v>1206</v>
      </c>
      <c r="G612" s="1280">
        <v>44582</v>
      </c>
      <c r="H612" s="1280">
        <v>44582</v>
      </c>
      <c r="I612" s="1265" t="s">
        <v>1924</v>
      </c>
      <c r="J612" s="1192" t="s">
        <v>1783</v>
      </c>
      <c r="K612" s="1173" t="s">
        <v>678</v>
      </c>
      <c r="L612" s="1173" t="s">
        <v>679</v>
      </c>
      <c r="M612" s="1176">
        <v>19200000</v>
      </c>
      <c r="N612" s="1194" t="s">
        <v>729</v>
      </c>
      <c r="O612" s="1203" t="s">
        <v>1784</v>
      </c>
      <c r="R612" s="1156"/>
    </row>
    <row r="613" spans="1:18" ht="120" x14ac:dyDescent="0.2">
      <c r="A613" s="1169">
        <v>2022607</v>
      </c>
      <c r="B613" s="1277" t="s">
        <v>97</v>
      </c>
      <c r="C613" s="1277" t="s">
        <v>97</v>
      </c>
      <c r="D613" s="1187" t="s">
        <v>690</v>
      </c>
      <c r="E613" s="1267" t="s">
        <v>1207</v>
      </c>
      <c r="F613" s="1194" t="s">
        <v>1208</v>
      </c>
      <c r="G613" s="1274">
        <v>44606</v>
      </c>
      <c r="H613" s="1265"/>
      <c r="I613" s="1265" t="s">
        <v>1956</v>
      </c>
      <c r="J613" s="1265" t="s">
        <v>1957</v>
      </c>
      <c r="K613" s="1173" t="s">
        <v>97</v>
      </c>
      <c r="L613" s="1268" t="s">
        <v>97</v>
      </c>
      <c r="M613" s="1246">
        <v>0</v>
      </c>
      <c r="N613" s="1172" t="s">
        <v>97</v>
      </c>
      <c r="O613" s="1172" t="s">
        <v>97</v>
      </c>
    </row>
    <row r="614" spans="1:18" ht="105" x14ac:dyDescent="0.2">
      <c r="A614" s="1188">
        <v>2022608</v>
      </c>
      <c r="B614" s="1188">
        <v>7637</v>
      </c>
      <c r="C614" s="1188" t="s">
        <v>645</v>
      </c>
      <c r="D614" s="1240" t="s">
        <v>674</v>
      </c>
      <c r="E614" s="1281">
        <v>80111600</v>
      </c>
      <c r="F614" s="1240" t="s">
        <v>1209</v>
      </c>
      <c r="G614" s="1282" t="s">
        <v>1743</v>
      </c>
      <c r="H614" s="1282" t="s">
        <v>1743</v>
      </c>
      <c r="I614" s="1282">
        <v>10</v>
      </c>
      <c r="J614" s="1282" t="s">
        <v>1744</v>
      </c>
      <c r="K614" s="1282" t="s">
        <v>678</v>
      </c>
      <c r="L614" s="1283" t="s">
        <v>679</v>
      </c>
      <c r="M614" s="1193">
        <v>23400000</v>
      </c>
      <c r="N614" s="1284" t="s">
        <v>733</v>
      </c>
      <c r="O614" s="1284" t="s">
        <v>1745</v>
      </c>
      <c r="R614" s="1156"/>
    </row>
    <row r="615" spans="1:18" s="1275" customFormat="1" ht="75" x14ac:dyDescent="0.25">
      <c r="A615" s="1179">
        <v>2022609</v>
      </c>
      <c r="B615" s="1179">
        <v>7658</v>
      </c>
      <c r="C615" s="1262" t="s">
        <v>673</v>
      </c>
      <c r="D615" s="1179" t="s">
        <v>693</v>
      </c>
      <c r="E615" s="1179" t="s">
        <v>1776</v>
      </c>
      <c r="F615" s="1179" t="s">
        <v>1211</v>
      </c>
      <c r="G615" s="1179" t="s">
        <v>1743</v>
      </c>
      <c r="H615" s="1179" t="s">
        <v>1743</v>
      </c>
      <c r="I615" s="1179" t="s">
        <v>1958</v>
      </c>
      <c r="J615" s="1179" t="s">
        <v>1884</v>
      </c>
      <c r="K615" s="1179" t="s">
        <v>678</v>
      </c>
      <c r="L615" s="1179" t="s">
        <v>679</v>
      </c>
      <c r="M615" s="1285">
        <f>181080376-104794000</f>
        <v>76286376</v>
      </c>
      <c r="N615" s="1179" t="s">
        <v>741</v>
      </c>
      <c r="O615" s="1179" t="s">
        <v>1875</v>
      </c>
      <c r="R615" s="1156"/>
    </row>
    <row r="616" spans="1:18" ht="120" x14ac:dyDescent="0.2">
      <c r="A616" s="1169">
        <v>2022610</v>
      </c>
      <c r="B616" s="1267" t="s">
        <v>459</v>
      </c>
      <c r="C616" s="1267"/>
      <c r="D616" s="1170" t="s">
        <v>674</v>
      </c>
      <c r="E616" s="1169" t="s">
        <v>1194</v>
      </c>
      <c r="F616" s="1194" t="s">
        <v>1212</v>
      </c>
      <c r="G616" s="1265" t="s">
        <v>1879</v>
      </c>
      <c r="H616" s="1265" t="s">
        <v>1879</v>
      </c>
      <c r="I616" s="1286" t="s">
        <v>1959</v>
      </c>
      <c r="J616" s="1265" t="s">
        <v>1817</v>
      </c>
      <c r="K616" s="1173" t="s">
        <v>43</v>
      </c>
      <c r="L616" s="1268"/>
      <c r="M616" s="1246">
        <v>81890487</v>
      </c>
      <c r="N616" s="1172"/>
      <c r="O616" s="1172"/>
    </row>
    <row r="617" spans="1:18" ht="75.599999999999994" customHeight="1" x14ac:dyDescent="0.2">
      <c r="A617" s="1269">
        <v>2022611</v>
      </c>
      <c r="B617" s="1262">
        <v>7658</v>
      </c>
      <c r="C617" s="1262" t="s">
        <v>673</v>
      </c>
      <c r="D617" s="1262" t="s">
        <v>693</v>
      </c>
      <c r="E617" s="1287"/>
      <c r="F617" s="1270" t="s">
        <v>1101</v>
      </c>
      <c r="G617" s="1288"/>
      <c r="H617" s="1288"/>
      <c r="I617" s="1288"/>
      <c r="J617" s="1288"/>
      <c r="K617" s="1179" t="s">
        <v>678</v>
      </c>
      <c r="L617" s="1180" t="s">
        <v>679</v>
      </c>
      <c r="M617" s="1185">
        <v>560000</v>
      </c>
      <c r="N617" s="1182" t="s">
        <v>741</v>
      </c>
      <c r="O617" s="1182" t="s">
        <v>1875</v>
      </c>
      <c r="R617" s="1156"/>
    </row>
    <row r="618" spans="1:18" ht="125.45" customHeight="1" x14ac:dyDescent="0.2">
      <c r="A618" s="1269">
        <v>2022612</v>
      </c>
      <c r="B618" s="1262">
        <v>7637</v>
      </c>
      <c r="C618" s="1262" t="s">
        <v>645</v>
      </c>
      <c r="D618" s="1262" t="s">
        <v>674</v>
      </c>
      <c r="E618" s="1262" t="s">
        <v>1194</v>
      </c>
      <c r="F618" s="1271" t="s">
        <v>1195</v>
      </c>
      <c r="G618" s="1269" t="s">
        <v>1873</v>
      </c>
      <c r="H618" s="1269" t="s">
        <v>1873</v>
      </c>
      <c r="I618" s="1269" t="s">
        <v>1924</v>
      </c>
      <c r="J618" s="1271" t="s">
        <v>1817</v>
      </c>
      <c r="K618" s="1179" t="s">
        <v>678</v>
      </c>
      <c r="L618" s="1180" t="s">
        <v>738</v>
      </c>
      <c r="M618" s="1185">
        <v>55735449</v>
      </c>
      <c r="N618" s="1184" t="s">
        <v>733</v>
      </c>
      <c r="O618" s="1184" t="s">
        <v>1745</v>
      </c>
      <c r="R618" s="1177"/>
    </row>
    <row r="619" spans="1:18" ht="90" x14ac:dyDescent="0.25">
      <c r="A619" s="1269">
        <v>2022613</v>
      </c>
      <c r="B619" s="1289">
        <v>7658</v>
      </c>
      <c r="C619" s="1289" t="s">
        <v>673</v>
      </c>
      <c r="D619" s="1289" t="s">
        <v>699</v>
      </c>
      <c r="E619" s="1290"/>
      <c r="F619" s="1182" t="s">
        <v>1213</v>
      </c>
      <c r="G619" s="1289" t="s">
        <v>1749</v>
      </c>
      <c r="H619" s="1289" t="s">
        <v>1749</v>
      </c>
      <c r="I619" s="1291" t="s">
        <v>97</v>
      </c>
      <c r="J619" s="1291" t="s">
        <v>97</v>
      </c>
      <c r="K619" s="1289" t="s">
        <v>678</v>
      </c>
      <c r="L619" s="1292" t="s">
        <v>1967</v>
      </c>
      <c r="M619" s="1183">
        <v>35781881</v>
      </c>
      <c r="N619" s="1182" t="s">
        <v>1906</v>
      </c>
      <c r="O619" s="1182" t="s">
        <v>1815</v>
      </c>
      <c r="P619" s="1293"/>
      <c r="R619" s="1156"/>
    </row>
    <row r="620" spans="1:18" ht="90" x14ac:dyDescent="0.25">
      <c r="A620" s="1269">
        <v>2022614</v>
      </c>
      <c r="B620" s="1289">
        <v>7658</v>
      </c>
      <c r="C620" s="1289" t="s">
        <v>673</v>
      </c>
      <c r="D620" s="1289" t="s">
        <v>699</v>
      </c>
      <c r="E620" s="1290"/>
      <c r="F620" s="1182" t="s">
        <v>1214</v>
      </c>
      <c r="G620" s="1289" t="s">
        <v>1749</v>
      </c>
      <c r="H620" s="1289" t="s">
        <v>1749</v>
      </c>
      <c r="I620" s="1291" t="s">
        <v>97</v>
      </c>
      <c r="J620" s="1291" t="s">
        <v>97</v>
      </c>
      <c r="K620" s="1289" t="s">
        <v>678</v>
      </c>
      <c r="L620" s="1292" t="s">
        <v>1968</v>
      </c>
      <c r="M620" s="1183">
        <f>27886255+576000</f>
        <v>28462255</v>
      </c>
      <c r="N620" s="1182" t="s">
        <v>1906</v>
      </c>
      <c r="O620" s="1182" t="s">
        <v>1815</v>
      </c>
      <c r="P620" s="1293"/>
      <c r="R620" s="1156"/>
    </row>
    <row r="621" spans="1:18" ht="90" x14ac:dyDescent="0.25">
      <c r="A621" s="1269">
        <v>2022615</v>
      </c>
      <c r="B621" s="1289">
        <v>7658</v>
      </c>
      <c r="C621" s="1289" t="s">
        <v>673</v>
      </c>
      <c r="D621" s="1289" t="s">
        <v>699</v>
      </c>
      <c r="E621" s="1290"/>
      <c r="F621" s="1182" t="s">
        <v>1215</v>
      </c>
      <c r="G621" s="1289" t="s">
        <v>1749</v>
      </c>
      <c r="H621" s="1289" t="s">
        <v>1749</v>
      </c>
      <c r="I621" s="1291" t="s">
        <v>97</v>
      </c>
      <c r="J621" s="1291" t="s">
        <v>97</v>
      </c>
      <c r="K621" s="1289" t="s">
        <v>678</v>
      </c>
      <c r="L621" s="1292" t="s">
        <v>1969</v>
      </c>
      <c r="M621" s="1183">
        <v>46885058</v>
      </c>
      <c r="N621" s="1182" t="s">
        <v>725</v>
      </c>
      <c r="O621" s="1182" t="s">
        <v>1815</v>
      </c>
      <c r="P621" s="1293"/>
      <c r="R621" s="1156"/>
    </row>
    <row r="622" spans="1:18" ht="90" x14ac:dyDescent="0.25">
      <c r="A622" s="1269">
        <v>2022616</v>
      </c>
      <c r="B622" s="1289">
        <v>7658</v>
      </c>
      <c r="C622" s="1289" t="s">
        <v>673</v>
      </c>
      <c r="D622" s="1289" t="s">
        <v>699</v>
      </c>
      <c r="E622" s="1290"/>
      <c r="F622" s="1182" t="s">
        <v>1216</v>
      </c>
      <c r="G622" s="1289" t="s">
        <v>1749</v>
      </c>
      <c r="H622" s="1289" t="s">
        <v>1749</v>
      </c>
      <c r="I622" s="1291" t="s">
        <v>97</v>
      </c>
      <c r="J622" s="1291" t="s">
        <v>97</v>
      </c>
      <c r="K622" s="1289" t="s">
        <v>678</v>
      </c>
      <c r="L622" s="1292" t="s">
        <v>1970</v>
      </c>
      <c r="M622" s="1183">
        <v>432800</v>
      </c>
      <c r="N622" s="1182" t="s">
        <v>1906</v>
      </c>
      <c r="O622" s="1182" t="s">
        <v>1815</v>
      </c>
      <c r="P622" s="1293"/>
      <c r="R622" s="1156"/>
    </row>
    <row r="623" spans="1:18" ht="90" x14ac:dyDescent="0.2">
      <c r="A623" s="1269">
        <v>2022617</v>
      </c>
      <c r="B623" s="1289">
        <v>7658</v>
      </c>
      <c r="C623" s="1289" t="s">
        <v>673</v>
      </c>
      <c r="D623" s="1289" t="s">
        <v>699</v>
      </c>
      <c r="E623" s="1289" t="s">
        <v>1093</v>
      </c>
      <c r="F623" s="1182" t="s">
        <v>1217</v>
      </c>
      <c r="G623" s="1289" t="s">
        <v>1753</v>
      </c>
      <c r="H623" s="1289" t="s">
        <v>1753</v>
      </c>
      <c r="I623" s="1289" t="s">
        <v>1911</v>
      </c>
      <c r="J623" s="1289" t="s">
        <v>1861</v>
      </c>
      <c r="K623" s="1289" t="s">
        <v>678</v>
      </c>
      <c r="L623" s="1294" t="s">
        <v>962</v>
      </c>
      <c r="M623" s="1183">
        <v>175000000</v>
      </c>
      <c r="N623" s="1182" t="s">
        <v>725</v>
      </c>
      <c r="O623" s="1182" t="s">
        <v>1815</v>
      </c>
      <c r="P623" s="1293"/>
      <c r="R623" s="1156"/>
    </row>
    <row r="624" spans="1:18" ht="60" x14ac:dyDescent="0.2">
      <c r="A624" s="1269">
        <v>2022618</v>
      </c>
      <c r="B624" s="1270" t="s">
        <v>459</v>
      </c>
      <c r="C624" s="1270" t="s">
        <v>459</v>
      </c>
      <c r="D624" s="1262" t="s">
        <v>696</v>
      </c>
      <c r="E624" s="1262" t="s">
        <v>1971</v>
      </c>
      <c r="F624" s="1271" t="s">
        <v>1218</v>
      </c>
      <c r="G624" s="1269" t="s">
        <v>1873</v>
      </c>
      <c r="H624" s="1269" t="s">
        <v>1880</v>
      </c>
      <c r="I624" s="1269" t="s">
        <v>1933</v>
      </c>
      <c r="J624" s="1262" t="s">
        <v>1938</v>
      </c>
      <c r="K624" s="1262" t="s">
        <v>774</v>
      </c>
      <c r="L624" s="1262"/>
      <c r="M624" s="1183">
        <v>29250000</v>
      </c>
      <c r="N624" s="1288"/>
      <c r="O624" s="1288"/>
      <c r="R624" s="1156"/>
    </row>
    <row r="625" spans="1:18" ht="105" x14ac:dyDescent="0.2">
      <c r="A625" s="1269">
        <v>2022619</v>
      </c>
      <c r="B625" s="1269">
        <v>7637</v>
      </c>
      <c r="C625" s="1271" t="s">
        <v>645</v>
      </c>
      <c r="D625" s="1271" t="s">
        <v>674</v>
      </c>
      <c r="E625" s="1287" t="s">
        <v>1219</v>
      </c>
      <c r="F625" s="1271" t="s">
        <v>1220</v>
      </c>
      <c r="G625" s="1269" t="s">
        <v>1880</v>
      </c>
      <c r="H625" s="1269" t="s">
        <v>1892</v>
      </c>
      <c r="I625" s="1269">
        <v>12</v>
      </c>
      <c r="J625" s="1271" t="s">
        <v>1760</v>
      </c>
      <c r="K625" s="1271" t="s">
        <v>678</v>
      </c>
      <c r="L625" s="1262" t="s">
        <v>732</v>
      </c>
      <c r="M625" s="1183">
        <v>8000000</v>
      </c>
      <c r="N625" s="1271" t="s">
        <v>733</v>
      </c>
      <c r="O625" s="1271" t="s">
        <v>1745</v>
      </c>
      <c r="R625" s="1156"/>
    </row>
    <row r="626" spans="1:18" ht="102.75" customHeight="1" x14ac:dyDescent="0.2">
      <c r="A626" s="1269">
        <v>2022620</v>
      </c>
      <c r="B626" s="1269">
        <v>7658</v>
      </c>
      <c r="C626" s="1271" t="s">
        <v>673</v>
      </c>
      <c r="D626" s="1271" t="s">
        <v>699</v>
      </c>
      <c r="E626" s="1262" t="s">
        <v>1972</v>
      </c>
      <c r="F626" s="1271" t="s">
        <v>1222</v>
      </c>
      <c r="G626" s="1269" t="s">
        <v>1749</v>
      </c>
      <c r="H626" s="1269" t="s">
        <v>1749</v>
      </c>
      <c r="I626" s="1269" t="s">
        <v>1909</v>
      </c>
      <c r="J626" s="1271" t="s">
        <v>1861</v>
      </c>
      <c r="K626" s="1271" t="s">
        <v>678</v>
      </c>
      <c r="L626" s="1262" t="s">
        <v>962</v>
      </c>
      <c r="M626" s="1183">
        <v>8000000</v>
      </c>
      <c r="N626" s="1271" t="s">
        <v>725</v>
      </c>
      <c r="O626" s="1271" t="s">
        <v>1815</v>
      </c>
      <c r="R626" s="1156"/>
    </row>
  </sheetData>
  <protectedRanges>
    <protectedRange sqref="D27:D28" name="Rango1_9_1_7"/>
    <protectedRange sqref="F28" name="Rango1_4_4_1"/>
    <protectedRange sqref="D29:D35" name="Rango1_9_1_1_1"/>
    <protectedRange sqref="G29:H30 G27" name="Rango1_51_3_1"/>
    <protectedRange sqref="F29:F30" name="Rango1_5_3_1"/>
    <protectedRange sqref="D36:D39" name="Rango1_9_1_2_1"/>
    <protectedRange sqref="D40:D44" name="Rango1_9_1_3_1"/>
    <protectedRange sqref="D45" name="Rango1_9_1_4_1"/>
    <protectedRange sqref="D46" name="Rango1_9_1_5_1"/>
    <protectedRange sqref="D47:D48" name="Rango1_9_1_6_1"/>
    <protectedRange sqref="D185:D213 D586:D588" name="Rango1_9_1_3"/>
    <protectedRange sqref="F185" name="Rango1_4_4_2"/>
    <protectedRange sqref="D233:D255" name="Rango1_9_1_4"/>
    <protectedRange sqref="D146:D173 D175:D180" name="Rango1_9_1_5"/>
    <protectedRange sqref="D174" name="Rango1_9_1_1_1_1"/>
    <protectedRange sqref="F146:F173 F175:F180" name="Rango1_4_4_4_1"/>
    <protectedRange sqref="F174" name="Rango1_4_4_1_2_1"/>
    <protectedRange sqref="F233" name="Rango1_4_4_5"/>
    <protectedRange sqref="F235" name="Rango1_6_3_1"/>
    <protectedRange sqref="F236:F237" name="Rango1_5_3_1_1"/>
    <protectedRange sqref="F49:F137 F139:F145 F610" name="Rango1_4_4_3"/>
    <protectedRange sqref="F328" name="Rango1_4_4_5_1"/>
    <protectedRange sqref="F327" name="Rango1_4_4_1_1_2"/>
    <protectedRange sqref="F335:F341" name="Rango1_4_4"/>
    <protectedRange sqref="F490" name="Rango1_6_3_3"/>
    <protectedRange sqref="F491" name="Rango1_5_3_3"/>
    <protectedRange sqref="F492" name="Rango1_5_3_3_1"/>
    <protectedRange sqref="F256:F258 F314 F304:F311 F260:F301" name="Rango1_4_4_7"/>
    <protectedRange sqref="F302:F303" name="Rango1_4_4_1_6"/>
    <protectedRange sqref="F312:F313" name="Rango1_4_4_2_5"/>
    <protectedRange sqref="F259" name="Rango1_4_4_3_5"/>
    <protectedRange sqref="F393" name="Rango1_4_4_9"/>
    <protectedRange sqref="F396" name="Rango1_6_3_1_1"/>
    <protectedRange sqref="G397:H398" name="Rango1_51_3_1_1"/>
    <protectedRange sqref="F397:F398" name="Rango1_5_3_1_2"/>
  </protectedRanges>
  <autoFilter ref="A6:R6" xr:uid="{00000000-0009-0000-0000-000009000000}"/>
  <mergeCells count="4">
    <mergeCell ref="A1:L1"/>
    <mergeCell ref="A2:L2"/>
    <mergeCell ref="A3:O3"/>
    <mergeCell ref="M4:N4"/>
  </mergeCells>
  <dataValidations count="1">
    <dataValidation type="list" allowBlank="1" showInputMessage="1" showErrorMessage="1" sqref="L609 L214:L217 L182 L220:L255 L614 L611:L612 L7:L15 L17:L48" xr:uid="{00000000-0002-0000-0900-000000000000}">
      <formula1>tec</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740"/>
  <sheetViews>
    <sheetView workbookViewId="0">
      <selection activeCell="A2" sqref="A2:IV2"/>
    </sheetView>
  </sheetViews>
  <sheetFormatPr baseColWidth="10" defaultColWidth="9.140625" defaultRowHeight="15" x14ac:dyDescent="0.25"/>
  <cols>
    <col min="1" max="1" width="10.5703125" style="803" customWidth="1"/>
    <col min="2" max="2" width="28" style="803" customWidth="1"/>
    <col min="3" max="3" width="18" style="803" customWidth="1"/>
    <col min="4" max="4" width="8" style="803" customWidth="1"/>
    <col min="5" max="5" width="11.42578125" style="803" customWidth="1"/>
    <col min="6" max="6" width="5.7109375" style="803" customWidth="1"/>
    <col min="7" max="7" width="10.140625" style="803" customWidth="1"/>
    <col min="8" max="8" width="22.140625" style="803" customWidth="1"/>
    <col min="9" max="9" width="15.42578125" style="803" customWidth="1"/>
    <col min="10" max="10" width="20.85546875" style="803" customWidth="1"/>
    <col min="11" max="11" width="9.7109375" style="803" customWidth="1"/>
    <col min="12" max="12" width="7" style="803" customWidth="1"/>
    <col min="13" max="13" width="4" style="803" customWidth="1"/>
    <col min="14" max="14" width="5.42578125" style="803" customWidth="1"/>
    <col min="15" max="15" width="41.85546875" style="803" customWidth="1"/>
    <col min="16" max="16" width="13.5703125" style="803" customWidth="1"/>
    <col min="17" max="17" width="26.42578125" style="803" customWidth="1"/>
    <col min="18" max="18" width="9.140625" style="803" customWidth="1"/>
    <col min="19" max="256" width="11.42578125" customWidth="1"/>
  </cols>
  <sheetData>
    <row r="1" spans="1:18" ht="18" x14ac:dyDescent="0.25">
      <c r="A1" s="802" t="s">
        <v>1973</v>
      </c>
      <c r="B1" s="802"/>
      <c r="C1" s="802"/>
      <c r="D1" s="802"/>
      <c r="E1" s="802"/>
      <c r="F1" s="802"/>
      <c r="G1" s="802"/>
      <c r="H1" s="802"/>
      <c r="I1" s="802"/>
      <c r="J1" s="802"/>
      <c r="K1" s="802"/>
      <c r="L1" s="802"/>
      <c r="M1" s="802"/>
      <c r="N1" s="802"/>
      <c r="O1" s="802"/>
      <c r="P1" s="802"/>
      <c r="Q1" s="802"/>
      <c r="R1" s="802"/>
    </row>
    <row r="2" spans="1:18" s="807" customFormat="1" x14ac:dyDescent="0.25">
      <c r="A2" s="804" t="s">
        <v>654</v>
      </c>
      <c r="B2" s="805" t="s">
        <v>1974</v>
      </c>
      <c r="C2" s="805" t="s">
        <v>662</v>
      </c>
      <c r="D2" s="805" t="s">
        <v>1975</v>
      </c>
      <c r="E2" s="805" t="s">
        <v>1976</v>
      </c>
      <c r="F2" s="805" t="s">
        <v>1977</v>
      </c>
      <c r="G2" s="805" t="s">
        <v>1978</v>
      </c>
      <c r="H2" s="805" t="s">
        <v>659</v>
      </c>
      <c r="I2" s="805" t="s">
        <v>660</v>
      </c>
      <c r="J2" s="805" t="s">
        <v>1979</v>
      </c>
      <c r="K2" s="805" t="s">
        <v>1980</v>
      </c>
      <c r="L2" s="805" t="s">
        <v>1981</v>
      </c>
      <c r="M2" s="805" t="s">
        <v>1982</v>
      </c>
      <c r="N2" s="805" t="s">
        <v>1983</v>
      </c>
      <c r="O2" s="805" t="s">
        <v>1984</v>
      </c>
      <c r="P2" s="805" t="s">
        <v>1985</v>
      </c>
      <c r="Q2" s="805" t="s">
        <v>1986</v>
      </c>
      <c r="R2" s="806"/>
    </row>
    <row r="3" spans="1:18" x14ac:dyDescent="0.25">
      <c r="A3" s="808" t="s">
        <v>1987</v>
      </c>
      <c r="B3" s="808" t="s">
        <v>1988</v>
      </c>
      <c r="C3" s="809">
        <v>20000000</v>
      </c>
      <c r="D3" s="808" t="s">
        <v>1866</v>
      </c>
      <c r="E3" s="808" t="s">
        <v>1866</v>
      </c>
      <c r="F3" s="808" t="s">
        <v>1989</v>
      </c>
      <c r="G3" s="808" t="s">
        <v>1990</v>
      </c>
      <c r="H3" s="808" t="s">
        <v>1991</v>
      </c>
      <c r="I3" s="808" t="s">
        <v>1992</v>
      </c>
      <c r="J3" s="810">
        <v>20000000</v>
      </c>
      <c r="K3" s="808" t="s">
        <v>1993</v>
      </c>
      <c r="L3" s="808" t="s">
        <v>1177</v>
      </c>
      <c r="M3" s="808" t="s">
        <v>1973</v>
      </c>
      <c r="N3" s="808" t="s">
        <v>1973</v>
      </c>
      <c r="O3" s="808" t="s">
        <v>1994</v>
      </c>
      <c r="P3" s="808" t="s">
        <v>1995</v>
      </c>
      <c r="Q3" s="808" t="s">
        <v>1996</v>
      </c>
    </row>
    <row r="4" spans="1:18" x14ac:dyDescent="0.25">
      <c r="A4" s="808" t="s">
        <v>1987</v>
      </c>
      <c r="B4" s="808" t="s">
        <v>1997</v>
      </c>
      <c r="C4" s="809">
        <v>47200000</v>
      </c>
      <c r="D4" s="808" t="s">
        <v>1866</v>
      </c>
      <c r="E4" s="808" t="s">
        <v>1866</v>
      </c>
      <c r="F4" s="808" t="s">
        <v>1989</v>
      </c>
      <c r="G4" s="808" t="s">
        <v>1990</v>
      </c>
      <c r="H4" s="808" t="s">
        <v>1991</v>
      </c>
      <c r="I4" s="808" t="s">
        <v>1992</v>
      </c>
      <c r="J4" s="810">
        <v>47200000</v>
      </c>
      <c r="K4" s="808" t="s">
        <v>1993</v>
      </c>
      <c r="L4" s="808" t="s">
        <v>1177</v>
      </c>
      <c r="M4" s="808" t="s">
        <v>1973</v>
      </c>
      <c r="N4" s="808" t="s">
        <v>1973</v>
      </c>
      <c r="O4" s="808" t="s">
        <v>1994</v>
      </c>
      <c r="P4" s="808" t="s">
        <v>1995</v>
      </c>
      <c r="Q4" s="808" t="s">
        <v>1996</v>
      </c>
    </row>
    <row r="5" spans="1:18" x14ac:dyDescent="0.25">
      <c r="A5" s="808" t="s">
        <v>1998</v>
      </c>
      <c r="B5" s="808" t="s">
        <v>1999</v>
      </c>
      <c r="C5" s="809">
        <v>20000000</v>
      </c>
      <c r="D5" s="808" t="s">
        <v>1757</v>
      </c>
      <c r="E5" s="808" t="s">
        <v>1757</v>
      </c>
      <c r="F5" s="808" t="s">
        <v>2000</v>
      </c>
      <c r="G5" s="808" t="s">
        <v>1990</v>
      </c>
      <c r="H5" s="808" t="s">
        <v>2001</v>
      </c>
      <c r="I5" s="808" t="s">
        <v>1992</v>
      </c>
      <c r="J5" s="810">
        <v>20000000</v>
      </c>
      <c r="K5" s="808" t="s">
        <v>1993</v>
      </c>
      <c r="L5" s="808" t="s">
        <v>1177</v>
      </c>
      <c r="M5" s="808" t="s">
        <v>1973</v>
      </c>
      <c r="N5" s="808" t="s">
        <v>1973</v>
      </c>
      <c r="O5" s="808" t="s">
        <v>432</v>
      </c>
      <c r="P5" s="808" t="s">
        <v>1995</v>
      </c>
      <c r="Q5" s="808" t="s">
        <v>2002</v>
      </c>
    </row>
    <row r="6" spans="1:18" x14ac:dyDescent="0.25">
      <c r="A6" s="808" t="s">
        <v>1987</v>
      </c>
      <c r="B6" s="808" t="s">
        <v>2003</v>
      </c>
      <c r="C6" s="809">
        <v>23162500</v>
      </c>
      <c r="D6" s="808" t="s">
        <v>1866</v>
      </c>
      <c r="E6" s="808" t="s">
        <v>1866</v>
      </c>
      <c r="F6" s="808" t="s">
        <v>2004</v>
      </c>
      <c r="G6" s="808" t="s">
        <v>1990</v>
      </c>
      <c r="H6" s="808" t="s">
        <v>1991</v>
      </c>
      <c r="I6" s="808" t="s">
        <v>1992</v>
      </c>
      <c r="J6" s="810">
        <v>23162500</v>
      </c>
      <c r="K6" s="808" t="s">
        <v>1993</v>
      </c>
      <c r="L6" s="808" t="s">
        <v>1177</v>
      </c>
      <c r="M6" s="808" t="s">
        <v>1973</v>
      </c>
      <c r="N6" s="808" t="s">
        <v>1973</v>
      </c>
      <c r="O6" s="808" t="s">
        <v>2005</v>
      </c>
      <c r="P6" s="808" t="s">
        <v>1995</v>
      </c>
      <c r="Q6" s="808" t="s">
        <v>2006</v>
      </c>
    </row>
    <row r="7" spans="1:18" x14ac:dyDescent="0.25">
      <c r="A7" s="808" t="s">
        <v>1987</v>
      </c>
      <c r="B7" s="808" t="s">
        <v>2007</v>
      </c>
      <c r="C7" s="809">
        <v>23162500</v>
      </c>
      <c r="D7" s="808" t="s">
        <v>1866</v>
      </c>
      <c r="E7" s="808" t="s">
        <v>1866</v>
      </c>
      <c r="F7" s="808" t="s">
        <v>2004</v>
      </c>
      <c r="G7" s="808" t="s">
        <v>1990</v>
      </c>
      <c r="H7" s="808" t="s">
        <v>1991</v>
      </c>
      <c r="I7" s="808" t="s">
        <v>1992</v>
      </c>
      <c r="J7" s="810">
        <v>23162500</v>
      </c>
      <c r="K7" s="808" t="s">
        <v>1993</v>
      </c>
      <c r="L7" s="808" t="s">
        <v>1177</v>
      </c>
      <c r="M7" s="808" t="s">
        <v>1973</v>
      </c>
      <c r="N7" s="808" t="s">
        <v>1973</v>
      </c>
      <c r="O7" s="808" t="s">
        <v>2005</v>
      </c>
      <c r="P7" s="808" t="s">
        <v>1995</v>
      </c>
      <c r="Q7" s="808" t="s">
        <v>2006</v>
      </c>
    </row>
    <row r="8" spans="1:18" x14ac:dyDescent="0.25">
      <c r="A8" s="808" t="s">
        <v>2008</v>
      </c>
      <c r="B8" s="808" t="s">
        <v>2009</v>
      </c>
      <c r="C8" s="809">
        <v>161928000</v>
      </c>
      <c r="D8" s="808" t="s">
        <v>1866</v>
      </c>
      <c r="E8" s="808" t="s">
        <v>1866</v>
      </c>
      <c r="F8" s="808" t="s">
        <v>2010</v>
      </c>
      <c r="G8" s="808" t="s">
        <v>1990</v>
      </c>
      <c r="H8" s="808" t="s">
        <v>1991</v>
      </c>
      <c r="I8" s="808" t="s">
        <v>1992</v>
      </c>
      <c r="J8" s="810">
        <v>161928000</v>
      </c>
      <c r="K8" s="808" t="s">
        <v>1993</v>
      </c>
      <c r="L8" s="808" t="s">
        <v>1177</v>
      </c>
      <c r="M8" s="808" t="s">
        <v>1973</v>
      </c>
      <c r="N8" s="808" t="s">
        <v>1973</v>
      </c>
      <c r="O8" s="808" t="s">
        <v>1994</v>
      </c>
      <c r="P8" s="808" t="s">
        <v>1995</v>
      </c>
      <c r="Q8" s="808" t="s">
        <v>1996</v>
      </c>
    </row>
    <row r="9" spans="1:18" x14ac:dyDescent="0.25">
      <c r="A9" s="808" t="s">
        <v>2008</v>
      </c>
      <c r="B9" s="808" t="s">
        <v>2011</v>
      </c>
      <c r="C9" s="809">
        <v>325067484</v>
      </c>
      <c r="D9" s="808" t="s">
        <v>1866</v>
      </c>
      <c r="E9" s="808" t="s">
        <v>1866</v>
      </c>
      <c r="F9" s="808" t="s">
        <v>2010</v>
      </c>
      <c r="G9" s="808" t="s">
        <v>1990</v>
      </c>
      <c r="H9" s="808" t="s">
        <v>1991</v>
      </c>
      <c r="I9" s="808" t="s">
        <v>1992</v>
      </c>
      <c r="J9" s="810">
        <v>325067484</v>
      </c>
      <c r="K9" s="808" t="s">
        <v>1993</v>
      </c>
      <c r="L9" s="808" t="s">
        <v>1177</v>
      </c>
      <c r="M9" s="808" t="s">
        <v>1973</v>
      </c>
      <c r="N9" s="808" t="s">
        <v>1973</v>
      </c>
      <c r="O9" s="808" t="s">
        <v>1994</v>
      </c>
      <c r="P9" s="808" t="s">
        <v>1995</v>
      </c>
      <c r="Q9" s="808" t="s">
        <v>1996</v>
      </c>
    </row>
    <row r="10" spans="1:18" x14ac:dyDescent="0.25">
      <c r="A10" s="808" t="s">
        <v>2008</v>
      </c>
      <c r="B10" s="808" t="s">
        <v>2012</v>
      </c>
      <c r="C10" s="809">
        <v>135660000</v>
      </c>
      <c r="D10" s="808" t="s">
        <v>1866</v>
      </c>
      <c r="E10" s="808" t="s">
        <v>1866</v>
      </c>
      <c r="F10" s="808" t="s">
        <v>2000</v>
      </c>
      <c r="G10" s="808" t="s">
        <v>1990</v>
      </c>
      <c r="H10" s="808" t="s">
        <v>1991</v>
      </c>
      <c r="I10" s="808" t="s">
        <v>1992</v>
      </c>
      <c r="J10" s="810">
        <v>135660000</v>
      </c>
      <c r="K10" s="808" t="s">
        <v>1993</v>
      </c>
      <c r="L10" s="808" t="s">
        <v>1177</v>
      </c>
      <c r="M10" s="808" t="s">
        <v>1973</v>
      </c>
      <c r="N10" s="808" t="s">
        <v>1973</v>
      </c>
      <c r="O10" s="808" t="s">
        <v>1994</v>
      </c>
      <c r="P10" s="808" t="s">
        <v>1995</v>
      </c>
      <c r="Q10" s="808" t="s">
        <v>1996</v>
      </c>
    </row>
    <row r="11" spans="1:18" x14ac:dyDescent="0.25">
      <c r="A11" s="808" t="s">
        <v>2008</v>
      </c>
      <c r="B11" s="808" t="s">
        <v>2013</v>
      </c>
      <c r="C11" s="809">
        <v>330000000</v>
      </c>
      <c r="D11" s="808" t="s">
        <v>1866</v>
      </c>
      <c r="E11" s="808" t="s">
        <v>1866</v>
      </c>
      <c r="F11" s="808" t="s">
        <v>2010</v>
      </c>
      <c r="G11" s="808" t="s">
        <v>1990</v>
      </c>
      <c r="H11" s="808" t="s">
        <v>1991</v>
      </c>
      <c r="I11" s="808" t="s">
        <v>1992</v>
      </c>
      <c r="J11" s="810">
        <v>330000000</v>
      </c>
      <c r="K11" s="808" t="s">
        <v>1993</v>
      </c>
      <c r="L11" s="808" t="s">
        <v>1177</v>
      </c>
      <c r="M11" s="808" t="s">
        <v>1973</v>
      </c>
      <c r="N11" s="808" t="s">
        <v>1973</v>
      </c>
      <c r="O11" s="808" t="s">
        <v>1994</v>
      </c>
      <c r="P11" s="808" t="s">
        <v>1995</v>
      </c>
      <c r="Q11" s="808" t="s">
        <v>1996</v>
      </c>
    </row>
    <row r="12" spans="1:18" x14ac:dyDescent="0.25">
      <c r="A12" s="808" t="s">
        <v>2008</v>
      </c>
      <c r="B12" s="808" t="s">
        <v>2014</v>
      </c>
      <c r="C12" s="809">
        <v>251328000</v>
      </c>
      <c r="D12" s="808" t="s">
        <v>1750</v>
      </c>
      <c r="E12" s="808" t="s">
        <v>1750</v>
      </c>
      <c r="F12" s="808" t="s">
        <v>2010</v>
      </c>
      <c r="G12" s="808" t="s">
        <v>1990</v>
      </c>
      <c r="H12" s="808" t="s">
        <v>1991</v>
      </c>
      <c r="I12" s="808" t="s">
        <v>1992</v>
      </c>
      <c r="J12" s="810">
        <v>251328000</v>
      </c>
      <c r="K12" s="808" t="s">
        <v>1993</v>
      </c>
      <c r="L12" s="808" t="s">
        <v>1177</v>
      </c>
      <c r="M12" s="808" t="s">
        <v>1973</v>
      </c>
      <c r="N12" s="808" t="s">
        <v>1973</v>
      </c>
      <c r="O12" s="808" t="s">
        <v>1994</v>
      </c>
      <c r="P12" s="808" t="s">
        <v>1995</v>
      </c>
      <c r="Q12" s="808" t="s">
        <v>1996</v>
      </c>
    </row>
    <row r="13" spans="1:18" x14ac:dyDescent="0.25">
      <c r="A13" s="808" t="s">
        <v>2008</v>
      </c>
      <c r="B13" s="808" t="s">
        <v>2015</v>
      </c>
      <c r="C13" s="809">
        <v>180000000</v>
      </c>
      <c r="D13" s="808" t="s">
        <v>1750</v>
      </c>
      <c r="E13" s="808" t="s">
        <v>1750</v>
      </c>
      <c r="F13" s="808" t="s">
        <v>2010</v>
      </c>
      <c r="G13" s="808" t="s">
        <v>1990</v>
      </c>
      <c r="H13" s="808" t="s">
        <v>1991</v>
      </c>
      <c r="I13" s="808" t="s">
        <v>1992</v>
      </c>
      <c r="J13" s="810">
        <v>180000000</v>
      </c>
      <c r="K13" s="808" t="s">
        <v>1993</v>
      </c>
      <c r="L13" s="808" t="s">
        <v>1177</v>
      </c>
      <c r="M13" s="808" t="s">
        <v>1973</v>
      </c>
      <c r="N13" s="808" t="s">
        <v>1973</v>
      </c>
      <c r="O13" s="808" t="s">
        <v>1994</v>
      </c>
      <c r="P13" s="808" t="s">
        <v>1995</v>
      </c>
      <c r="Q13" s="808" t="s">
        <v>1996</v>
      </c>
    </row>
    <row r="14" spans="1:18" x14ac:dyDescent="0.25">
      <c r="A14" s="808" t="s">
        <v>2008</v>
      </c>
      <c r="B14" s="808" t="s">
        <v>2016</v>
      </c>
      <c r="C14" s="809">
        <v>240000000</v>
      </c>
      <c r="D14" s="808" t="s">
        <v>1750</v>
      </c>
      <c r="E14" s="808" t="s">
        <v>1750</v>
      </c>
      <c r="F14" s="808" t="s">
        <v>2010</v>
      </c>
      <c r="G14" s="808" t="s">
        <v>1990</v>
      </c>
      <c r="H14" s="808" t="s">
        <v>1991</v>
      </c>
      <c r="I14" s="808" t="s">
        <v>1992</v>
      </c>
      <c r="J14" s="810">
        <v>240000000</v>
      </c>
      <c r="K14" s="808" t="s">
        <v>1993</v>
      </c>
      <c r="L14" s="808" t="s">
        <v>1177</v>
      </c>
      <c r="M14" s="808" t="s">
        <v>1973</v>
      </c>
      <c r="N14" s="808" t="s">
        <v>1973</v>
      </c>
      <c r="O14" s="808" t="s">
        <v>1994</v>
      </c>
      <c r="P14" s="808" t="s">
        <v>1995</v>
      </c>
      <c r="Q14" s="808" t="s">
        <v>1996</v>
      </c>
    </row>
    <row r="15" spans="1:18" x14ac:dyDescent="0.25">
      <c r="A15" s="808" t="s">
        <v>2008</v>
      </c>
      <c r="B15" s="808" t="s">
        <v>2017</v>
      </c>
      <c r="C15" s="809">
        <v>300000000</v>
      </c>
      <c r="D15" s="808" t="s">
        <v>1750</v>
      </c>
      <c r="E15" s="808" t="s">
        <v>1750</v>
      </c>
      <c r="F15" s="808" t="s">
        <v>2010</v>
      </c>
      <c r="G15" s="808" t="s">
        <v>1990</v>
      </c>
      <c r="H15" s="808" t="s">
        <v>1991</v>
      </c>
      <c r="I15" s="808" t="s">
        <v>1992</v>
      </c>
      <c r="J15" s="810">
        <v>300000000</v>
      </c>
      <c r="K15" s="808" t="s">
        <v>1993</v>
      </c>
      <c r="L15" s="808" t="s">
        <v>1177</v>
      </c>
      <c r="M15" s="808" t="s">
        <v>1973</v>
      </c>
      <c r="N15" s="808" t="s">
        <v>1973</v>
      </c>
      <c r="O15" s="808" t="s">
        <v>1994</v>
      </c>
      <c r="P15" s="808" t="s">
        <v>1995</v>
      </c>
      <c r="Q15" s="808" t="s">
        <v>1996</v>
      </c>
    </row>
    <row r="16" spans="1:18" x14ac:dyDescent="0.25">
      <c r="A16" s="808" t="s">
        <v>1987</v>
      </c>
      <c r="B16" s="808" t="s">
        <v>2018</v>
      </c>
      <c r="C16" s="809">
        <v>85698000</v>
      </c>
      <c r="D16" s="808" t="s">
        <v>1749</v>
      </c>
      <c r="E16" s="808" t="s">
        <v>1749</v>
      </c>
      <c r="F16" s="808" t="s">
        <v>2004</v>
      </c>
      <c r="G16" s="808" t="s">
        <v>1990</v>
      </c>
      <c r="H16" s="808" t="s">
        <v>1991</v>
      </c>
      <c r="I16" s="808" t="s">
        <v>1992</v>
      </c>
      <c r="J16" s="810">
        <v>85698000</v>
      </c>
      <c r="K16" s="808" t="s">
        <v>1993</v>
      </c>
      <c r="L16" s="808" t="s">
        <v>1177</v>
      </c>
      <c r="M16" s="808" t="s">
        <v>1973</v>
      </c>
      <c r="N16" s="808" t="s">
        <v>1973</v>
      </c>
      <c r="O16" s="808" t="s">
        <v>2019</v>
      </c>
      <c r="P16" s="808" t="s">
        <v>1995</v>
      </c>
      <c r="Q16" s="808" t="s">
        <v>2020</v>
      </c>
    </row>
    <row r="17" spans="1:17" x14ac:dyDescent="0.25">
      <c r="A17" s="808" t="s">
        <v>1987</v>
      </c>
      <c r="B17" s="808" t="s">
        <v>2021</v>
      </c>
      <c r="C17" s="809">
        <v>96000000</v>
      </c>
      <c r="D17" s="808" t="s">
        <v>1866</v>
      </c>
      <c r="E17" s="808" t="s">
        <v>1866</v>
      </c>
      <c r="F17" s="808" t="s">
        <v>1989</v>
      </c>
      <c r="G17" s="808" t="s">
        <v>1990</v>
      </c>
      <c r="H17" s="808" t="s">
        <v>1991</v>
      </c>
      <c r="I17" s="808" t="s">
        <v>1992</v>
      </c>
      <c r="J17" s="810">
        <v>96000000</v>
      </c>
      <c r="K17" s="808" t="s">
        <v>1993</v>
      </c>
      <c r="L17" s="808" t="s">
        <v>1177</v>
      </c>
      <c r="M17" s="808" t="s">
        <v>1973</v>
      </c>
      <c r="N17" s="808" t="s">
        <v>1973</v>
      </c>
      <c r="O17" s="808" t="s">
        <v>2019</v>
      </c>
      <c r="P17" s="808" t="s">
        <v>1995</v>
      </c>
      <c r="Q17" s="808" t="s">
        <v>2020</v>
      </c>
    </row>
    <row r="18" spans="1:17" x14ac:dyDescent="0.25">
      <c r="A18" s="808" t="s">
        <v>1987</v>
      </c>
      <c r="B18" s="808" t="s">
        <v>2022</v>
      </c>
      <c r="C18" s="809">
        <v>58300000</v>
      </c>
      <c r="D18" s="808" t="s">
        <v>1753</v>
      </c>
      <c r="E18" s="808" t="s">
        <v>1753</v>
      </c>
      <c r="F18" s="808" t="s">
        <v>2023</v>
      </c>
      <c r="G18" s="808" t="s">
        <v>1990</v>
      </c>
      <c r="H18" s="808" t="s">
        <v>1991</v>
      </c>
      <c r="I18" s="808" t="s">
        <v>1992</v>
      </c>
      <c r="J18" s="810">
        <v>58300000</v>
      </c>
      <c r="K18" s="808" t="s">
        <v>1993</v>
      </c>
      <c r="L18" s="808" t="s">
        <v>1177</v>
      </c>
      <c r="M18" s="808" t="s">
        <v>1973</v>
      </c>
      <c r="N18" s="808" t="s">
        <v>1973</v>
      </c>
      <c r="O18" s="808" t="s">
        <v>2024</v>
      </c>
      <c r="P18" s="808" t="s">
        <v>1995</v>
      </c>
      <c r="Q18" s="808" t="s">
        <v>1996</v>
      </c>
    </row>
    <row r="19" spans="1:17" x14ac:dyDescent="0.25">
      <c r="A19" s="808" t="s">
        <v>1987</v>
      </c>
      <c r="B19" s="808" t="s">
        <v>2025</v>
      </c>
      <c r="C19" s="809">
        <v>58300000</v>
      </c>
      <c r="D19" s="808" t="s">
        <v>1753</v>
      </c>
      <c r="E19" s="808" t="s">
        <v>1753</v>
      </c>
      <c r="F19" s="808" t="s">
        <v>2023</v>
      </c>
      <c r="G19" s="808" t="s">
        <v>1990</v>
      </c>
      <c r="H19" s="808" t="s">
        <v>1991</v>
      </c>
      <c r="I19" s="808" t="s">
        <v>1992</v>
      </c>
      <c r="J19" s="810">
        <v>58300000</v>
      </c>
      <c r="K19" s="808" t="s">
        <v>1993</v>
      </c>
      <c r="L19" s="808" t="s">
        <v>1177</v>
      </c>
      <c r="M19" s="808" t="s">
        <v>1973</v>
      </c>
      <c r="N19" s="808" t="s">
        <v>1973</v>
      </c>
      <c r="O19" s="808" t="s">
        <v>2024</v>
      </c>
      <c r="P19" s="808" t="s">
        <v>1995</v>
      </c>
      <c r="Q19" s="808" t="s">
        <v>1996</v>
      </c>
    </row>
    <row r="20" spans="1:17" x14ac:dyDescent="0.25">
      <c r="A20" s="808" t="s">
        <v>1987</v>
      </c>
      <c r="B20" s="808" t="s">
        <v>2025</v>
      </c>
      <c r="C20" s="809">
        <v>43780000</v>
      </c>
      <c r="D20" s="808" t="s">
        <v>1753</v>
      </c>
      <c r="E20" s="808" t="s">
        <v>1753</v>
      </c>
      <c r="F20" s="808" t="s">
        <v>2010</v>
      </c>
      <c r="G20" s="808" t="s">
        <v>1990</v>
      </c>
      <c r="H20" s="808" t="s">
        <v>1991</v>
      </c>
      <c r="I20" s="808" t="s">
        <v>1992</v>
      </c>
      <c r="J20" s="810">
        <v>43780000</v>
      </c>
      <c r="K20" s="808" t="s">
        <v>1993</v>
      </c>
      <c r="L20" s="808" t="s">
        <v>1177</v>
      </c>
      <c r="M20" s="808" t="s">
        <v>1973</v>
      </c>
      <c r="N20" s="808" t="s">
        <v>1973</v>
      </c>
      <c r="O20" s="808" t="s">
        <v>2024</v>
      </c>
      <c r="P20" s="808" t="s">
        <v>1995</v>
      </c>
      <c r="Q20" s="808" t="s">
        <v>1996</v>
      </c>
    </row>
    <row r="21" spans="1:17" x14ac:dyDescent="0.25">
      <c r="A21" s="808" t="s">
        <v>1987</v>
      </c>
      <c r="B21" s="808" t="s">
        <v>2025</v>
      </c>
      <c r="C21" s="809">
        <v>53900000</v>
      </c>
      <c r="D21" s="808" t="s">
        <v>1753</v>
      </c>
      <c r="E21" s="808" t="s">
        <v>1753</v>
      </c>
      <c r="F21" s="808" t="s">
        <v>2010</v>
      </c>
      <c r="G21" s="808" t="s">
        <v>1990</v>
      </c>
      <c r="H21" s="808" t="s">
        <v>1991</v>
      </c>
      <c r="I21" s="808" t="s">
        <v>1992</v>
      </c>
      <c r="J21" s="810">
        <v>53900000</v>
      </c>
      <c r="K21" s="808" t="s">
        <v>1993</v>
      </c>
      <c r="L21" s="808" t="s">
        <v>1177</v>
      </c>
      <c r="M21" s="808" t="s">
        <v>1973</v>
      </c>
      <c r="N21" s="808" t="s">
        <v>1973</v>
      </c>
      <c r="O21" s="808" t="s">
        <v>2024</v>
      </c>
      <c r="P21" s="808" t="s">
        <v>1995</v>
      </c>
      <c r="Q21" s="808" t="s">
        <v>1996</v>
      </c>
    </row>
    <row r="22" spans="1:17" x14ac:dyDescent="0.25">
      <c r="A22" s="808" t="s">
        <v>1987</v>
      </c>
      <c r="B22" s="808" t="s">
        <v>2025</v>
      </c>
      <c r="C22" s="809">
        <v>58300000</v>
      </c>
      <c r="D22" s="808" t="s">
        <v>1753</v>
      </c>
      <c r="E22" s="808" t="s">
        <v>1753</v>
      </c>
      <c r="F22" s="808" t="s">
        <v>2010</v>
      </c>
      <c r="G22" s="808" t="s">
        <v>1990</v>
      </c>
      <c r="H22" s="808" t="s">
        <v>1991</v>
      </c>
      <c r="I22" s="808" t="s">
        <v>1992</v>
      </c>
      <c r="J22" s="810">
        <v>58300000</v>
      </c>
      <c r="K22" s="808" t="s">
        <v>1993</v>
      </c>
      <c r="L22" s="808" t="s">
        <v>1177</v>
      </c>
      <c r="M22" s="808" t="s">
        <v>1973</v>
      </c>
      <c r="N22" s="808" t="s">
        <v>1973</v>
      </c>
      <c r="O22" s="808" t="s">
        <v>2024</v>
      </c>
      <c r="P22" s="808" t="s">
        <v>1995</v>
      </c>
      <c r="Q22" s="808" t="s">
        <v>1996</v>
      </c>
    </row>
    <row r="23" spans="1:17" x14ac:dyDescent="0.25">
      <c r="A23" s="808" t="s">
        <v>1987</v>
      </c>
      <c r="B23" s="808" t="s">
        <v>2025</v>
      </c>
      <c r="C23" s="809">
        <v>43780000</v>
      </c>
      <c r="D23" s="808" t="s">
        <v>1753</v>
      </c>
      <c r="E23" s="808" t="s">
        <v>1753</v>
      </c>
      <c r="F23" s="808" t="s">
        <v>2010</v>
      </c>
      <c r="G23" s="808" t="s">
        <v>1990</v>
      </c>
      <c r="H23" s="808" t="s">
        <v>1991</v>
      </c>
      <c r="I23" s="808" t="s">
        <v>1992</v>
      </c>
      <c r="J23" s="810">
        <v>43780000</v>
      </c>
      <c r="K23" s="808" t="s">
        <v>1993</v>
      </c>
      <c r="L23" s="808" t="s">
        <v>1177</v>
      </c>
      <c r="M23" s="808" t="s">
        <v>1973</v>
      </c>
      <c r="N23" s="808" t="s">
        <v>1973</v>
      </c>
      <c r="O23" s="808" t="s">
        <v>2024</v>
      </c>
      <c r="P23" s="808" t="s">
        <v>1995</v>
      </c>
      <c r="Q23" s="808" t="s">
        <v>1996</v>
      </c>
    </row>
    <row r="24" spans="1:17" x14ac:dyDescent="0.25">
      <c r="A24" s="808" t="s">
        <v>1987</v>
      </c>
      <c r="B24" s="808" t="s">
        <v>2026</v>
      </c>
      <c r="C24" s="809">
        <v>44330000</v>
      </c>
      <c r="D24" s="808" t="s">
        <v>1753</v>
      </c>
      <c r="E24" s="808" t="s">
        <v>1753</v>
      </c>
      <c r="F24" s="808" t="s">
        <v>2010</v>
      </c>
      <c r="G24" s="808" t="s">
        <v>1990</v>
      </c>
      <c r="H24" s="808" t="s">
        <v>1991</v>
      </c>
      <c r="I24" s="808" t="s">
        <v>1992</v>
      </c>
      <c r="J24" s="810">
        <v>44330000</v>
      </c>
      <c r="K24" s="808" t="s">
        <v>1993</v>
      </c>
      <c r="L24" s="808" t="s">
        <v>1177</v>
      </c>
      <c r="M24" s="808" t="s">
        <v>1973</v>
      </c>
      <c r="N24" s="808" t="s">
        <v>1973</v>
      </c>
      <c r="O24" s="808" t="s">
        <v>2024</v>
      </c>
      <c r="P24" s="808" t="s">
        <v>1995</v>
      </c>
      <c r="Q24" s="808" t="s">
        <v>1996</v>
      </c>
    </row>
    <row r="25" spans="1:17" x14ac:dyDescent="0.25">
      <c r="A25" s="808" t="s">
        <v>1987</v>
      </c>
      <c r="B25" s="808" t="s">
        <v>2026</v>
      </c>
      <c r="C25" s="809">
        <v>58300000</v>
      </c>
      <c r="D25" s="808" t="s">
        <v>1753</v>
      </c>
      <c r="E25" s="808" t="s">
        <v>1753</v>
      </c>
      <c r="F25" s="808" t="s">
        <v>2027</v>
      </c>
      <c r="G25" s="808" t="s">
        <v>1990</v>
      </c>
      <c r="H25" s="808" t="s">
        <v>1991</v>
      </c>
      <c r="I25" s="808" t="s">
        <v>1992</v>
      </c>
      <c r="J25" s="810">
        <v>58300000</v>
      </c>
      <c r="K25" s="808" t="s">
        <v>1993</v>
      </c>
      <c r="L25" s="808" t="s">
        <v>1177</v>
      </c>
      <c r="M25" s="808" t="s">
        <v>1973</v>
      </c>
      <c r="N25" s="808" t="s">
        <v>1973</v>
      </c>
      <c r="O25" s="808" t="s">
        <v>2024</v>
      </c>
      <c r="P25" s="808" t="s">
        <v>1995</v>
      </c>
      <c r="Q25" s="808" t="s">
        <v>1996</v>
      </c>
    </row>
    <row r="26" spans="1:17" x14ac:dyDescent="0.25">
      <c r="A26" s="808" t="s">
        <v>1987</v>
      </c>
      <c r="B26" s="808" t="s">
        <v>2028</v>
      </c>
      <c r="C26" s="809">
        <v>47736000</v>
      </c>
      <c r="D26" s="808" t="s">
        <v>1753</v>
      </c>
      <c r="E26" s="808" t="s">
        <v>1753</v>
      </c>
      <c r="F26" s="808" t="s">
        <v>2010</v>
      </c>
      <c r="G26" s="808" t="s">
        <v>1990</v>
      </c>
      <c r="H26" s="808" t="s">
        <v>1991</v>
      </c>
      <c r="I26" s="808" t="s">
        <v>1992</v>
      </c>
      <c r="J26" s="810">
        <v>47736000</v>
      </c>
      <c r="K26" s="808" t="s">
        <v>1993</v>
      </c>
      <c r="L26" s="808" t="s">
        <v>1177</v>
      </c>
      <c r="M26" s="808" t="s">
        <v>1973</v>
      </c>
      <c r="N26" s="808" t="s">
        <v>1973</v>
      </c>
      <c r="O26" s="808" t="s">
        <v>2024</v>
      </c>
      <c r="P26" s="808" t="s">
        <v>1995</v>
      </c>
      <c r="Q26" s="808" t="s">
        <v>1996</v>
      </c>
    </row>
    <row r="27" spans="1:17" x14ac:dyDescent="0.25">
      <c r="A27" s="808" t="s">
        <v>1987</v>
      </c>
      <c r="B27" s="808" t="s">
        <v>2028</v>
      </c>
      <c r="C27" s="809">
        <v>112604000</v>
      </c>
      <c r="D27" s="808" t="s">
        <v>1753</v>
      </c>
      <c r="E27" s="808" t="s">
        <v>1753</v>
      </c>
      <c r="F27" s="808" t="s">
        <v>2010</v>
      </c>
      <c r="G27" s="808" t="s">
        <v>1990</v>
      </c>
      <c r="H27" s="808" t="s">
        <v>1991</v>
      </c>
      <c r="I27" s="808" t="s">
        <v>1992</v>
      </c>
      <c r="J27" s="810">
        <v>112604000</v>
      </c>
      <c r="K27" s="808" t="s">
        <v>1993</v>
      </c>
      <c r="L27" s="808" t="s">
        <v>1177</v>
      </c>
      <c r="M27" s="808" t="s">
        <v>1973</v>
      </c>
      <c r="N27" s="808" t="s">
        <v>1973</v>
      </c>
      <c r="O27" s="808" t="s">
        <v>2024</v>
      </c>
      <c r="P27" s="808" t="s">
        <v>1995</v>
      </c>
      <c r="Q27" s="808" t="s">
        <v>1996</v>
      </c>
    </row>
    <row r="28" spans="1:17" x14ac:dyDescent="0.25">
      <c r="A28" s="808" t="s">
        <v>1987</v>
      </c>
      <c r="B28" s="808" t="s">
        <v>2029</v>
      </c>
      <c r="C28" s="809">
        <v>58300000</v>
      </c>
      <c r="D28" s="808" t="s">
        <v>1753</v>
      </c>
      <c r="E28" s="808" t="s">
        <v>1753</v>
      </c>
      <c r="F28" s="808" t="s">
        <v>2023</v>
      </c>
      <c r="G28" s="808" t="s">
        <v>1990</v>
      </c>
      <c r="H28" s="808" t="s">
        <v>1991</v>
      </c>
      <c r="I28" s="808" t="s">
        <v>1992</v>
      </c>
      <c r="J28" s="810">
        <v>58300000</v>
      </c>
      <c r="K28" s="808" t="s">
        <v>1993</v>
      </c>
      <c r="L28" s="808" t="s">
        <v>1177</v>
      </c>
      <c r="M28" s="808" t="s">
        <v>1973</v>
      </c>
      <c r="N28" s="808" t="s">
        <v>1973</v>
      </c>
      <c r="O28" s="808" t="s">
        <v>2024</v>
      </c>
      <c r="P28" s="808" t="s">
        <v>1995</v>
      </c>
      <c r="Q28" s="808" t="s">
        <v>1996</v>
      </c>
    </row>
    <row r="29" spans="1:17" x14ac:dyDescent="0.25">
      <c r="A29" s="808" t="s">
        <v>2030</v>
      </c>
      <c r="B29" s="808" t="s">
        <v>2031</v>
      </c>
      <c r="C29" s="811" t="s">
        <v>1973</v>
      </c>
      <c r="D29" s="808" t="s">
        <v>1749</v>
      </c>
      <c r="E29" s="808" t="s">
        <v>1749</v>
      </c>
      <c r="F29" s="808" t="s">
        <v>2000</v>
      </c>
      <c r="G29" s="808" t="s">
        <v>1990</v>
      </c>
      <c r="H29" s="808" t="s">
        <v>1991</v>
      </c>
      <c r="I29" s="808" t="s">
        <v>1992</v>
      </c>
      <c r="J29" s="808" t="s">
        <v>1973</v>
      </c>
      <c r="K29" s="808" t="s">
        <v>1993</v>
      </c>
      <c r="L29" s="808" t="s">
        <v>1177</v>
      </c>
      <c r="M29" s="808" t="s">
        <v>1973</v>
      </c>
      <c r="N29" s="808" t="s">
        <v>1973</v>
      </c>
      <c r="O29" s="808" t="s">
        <v>2024</v>
      </c>
      <c r="P29" s="808" t="s">
        <v>1995</v>
      </c>
      <c r="Q29" s="808" t="s">
        <v>1996</v>
      </c>
    </row>
    <row r="30" spans="1:17" x14ac:dyDescent="0.25">
      <c r="A30" s="808" t="s">
        <v>2032</v>
      </c>
      <c r="B30" s="808" t="s">
        <v>2033</v>
      </c>
      <c r="C30" s="809">
        <v>59054190</v>
      </c>
      <c r="D30" s="808" t="s">
        <v>1758</v>
      </c>
      <c r="E30" s="808" t="s">
        <v>1758</v>
      </c>
      <c r="F30" s="808" t="s">
        <v>2000</v>
      </c>
      <c r="G30" s="808" t="s">
        <v>1990</v>
      </c>
      <c r="H30" s="808" t="s">
        <v>1905</v>
      </c>
      <c r="I30" s="808" t="s">
        <v>1992</v>
      </c>
      <c r="J30" s="810">
        <v>59054190</v>
      </c>
      <c r="K30" s="808" t="s">
        <v>1993</v>
      </c>
      <c r="L30" s="808" t="s">
        <v>1177</v>
      </c>
      <c r="M30" s="808" t="s">
        <v>1973</v>
      </c>
      <c r="N30" s="808" t="s">
        <v>1973</v>
      </c>
      <c r="O30" s="808" t="s">
        <v>2034</v>
      </c>
      <c r="P30" s="808" t="s">
        <v>1995</v>
      </c>
      <c r="Q30" s="808" t="s">
        <v>2020</v>
      </c>
    </row>
    <row r="31" spans="1:17" x14ac:dyDescent="0.25">
      <c r="A31" s="808" t="s">
        <v>1987</v>
      </c>
      <c r="B31" s="808" t="s">
        <v>2035</v>
      </c>
      <c r="C31" s="809">
        <v>59500000</v>
      </c>
      <c r="D31" s="808" t="s">
        <v>1749</v>
      </c>
      <c r="E31" s="808" t="s">
        <v>1866</v>
      </c>
      <c r="F31" s="808" t="s">
        <v>2036</v>
      </c>
      <c r="G31" s="808" t="s">
        <v>1990</v>
      </c>
      <c r="H31" s="808" t="s">
        <v>1991</v>
      </c>
      <c r="I31" s="808" t="s">
        <v>1992</v>
      </c>
      <c r="J31" s="810">
        <v>59500000</v>
      </c>
      <c r="K31" s="808" t="s">
        <v>1993</v>
      </c>
      <c r="L31" s="808" t="s">
        <v>1177</v>
      </c>
      <c r="M31" s="808" t="s">
        <v>1973</v>
      </c>
      <c r="N31" s="808" t="s">
        <v>1973</v>
      </c>
      <c r="O31" s="808" t="s">
        <v>2037</v>
      </c>
      <c r="P31" s="808" t="s">
        <v>1995</v>
      </c>
      <c r="Q31" s="808" t="s">
        <v>2038</v>
      </c>
    </row>
    <row r="32" spans="1:17" x14ac:dyDescent="0.25">
      <c r="A32" s="808" t="s">
        <v>1987</v>
      </c>
      <c r="B32" s="808" t="s">
        <v>2039</v>
      </c>
      <c r="C32" s="809">
        <v>27000000</v>
      </c>
      <c r="D32" s="808" t="s">
        <v>1757</v>
      </c>
      <c r="E32" s="808" t="s">
        <v>1757</v>
      </c>
      <c r="F32" s="808" t="s">
        <v>2000</v>
      </c>
      <c r="G32" s="808" t="s">
        <v>1990</v>
      </c>
      <c r="H32" s="808" t="s">
        <v>1991</v>
      </c>
      <c r="I32" s="808" t="s">
        <v>1992</v>
      </c>
      <c r="J32" s="810">
        <v>27000000</v>
      </c>
      <c r="K32" s="808" t="s">
        <v>1993</v>
      </c>
      <c r="L32" s="808" t="s">
        <v>1177</v>
      </c>
      <c r="M32" s="808" t="s">
        <v>1973</v>
      </c>
      <c r="N32" s="808" t="s">
        <v>1973</v>
      </c>
      <c r="O32" s="808" t="s">
        <v>2037</v>
      </c>
      <c r="P32" s="808" t="s">
        <v>1995</v>
      </c>
      <c r="Q32" s="808" t="s">
        <v>2038</v>
      </c>
    </row>
    <row r="33" spans="1:17" x14ac:dyDescent="0.25">
      <c r="A33" s="808" t="s">
        <v>1987</v>
      </c>
      <c r="B33" s="808" t="s">
        <v>2040</v>
      </c>
      <c r="C33" s="809">
        <v>59500000</v>
      </c>
      <c r="D33" s="808" t="s">
        <v>1866</v>
      </c>
      <c r="E33" s="808" t="s">
        <v>1866</v>
      </c>
      <c r="F33" s="808" t="s">
        <v>2036</v>
      </c>
      <c r="G33" s="808" t="s">
        <v>1990</v>
      </c>
      <c r="H33" s="808" t="s">
        <v>1991</v>
      </c>
      <c r="I33" s="808" t="s">
        <v>1992</v>
      </c>
      <c r="J33" s="810">
        <v>59500000</v>
      </c>
      <c r="K33" s="808" t="s">
        <v>1993</v>
      </c>
      <c r="L33" s="808" t="s">
        <v>1177</v>
      </c>
      <c r="M33" s="808" t="s">
        <v>1973</v>
      </c>
      <c r="N33" s="808" t="s">
        <v>1973</v>
      </c>
      <c r="O33" s="808" t="s">
        <v>2037</v>
      </c>
      <c r="P33" s="808" t="s">
        <v>1995</v>
      </c>
      <c r="Q33" s="808" t="s">
        <v>2038</v>
      </c>
    </row>
    <row r="34" spans="1:17" x14ac:dyDescent="0.25">
      <c r="A34" s="808" t="s">
        <v>1987</v>
      </c>
      <c r="B34" s="808" t="s">
        <v>2041</v>
      </c>
      <c r="C34" s="809">
        <v>6000000</v>
      </c>
      <c r="D34" s="808" t="s">
        <v>1753</v>
      </c>
      <c r="E34" s="808" t="s">
        <v>1753</v>
      </c>
      <c r="F34" s="808" t="s">
        <v>2023</v>
      </c>
      <c r="G34" s="808" t="s">
        <v>1990</v>
      </c>
      <c r="H34" s="808" t="s">
        <v>1991</v>
      </c>
      <c r="I34" s="808" t="s">
        <v>1992</v>
      </c>
      <c r="J34" s="810">
        <v>6000000</v>
      </c>
      <c r="K34" s="808" t="s">
        <v>1993</v>
      </c>
      <c r="L34" s="808" t="s">
        <v>1177</v>
      </c>
      <c r="M34" s="808" t="s">
        <v>1973</v>
      </c>
      <c r="N34" s="808" t="s">
        <v>1973</v>
      </c>
      <c r="O34" s="808" t="s">
        <v>2042</v>
      </c>
      <c r="P34" s="808" t="s">
        <v>1995</v>
      </c>
      <c r="Q34" s="808" t="s">
        <v>2043</v>
      </c>
    </row>
    <row r="35" spans="1:17" x14ac:dyDescent="0.25">
      <c r="A35" s="808" t="s">
        <v>1987</v>
      </c>
      <c r="B35" s="808" t="s">
        <v>2044</v>
      </c>
      <c r="C35" s="809">
        <v>63000000</v>
      </c>
      <c r="D35" s="808" t="s">
        <v>1749</v>
      </c>
      <c r="E35" s="808" t="s">
        <v>1749</v>
      </c>
      <c r="F35" s="808" t="s">
        <v>2004</v>
      </c>
      <c r="G35" s="808" t="s">
        <v>1990</v>
      </c>
      <c r="H35" s="808" t="s">
        <v>1991</v>
      </c>
      <c r="I35" s="808" t="s">
        <v>1992</v>
      </c>
      <c r="J35" s="810">
        <v>63000000</v>
      </c>
      <c r="K35" s="808" t="s">
        <v>1993</v>
      </c>
      <c r="L35" s="808" t="s">
        <v>1177</v>
      </c>
      <c r="M35" s="808" t="s">
        <v>1973</v>
      </c>
      <c r="N35" s="808" t="s">
        <v>1973</v>
      </c>
      <c r="O35" s="808" t="s">
        <v>2019</v>
      </c>
      <c r="P35" s="808" t="s">
        <v>1995</v>
      </c>
      <c r="Q35" s="808" t="s">
        <v>2020</v>
      </c>
    </row>
    <row r="36" spans="1:17" x14ac:dyDescent="0.25">
      <c r="A36" s="808" t="s">
        <v>1987</v>
      </c>
      <c r="B36" s="808" t="s">
        <v>2045</v>
      </c>
      <c r="C36" s="809">
        <v>85250000</v>
      </c>
      <c r="D36" s="808" t="s">
        <v>1743</v>
      </c>
      <c r="E36" s="808" t="s">
        <v>1743</v>
      </c>
      <c r="F36" s="808" t="s">
        <v>2027</v>
      </c>
      <c r="G36" s="808" t="s">
        <v>1990</v>
      </c>
      <c r="H36" s="808" t="s">
        <v>1991</v>
      </c>
      <c r="I36" s="808" t="s">
        <v>1992</v>
      </c>
      <c r="J36" s="810">
        <v>85250000</v>
      </c>
      <c r="K36" s="808" t="s">
        <v>1993</v>
      </c>
      <c r="L36" s="808" t="s">
        <v>1177</v>
      </c>
      <c r="M36" s="808" t="s">
        <v>1973</v>
      </c>
      <c r="N36" s="808" t="s">
        <v>1973</v>
      </c>
      <c r="O36" s="808" t="s">
        <v>2019</v>
      </c>
      <c r="P36" s="808" t="s">
        <v>1995</v>
      </c>
      <c r="Q36" s="808" t="s">
        <v>2020</v>
      </c>
    </row>
    <row r="37" spans="1:17" x14ac:dyDescent="0.25">
      <c r="A37" s="808" t="s">
        <v>1987</v>
      </c>
      <c r="B37" s="808" t="s">
        <v>2046</v>
      </c>
      <c r="C37" s="809">
        <v>33000000</v>
      </c>
      <c r="D37" s="808" t="s">
        <v>1758</v>
      </c>
      <c r="E37" s="808" t="s">
        <v>1758</v>
      </c>
      <c r="F37" s="808" t="s">
        <v>2000</v>
      </c>
      <c r="G37" s="808" t="s">
        <v>1990</v>
      </c>
      <c r="H37" s="808" t="s">
        <v>1991</v>
      </c>
      <c r="I37" s="808" t="s">
        <v>1992</v>
      </c>
      <c r="J37" s="810">
        <v>33000000</v>
      </c>
      <c r="K37" s="808" t="s">
        <v>1993</v>
      </c>
      <c r="L37" s="808" t="s">
        <v>1177</v>
      </c>
      <c r="M37" s="808" t="s">
        <v>1973</v>
      </c>
      <c r="N37" s="808" t="s">
        <v>1973</v>
      </c>
      <c r="O37" s="808" t="s">
        <v>2047</v>
      </c>
      <c r="P37" s="808" t="s">
        <v>1995</v>
      </c>
      <c r="Q37" s="808" t="s">
        <v>2048</v>
      </c>
    </row>
    <row r="38" spans="1:17" x14ac:dyDescent="0.25">
      <c r="A38" s="808" t="s">
        <v>1987</v>
      </c>
      <c r="B38" s="808" t="s">
        <v>2049</v>
      </c>
      <c r="C38" s="809">
        <v>22200000</v>
      </c>
      <c r="D38" s="808" t="s">
        <v>1757</v>
      </c>
      <c r="E38" s="808" t="s">
        <v>1757</v>
      </c>
      <c r="F38" s="808" t="s">
        <v>2000</v>
      </c>
      <c r="G38" s="808" t="s">
        <v>1990</v>
      </c>
      <c r="H38" s="808" t="s">
        <v>1991</v>
      </c>
      <c r="I38" s="808" t="s">
        <v>1992</v>
      </c>
      <c r="J38" s="810">
        <v>22200000</v>
      </c>
      <c r="K38" s="808" t="s">
        <v>1993</v>
      </c>
      <c r="L38" s="808" t="s">
        <v>1177</v>
      </c>
      <c r="M38" s="808" t="s">
        <v>1973</v>
      </c>
      <c r="N38" s="808" t="s">
        <v>1973</v>
      </c>
      <c r="O38" s="808" t="s">
        <v>2047</v>
      </c>
      <c r="P38" s="808" t="s">
        <v>1995</v>
      </c>
      <c r="Q38" s="808" t="s">
        <v>2048</v>
      </c>
    </row>
    <row r="39" spans="1:17" x14ac:dyDescent="0.25">
      <c r="A39" s="808" t="s">
        <v>1987</v>
      </c>
      <c r="B39" s="808" t="s">
        <v>2050</v>
      </c>
      <c r="C39" s="809">
        <v>20000000</v>
      </c>
      <c r="D39" s="808" t="s">
        <v>1758</v>
      </c>
      <c r="E39" s="808" t="s">
        <v>1758</v>
      </c>
      <c r="F39" s="808" t="s">
        <v>2000</v>
      </c>
      <c r="G39" s="808" t="s">
        <v>1990</v>
      </c>
      <c r="H39" s="808" t="s">
        <v>1991</v>
      </c>
      <c r="I39" s="808" t="s">
        <v>1992</v>
      </c>
      <c r="J39" s="810">
        <v>20000000</v>
      </c>
      <c r="K39" s="808" t="s">
        <v>1993</v>
      </c>
      <c r="L39" s="808" t="s">
        <v>1177</v>
      </c>
      <c r="M39" s="808" t="s">
        <v>1973</v>
      </c>
      <c r="N39" s="808" t="s">
        <v>1973</v>
      </c>
      <c r="O39" s="808" t="s">
        <v>2047</v>
      </c>
      <c r="P39" s="808" t="s">
        <v>1995</v>
      </c>
      <c r="Q39" s="808" t="s">
        <v>2048</v>
      </c>
    </row>
    <row r="40" spans="1:17" x14ac:dyDescent="0.25">
      <c r="A40" s="808" t="s">
        <v>2051</v>
      </c>
      <c r="B40" s="808" t="s">
        <v>461</v>
      </c>
      <c r="C40" s="809">
        <v>15000000</v>
      </c>
      <c r="D40" s="808" t="s">
        <v>1762</v>
      </c>
      <c r="E40" s="808" t="s">
        <v>1762</v>
      </c>
      <c r="F40" s="808" t="s">
        <v>2000</v>
      </c>
      <c r="G40" s="808" t="s">
        <v>1990</v>
      </c>
      <c r="H40" s="808" t="s">
        <v>1905</v>
      </c>
      <c r="I40" s="808" t="s">
        <v>1992</v>
      </c>
      <c r="J40" s="810">
        <v>15000000</v>
      </c>
      <c r="K40" s="808" t="s">
        <v>1993</v>
      </c>
      <c r="L40" s="808" t="s">
        <v>1177</v>
      </c>
      <c r="M40" s="808" t="s">
        <v>1973</v>
      </c>
      <c r="N40" s="808" t="s">
        <v>1973</v>
      </c>
      <c r="O40" s="808" t="s">
        <v>2047</v>
      </c>
      <c r="P40" s="808" t="s">
        <v>1995</v>
      </c>
      <c r="Q40" s="808" t="s">
        <v>2048</v>
      </c>
    </row>
    <row r="41" spans="1:17" x14ac:dyDescent="0.25">
      <c r="A41" s="808" t="s">
        <v>2052</v>
      </c>
      <c r="B41" s="808" t="s">
        <v>2053</v>
      </c>
      <c r="C41" s="809">
        <v>3000000</v>
      </c>
      <c r="D41" s="808" t="s">
        <v>1757</v>
      </c>
      <c r="E41" s="808" t="s">
        <v>1757</v>
      </c>
      <c r="F41" s="808" t="s">
        <v>2054</v>
      </c>
      <c r="G41" s="808" t="s">
        <v>1990</v>
      </c>
      <c r="H41" s="808" t="s">
        <v>2001</v>
      </c>
      <c r="I41" s="808" t="s">
        <v>1992</v>
      </c>
      <c r="J41" s="810">
        <v>3000000</v>
      </c>
      <c r="K41" s="808" t="s">
        <v>1993</v>
      </c>
      <c r="L41" s="808" t="s">
        <v>1177</v>
      </c>
      <c r="M41" s="808" t="s">
        <v>1973</v>
      </c>
      <c r="N41" s="808" t="s">
        <v>1973</v>
      </c>
      <c r="O41" s="808" t="s">
        <v>2047</v>
      </c>
      <c r="P41" s="808" t="s">
        <v>1995</v>
      </c>
      <c r="Q41" s="808" t="s">
        <v>2048</v>
      </c>
    </row>
    <row r="42" spans="1:17" x14ac:dyDescent="0.25">
      <c r="A42" s="808" t="s">
        <v>1987</v>
      </c>
      <c r="B42" s="808" t="s">
        <v>2055</v>
      </c>
      <c r="C42" s="809">
        <v>25000000</v>
      </c>
      <c r="D42" s="808" t="s">
        <v>1757</v>
      </c>
      <c r="E42" s="808" t="s">
        <v>1757</v>
      </c>
      <c r="F42" s="808" t="s">
        <v>2056</v>
      </c>
      <c r="G42" s="808" t="s">
        <v>1990</v>
      </c>
      <c r="H42" s="808" t="s">
        <v>1991</v>
      </c>
      <c r="I42" s="808" t="s">
        <v>1992</v>
      </c>
      <c r="J42" s="810">
        <v>25000000</v>
      </c>
      <c r="K42" s="808" t="s">
        <v>1993</v>
      </c>
      <c r="L42" s="808" t="s">
        <v>1177</v>
      </c>
      <c r="M42" s="808" t="s">
        <v>1973</v>
      </c>
      <c r="N42" s="808" t="s">
        <v>1973</v>
      </c>
      <c r="O42" s="808" t="s">
        <v>2047</v>
      </c>
      <c r="P42" s="808" t="s">
        <v>1995</v>
      </c>
      <c r="Q42" s="808" t="s">
        <v>2048</v>
      </c>
    </row>
    <row r="43" spans="1:17" x14ac:dyDescent="0.25">
      <c r="A43" s="808" t="s">
        <v>1987</v>
      </c>
      <c r="B43" s="808" t="s">
        <v>2057</v>
      </c>
      <c r="C43" s="809">
        <v>35000000</v>
      </c>
      <c r="D43" s="808" t="s">
        <v>1758</v>
      </c>
      <c r="E43" s="808" t="s">
        <v>1758</v>
      </c>
      <c r="F43" s="808" t="s">
        <v>2000</v>
      </c>
      <c r="G43" s="808" t="s">
        <v>1990</v>
      </c>
      <c r="H43" s="808" t="s">
        <v>1991</v>
      </c>
      <c r="I43" s="808" t="s">
        <v>1992</v>
      </c>
      <c r="J43" s="810">
        <v>35000000</v>
      </c>
      <c r="K43" s="808" t="s">
        <v>1993</v>
      </c>
      <c r="L43" s="808" t="s">
        <v>1177</v>
      </c>
      <c r="M43" s="808" t="s">
        <v>1973</v>
      </c>
      <c r="N43" s="808" t="s">
        <v>1973</v>
      </c>
      <c r="O43" s="808" t="s">
        <v>2047</v>
      </c>
      <c r="P43" s="808" t="s">
        <v>1995</v>
      </c>
      <c r="Q43" s="808" t="s">
        <v>2048</v>
      </c>
    </row>
    <row r="44" spans="1:17" x14ac:dyDescent="0.25">
      <c r="A44" s="808" t="s">
        <v>1987</v>
      </c>
      <c r="B44" s="808" t="s">
        <v>2058</v>
      </c>
      <c r="C44" s="809">
        <v>35000000</v>
      </c>
      <c r="D44" s="808" t="s">
        <v>1758</v>
      </c>
      <c r="E44" s="808" t="s">
        <v>1758</v>
      </c>
      <c r="F44" s="808" t="s">
        <v>2000</v>
      </c>
      <c r="G44" s="808" t="s">
        <v>1990</v>
      </c>
      <c r="H44" s="808" t="s">
        <v>1991</v>
      </c>
      <c r="I44" s="808" t="s">
        <v>1992</v>
      </c>
      <c r="J44" s="810">
        <v>35000000</v>
      </c>
      <c r="K44" s="808" t="s">
        <v>1993</v>
      </c>
      <c r="L44" s="808" t="s">
        <v>1177</v>
      </c>
      <c r="M44" s="808" t="s">
        <v>1973</v>
      </c>
      <c r="N44" s="808" t="s">
        <v>1973</v>
      </c>
      <c r="O44" s="808" t="s">
        <v>2047</v>
      </c>
      <c r="P44" s="808" t="s">
        <v>1995</v>
      </c>
      <c r="Q44" s="808" t="s">
        <v>2048</v>
      </c>
    </row>
    <row r="45" spans="1:17" x14ac:dyDescent="0.25">
      <c r="A45" s="808" t="s">
        <v>1987</v>
      </c>
      <c r="B45" s="808" t="s">
        <v>2059</v>
      </c>
      <c r="C45" s="809">
        <v>12000000</v>
      </c>
      <c r="D45" s="808" t="s">
        <v>1758</v>
      </c>
      <c r="E45" s="808" t="s">
        <v>1758</v>
      </c>
      <c r="F45" s="808" t="s">
        <v>2000</v>
      </c>
      <c r="G45" s="808" t="s">
        <v>1990</v>
      </c>
      <c r="H45" s="808" t="s">
        <v>1991</v>
      </c>
      <c r="I45" s="808" t="s">
        <v>1992</v>
      </c>
      <c r="J45" s="810">
        <v>12000000</v>
      </c>
      <c r="K45" s="808" t="s">
        <v>1993</v>
      </c>
      <c r="L45" s="808" t="s">
        <v>1177</v>
      </c>
      <c r="M45" s="808" t="s">
        <v>1973</v>
      </c>
      <c r="N45" s="808" t="s">
        <v>1973</v>
      </c>
      <c r="O45" s="808" t="s">
        <v>2047</v>
      </c>
      <c r="P45" s="808" t="s">
        <v>1995</v>
      </c>
      <c r="Q45" s="808" t="s">
        <v>2048</v>
      </c>
    </row>
    <row r="46" spans="1:17" x14ac:dyDescent="0.25">
      <c r="A46" s="808" t="s">
        <v>1987</v>
      </c>
      <c r="B46" s="808" t="s">
        <v>2060</v>
      </c>
      <c r="C46" s="809">
        <v>23621677</v>
      </c>
      <c r="D46" s="808" t="s">
        <v>1757</v>
      </c>
      <c r="E46" s="808" t="s">
        <v>1757</v>
      </c>
      <c r="F46" s="808" t="s">
        <v>2056</v>
      </c>
      <c r="G46" s="808" t="s">
        <v>1990</v>
      </c>
      <c r="H46" s="808" t="s">
        <v>1991</v>
      </c>
      <c r="I46" s="808" t="s">
        <v>1992</v>
      </c>
      <c r="J46" s="810">
        <v>23621677</v>
      </c>
      <c r="K46" s="808" t="s">
        <v>1993</v>
      </c>
      <c r="L46" s="808" t="s">
        <v>1177</v>
      </c>
      <c r="M46" s="808" t="s">
        <v>1973</v>
      </c>
      <c r="N46" s="808" t="s">
        <v>1973</v>
      </c>
      <c r="O46" s="808" t="s">
        <v>2061</v>
      </c>
      <c r="P46" s="808" t="s">
        <v>1995</v>
      </c>
      <c r="Q46" s="808" t="s">
        <v>2062</v>
      </c>
    </row>
    <row r="47" spans="1:17" x14ac:dyDescent="0.25">
      <c r="A47" s="808" t="s">
        <v>2063</v>
      </c>
      <c r="B47" s="808" t="s">
        <v>2064</v>
      </c>
      <c r="C47" s="809">
        <v>300000000</v>
      </c>
      <c r="D47" s="808" t="s">
        <v>1758</v>
      </c>
      <c r="E47" s="808" t="s">
        <v>1773</v>
      </c>
      <c r="F47" s="808" t="s">
        <v>2065</v>
      </c>
      <c r="G47" s="808" t="s">
        <v>1990</v>
      </c>
      <c r="H47" s="808" t="s">
        <v>2066</v>
      </c>
      <c r="I47" s="808" t="s">
        <v>1992</v>
      </c>
      <c r="J47" s="810">
        <v>300000000</v>
      </c>
      <c r="K47" s="808" t="s">
        <v>1993</v>
      </c>
      <c r="L47" s="808" t="s">
        <v>1177</v>
      </c>
      <c r="M47" s="808" t="s">
        <v>1973</v>
      </c>
      <c r="N47" s="808" t="s">
        <v>1973</v>
      </c>
      <c r="O47" s="808" t="s">
        <v>2067</v>
      </c>
      <c r="P47" s="808" t="s">
        <v>1995</v>
      </c>
      <c r="Q47" s="808" t="s">
        <v>2002</v>
      </c>
    </row>
    <row r="48" spans="1:17" x14ac:dyDescent="0.25">
      <c r="A48" s="808" t="s">
        <v>1987</v>
      </c>
      <c r="B48" s="808" t="s">
        <v>2068</v>
      </c>
      <c r="C48" s="809">
        <v>15600000</v>
      </c>
      <c r="D48" s="808" t="s">
        <v>1757</v>
      </c>
      <c r="E48" s="808" t="s">
        <v>1758</v>
      </c>
      <c r="F48" s="808" t="s">
        <v>2000</v>
      </c>
      <c r="G48" s="808" t="s">
        <v>1990</v>
      </c>
      <c r="H48" s="808" t="s">
        <v>1991</v>
      </c>
      <c r="I48" s="808" t="s">
        <v>1992</v>
      </c>
      <c r="J48" s="810">
        <v>15600000</v>
      </c>
      <c r="K48" s="808" t="s">
        <v>1993</v>
      </c>
      <c r="L48" s="808" t="s">
        <v>1177</v>
      </c>
      <c r="M48" s="808" t="s">
        <v>1973</v>
      </c>
      <c r="N48" s="808" t="s">
        <v>1973</v>
      </c>
      <c r="O48" s="808" t="s">
        <v>2067</v>
      </c>
      <c r="P48" s="808" t="s">
        <v>1995</v>
      </c>
      <c r="Q48" s="808" t="s">
        <v>2002</v>
      </c>
    </row>
    <row r="49" spans="1:17" x14ac:dyDescent="0.25">
      <c r="A49" s="808" t="s">
        <v>2069</v>
      </c>
      <c r="B49" s="808" t="s">
        <v>2070</v>
      </c>
      <c r="C49" s="809">
        <v>8000000</v>
      </c>
      <c r="D49" s="808" t="s">
        <v>1757</v>
      </c>
      <c r="E49" s="808" t="s">
        <v>1757</v>
      </c>
      <c r="F49" s="808" t="s">
        <v>2065</v>
      </c>
      <c r="G49" s="808" t="s">
        <v>1990</v>
      </c>
      <c r="H49" s="808" t="s">
        <v>1905</v>
      </c>
      <c r="I49" s="808" t="s">
        <v>1992</v>
      </c>
      <c r="J49" s="810">
        <v>8000000</v>
      </c>
      <c r="K49" s="808" t="s">
        <v>1993</v>
      </c>
      <c r="L49" s="808" t="s">
        <v>1177</v>
      </c>
      <c r="M49" s="808" t="s">
        <v>1973</v>
      </c>
      <c r="N49" s="808" t="s">
        <v>1973</v>
      </c>
      <c r="O49" s="808" t="s">
        <v>2067</v>
      </c>
      <c r="P49" s="808" t="s">
        <v>1995</v>
      </c>
      <c r="Q49" s="808" t="s">
        <v>2002</v>
      </c>
    </row>
    <row r="50" spans="1:17" x14ac:dyDescent="0.25">
      <c r="A50" s="808" t="s">
        <v>2071</v>
      </c>
      <c r="B50" s="808" t="s">
        <v>2072</v>
      </c>
      <c r="C50" s="809">
        <v>300000000</v>
      </c>
      <c r="D50" s="808" t="s">
        <v>1750</v>
      </c>
      <c r="E50" s="808" t="s">
        <v>1757</v>
      </c>
      <c r="F50" s="808" t="s">
        <v>1989</v>
      </c>
      <c r="G50" s="808" t="s">
        <v>1990</v>
      </c>
      <c r="H50" s="808" t="s">
        <v>1991</v>
      </c>
      <c r="I50" s="808" t="s">
        <v>1992</v>
      </c>
      <c r="J50" s="810">
        <v>300000000</v>
      </c>
      <c r="K50" s="808" t="s">
        <v>1993</v>
      </c>
      <c r="L50" s="808" t="s">
        <v>1177</v>
      </c>
      <c r="M50" s="808" t="s">
        <v>1973</v>
      </c>
      <c r="N50" s="808" t="s">
        <v>1973</v>
      </c>
      <c r="O50" s="808" t="s">
        <v>2067</v>
      </c>
      <c r="P50" s="808" t="s">
        <v>1995</v>
      </c>
      <c r="Q50" s="808" t="s">
        <v>2002</v>
      </c>
    </row>
    <row r="51" spans="1:17" x14ac:dyDescent="0.25">
      <c r="A51" s="808" t="s">
        <v>2073</v>
      </c>
      <c r="B51" s="808" t="s">
        <v>2074</v>
      </c>
      <c r="C51" s="809">
        <v>2000000000</v>
      </c>
      <c r="D51" s="808" t="s">
        <v>1750</v>
      </c>
      <c r="E51" s="808" t="s">
        <v>1750</v>
      </c>
      <c r="F51" s="808" t="s">
        <v>2054</v>
      </c>
      <c r="G51" s="808" t="s">
        <v>1990</v>
      </c>
      <c r="H51" s="808" t="s">
        <v>1991</v>
      </c>
      <c r="I51" s="808" t="s">
        <v>1992</v>
      </c>
      <c r="J51" s="810">
        <v>2000000000</v>
      </c>
      <c r="K51" s="808" t="s">
        <v>1993</v>
      </c>
      <c r="L51" s="808" t="s">
        <v>1177</v>
      </c>
      <c r="M51" s="808" t="s">
        <v>1973</v>
      </c>
      <c r="N51" s="808" t="s">
        <v>1973</v>
      </c>
      <c r="O51" s="808" t="s">
        <v>2067</v>
      </c>
      <c r="P51" s="808" t="s">
        <v>1995</v>
      </c>
      <c r="Q51" s="808" t="s">
        <v>2002</v>
      </c>
    </row>
    <row r="52" spans="1:17" x14ac:dyDescent="0.25">
      <c r="A52" s="808" t="s">
        <v>2075</v>
      </c>
      <c r="B52" s="808" t="s">
        <v>2076</v>
      </c>
      <c r="C52" s="809">
        <v>200000000</v>
      </c>
      <c r="D52" s="808" t="s">
        <v>1773</v>
      </c>
      <c r="E52" s="808" t="s">
        <v>1773</v>
      </c>
      <c r="F52" s="808" t="s">
        <v>2077</v>
      </c>
      <c r="G52" s="808" t="s">
        <v>1990</v>
      </c>
      <c r="H52" s="808" t="s">
        <v>2078</v>
      </c>
      <c r="I52" s="808" t="s">
        <v>1992</v>
      </c>
      <c r="J52" s="810">
        <v>200000000</v>
      </c>
      <c r="K52" s="808" t="s">
        <v>1993</v>
      </c>
      <c r="L52" s="808" t="s">
        <v>1177</v>
      </c>
      <c r="M52" s="808" t="s">
        <v>1973</v>
      </c>
      <c r="N52" s="808" t="s">
        <v>1973</v>
      </c>
      <c r="O52" s="808" t="s">
        <v>2067</v>
      </c>
      <c r="P52" s="808" t="s">
        <v>1995</v>
      </c>
      <c r="Q52" s="808" t="s">
        <v>2002</v>
      </c>
    </row>
    <row r="53" spans="1:17" x14ac:dyDescent="0.25">
      <c r="A53" s="808" t="s">
        <v>2079</v>
      </c>
      <c r="B53" s="808" t="s">
        <v>2080</v>
      </c>
      <c r="C53" s="809">
        <v>300000000</v>
      </c>
      <c r="D53" s="808" t="s">
        <v>1750</v>
      </c>
      <c r="E53" s="808" t="s">
        <v>1757</v>
      </c>
      <c r="F53" s="808" t="s">
        <v>1989</v>
      </c>
      <c r="G53" s="808" t="s">
        <v>1990</v>
      </c>
      <c r="H53" s="808" t="s">
        <v>1991</v>
      </c>
      <c r="I53" s="808" t="s">
        <v>1992</v>
      </c>
      <c r="J53" s="810">
        <v>300000000</v>
      </c>
      <c r="K53" s="808" t="s">
        <v>1993</v>
      </c>
      <c r="L53" s="808" t="s">
        <v>1177</v>
      </c>
      <c r="M53" s="808" t="s">
        <v>1973</v>
      </c>
      <c r="N53" s="808" t="s">
        <v>1973</v>
      </c>
      <c r="O53" s="808" t="s">
        <v>2067</v>
      </c>
      <c r="P53" s="808" t="s">
        <v>1995</v>
      </c>
      <c r="Q53" s="808" t="s">
        <v>2002</v>
      </c>
    </row>
    <row r="54" spans="1:17" x14ac:dyDescent="0.25">
      <c r="A54" s="808" t="s">
        <v>2081</v>
      </c>
      <c r="B54" s="808" t="s">
        <v>2082</v>
      </c>
      <c r="C54" s="809">
        <v>200000000</v>
      </c>
      <c r="D54" s="808" t="s">
        <v>1758</v>
      </c>
      <c r="E54" s="808" t="s">
        <v>1758</v>
      </c>
      <c r="F54" s="808" t="s">
        <v>2054</v>
      </c>
      <c r="G54" s="808" t="s">
        <v>1990</v>
      </c>
      <c r="H54" s="808" t="s">
        <v>2066</v>
      </c>
      <c r="I54" s="808" t="s">
        <v>1992</v>
      </c>
      <c r="J54" s="810">
        <v>200000000</v>
      </c>
      <c r="K54" s="808" t="s">
        <v>1993</v>
      </c>
      <c r="L54" s="808" t="s">
        <v>1177</v>
      </c>
      <c r="M54" s="808" t="s">
        <v>1973</v>
      </c>
      <c r="N54" s="808" t="s">
        <v>1973</v>
      </c>
      <c r="O54" s="808" t="s">
        <v>2067</v>
      </c>
      <c r="P54" s="808" t="s">
        <v>1995</v>
      </c>
      <c r="Q54" s="808" t="s">
        <v>2002</v>
      </c>
    </row>
    <row r="55" spans="1:17" x14ac:dyDescent="0.25">
      <c r="A55" s="808" t="s">
        <v>2083</v>
      </c>
      <c r="B55" s="808" t="s">
        <v>2084</v>
      </c>
      <c r="C55" s="809">
        <v>100000000</v>
      </c>
      <c r="D55" s="808" t="s">
        <v>1758</v>
      </c>
      <c r="E55" s="808" t="s">
        <v>1773</v>
      </c>
      <c r="F55" s="808" t="s">
        <v>2077</v>
      </c>
      <c r="G55" s="808" t="s">
        <v>1990</v>
      </c>
      <c r="H55" s="808" t="s">
        <v>1991</v>
      </c>
      <c r="I55" s="808" t="s">
        <v>1992</v>
      </c>
      <c r="J55" s="810">
        <v>100000000</v>
      </c>
      <c r="K55" s="808" t="s">
        <v>1993</v>
      </c>
      <c r="L55" s="808" t="s">
        <v>1177</v>
      </c>
      <c r="M55" s="808" t="s">
        <v>1973</v>
      </c>
      <c r="N55" s="808" t="s">
        <v>1973</v>
      </c>
      <c r="O55" s="808" t="s">
        <v>2067</v>
      </c>
      <c r="P55" s="808" t="s">
        <v>1995</v>
      </c>
      <c r="Q55" s="808" t="s">
        <v>2002</v>
      </c>
    </row>
    <row r="56" spans="1:17" x14ac:dyDescent="0.25">
      <c r="A56" s="808" t="s">
        <v>1987</v>
      </c>
      <c r="B56" s="808" t="s">
        <v>2085</v>
      </c>
      <c r="C56" s="809">
        <v>42400000</v>
      </c>
      <c r="D56" s="808" t="s">
        <v>1866</v>
      </c>
      <c r="E56" s="808" t="s">
        <v>1866</v>
      </c>
      <c r="F56" s="808" t="s">
        <v>1989</v>
      </c>
      <c r="G56" s="808" t="s">
        <v>1990</v>
      </c>
      <c r="H56" s="808" t="s">
        <v>1991</v>
      </c>
      <c r="I56" s="808" t="s">
        <v>1992</v>
      </c>
      <c r="J56" s="810">
        <v>42400000</v>
      </c>
      <c r="K56" s="808" t="s">
        <v>1993</v>
      </c>
      <c r="L56" s="808" t="s">
        <v>1177</v>
      </c>
      <c r="M56" s="808" t="s">
        <v>1973</v>
      </c>
      <c r="N56" s="808" t="s">
        <v>1973</v>
      </c>
      <c r="O56" s="808" t="s">
        <v>2024</v>
      </c>
      <c r="P56" s="808" t="s">
        <v>1995</v>
      </c>
      <c r="Q56" s="808" t="s">
        <v>1996</v>
      </c>
    </row>
    <row r="57" spans="1:17" x14ac:dyDescent="0.25">
      <c r="A57" s="808" t="s">
        <v>1987</v>
      </c>
      <c r="B57" s="808" t="s">
        <v>2086</v>
      </c>
      <c r="C57" s="809">
        <v>34100000</v>
      </c>
      <c r="D57" s="808" t="s">
        <v>1866</v>
      </c>
      <c r="E57" s="808" t="s">
        <v>1866</v>
      </c>
      <c r="F57" s="808" t="s">
        <v>1989</v>
      </c>
      <c r="G57" s="808" t="s">
        <v>1990</v>
      </c>
      <c r="H57" s="808" t="s">
        <v>1991</v>
      </c>
      <c r="I57" s="808" t="s">
        <v>1992</v>
      </c>
      <c r="J57" s="810">
        <v>34100000</v>
      </c>
      <c r="K57" s="808" t="s">
        <v>1993</v>
      </c>
      <c r="L57" s="808" t="s">
        <v>1177</v>
      </c>
      <c r="M57" s="808" t="s">
        <v>1973</v>
      </c>
      <c r="N57" s="808" t="s">
        <v>1973</v>
      </c>
      <c r="O57" s="808" t="s">
        <v>2024</v>
      </c>
      <c r="P57" s="808" t="s">
        <v>1995</v>
      </c>
      <c r="Q57" s="808" t="s">
        <v>1996</v>
      </c>
    </row>
    <row r="58" spans="1:17" x14ac:dyDescent="0.25">
      <c r="A58" s="808" t="s">
        <v>1987</v>
      </c>
      <c r="B58" s="808" t="s">
        <v>2087</v>
      </c>
      <c r="C58" s="809">
        <v>33000000</v>
      </c>
      <c r="D58" s="808" t="s">
        <v>1866</v>
      </c>
      <c r="E58" s="808" t="s">
        <v>1866</v>
      </c>
      <c r="F58" s="808" t="s">
        <v>1989</v>
      </c>
      <c r="G58" s="808" t="s">
        <v>1990</v>
      </c>
      <c r="H58" s="808" t="s">
        <v>1991</v>
      </c>
      <c r="I58" s="808" t="s">
        <v>1992</v>
      </c>
      <c r="J58" s="810">
        <v>33000000</v>
      </c>
      <c r="K58" s="808" t="s">
        <v>1993</v>
      </c>
      <c r="L58" s="808" t="s">
        <v>1177</v>
      </c>
      <c r="M58" s="808" t="s">
        <v>1973</v>
      </c>
      <c r="N58" s="808" t="s">
        <v>1973</v>
      </c>
      <c r="O58" s="808" t="s">
        <v>2024</v>
      </c>
      <c r="P58" s="808" t="s">
        <v>1995</v>
      </c>
      <c r="Q58" s="808" t="s">
        <v>1996</v>
      </c>
    </row>
    <row r="59" spans="1:17" x14ac:dyDescent="0.25">
      <c r="A59" s="808" t="s">
        <v>1987</v>
      </c>
      <c r="B59" s="808" t="s">
        <v>2088</v>
      </c>
      <c r="C59" s="809">
        <v>44000000</v>
      </c>
      <c r="D59" s="808" t="s">
        <v>1750</v>
      </c>
      <c r="E59" s="808" t="s">
        <v>1750</v>
      </c>
      <c r="F59" s="808" t="s">
        <v>2027</v>
      </c>
      <c r="G59" s="808" t="s">
        <v>1990</v>
      </c>
      <c r="H59" s="808" t="s">
        <v>1991</v>
      </c>
      <c r="I59" s="808" t="s">
        <v>1992</v>
      </c>
      <c r="J59" s="810">
        <v>44000000</v>
      </c>
      <c r="K59" s="808" t="s">
        <v>1993</v>
      </c>
      <c r="L59" s="808" t="s">
        <v>1177</v>
      </c>
      <c r="M59" s="808" t="s">
        <v>1973</v>
      </c>
      <c r="N59" s="808" t="s">
        <v>1973</v>
      </c>
      <c r="O59" s="808" t="s">
        <v>2024</v>
      </c>
      <c r="P59" s="808" t="s">
        <v>1995</v>
      </c>
      <c r="Q59" s="808" t="s">
        <v>1996</v>
      </c>
    </row>
    <row r="60" spans="1:17" x14ac:dyDescent="0.25">
      <c r="A60" s="808" t="s">
        <v>1987</v>
      </c>
      <c r="B60" s="808" t="s">
        <v>2089</v>
      </c>
      <c r="C60" s="809">
        <v>56000000</v>
      </c>
      <c r="D60" s="808" t="s">
        <v>1750</v>
      </c>
      <c r="E60" s="808" t="s">
        <v>1750</v>
      </c>
      <c r="F60" s="808" t="s">
        <v>2036</v>
      </c>
      <c r="G60" s="808" t="s">
        <v>1990</v>
      </c>
      <c r="H60" s="808" t="s">
        <v>1991</v>
      </c>
      <c r="I60" s="808" t="s">
        <v>1992</v>
      </c>
      <c r="J60" s="810">
        <v>56000000</v>
      </c>
      <c r="K60" s="808" t="s">
        <v>1993</v>
      </c>
      <c r="L60" s="808" t="s">
        <v>1177</v>
      </c>
      <c r="M60" s="808" t="s">
        <v>1973</v>
      </c>
      <c r="N60" s="808" t="s">
        <v>1973</v>
      </c>
      <c r="O60" s="808" t="s">
        <v>2024</v>
      </c>
      <c r="P60" s="808" t="s">
        <v>1995</v>
      </c>
      <c r="Q60" s="808" t="s">
        <v>1996</v>
      </c>
    </row>
    <row r="61" spans="1:17" x14ac:dyDescent="0.25">
      <c r="A61" s="808" t="s">
        <v>1987</v>
      </c>
      <c r="B61" s="808" t="s">
        <v>2090</v>
      </c>
      <c r="C61" s="809">
        <v>50150000</v>
      </c>
      <c r="D61" s="808" t="s">
        <v>1866</v>
      </c>
      <c r="E61" s="808" t="s">
        <v>1866</v>
      </c>
      <c r="F61" s="808" t="s">
        <v>1989</v>
      </c>
      <c r="G61" s="808" t="s">
        <v>1990</v>
      </c>
      <c r="H61" s="808" t="s">
        <v>1991</v>
      </c>
      <c r="I61" s="808" t="s">
        <v>1992</v>
      </c>
      <c r="J61" s="810">
        <v>50150000</v>
      </c>
      <c r="K61" s="808" t="s">
        <v>1993</v>
      </c>
      <c r="L61" s="808" t="s">
        <v>1177</v>
      </c>
      <c r="M61" s="808" t="s">
        <v>1973</v>
      </c>
      <c r="N61" s="808" t="s">
        <v>1973</v>
      </c>
      <c r="O61" s="808" t="s">
        <v>2024</v>
      </c>
      <c r="P61" s="808" t="s">
        <v>1995</v>
      </c>
      <c r="Q61" s="808" t="s">
        <v>1996</v>
      </c>
    </row>
    <row r="62" spans="1:17" x14ac:dyDescent="0.25">
      <c r="A62" s="808" t="s">
        <v>1987</v>
      </c>
      <c r="B62" s="808" t="s">
        <v>2091</v>
      </c>
      <c r="C62" s="809">
        <v>32000000</v>
      </c>
      <c r="D62" s="808" t="s">
        <v>1866</v>
      </c>
      <c r="E62" s="808" t="s">
        <v>1866</v>
      </c>
      <c r="F62" s="808" t="s">
        <v>1989</v>
      </c>
      <c r="G62" s="808" t="s">
        <v>1990</v>
      </c>
      <c r="H62" s="808" t="s">
        <v>1991</v>
      </c>
      <c r="I62" s="808" t="s">
        <v>1992</v>
      </c>
      <c r="J62" s="810">
        <v>32000000</v>
      </c>
      <c r="K62" s="808" t="s">
        <v>1993</v>
      </c>
      <c r="L62" s="808" t="s">
        <v>1177</v>
      </c>
      <c r="M62" s="808" t="s">
        <v>1973</v>
      </c>
      <c r="N62" s="808" t="s">
        <v>1973</v>
      </c>
      <c r="O62" s="808" t="s">
        <v>2024</v>
      </c>
      <c r="P62" s="808" t="s">
        <v>1995</v>
      </c>
      <c r="Q62" s="808" t="s">
        <v>1996</v>
      </c>
    </row>
    <row r="63" spans="1:17" x14ac:dyDescent="0.25">
      <c r="A63" s="808" t="s">
        <v>1987</v>
      </c>
      <c r="B63" s="808" t="s">
        <v>2092</v>
      </c>
      <c r="C63" s="809">
        <v>69600000</v>
      </c>
      <c r="D63" s="808" t="s">
        <v>1749</v>
      </c>
      <c r="E63" s="808" t="s">
        <v>1749</v>
      </c>
      <c r="F63" s="808" t="s">
        <v>1989</v>
      </c>
      <c r="G63" s="808" t="s">
        <v>1990</v>
      </c>
      <c r="H63" s="808" t="s">
        <v>1991</v>
      </c>
      <c r="I63" s="808" t="s">
        <v>1992</v>
      </c>
      <c r="J63" s="810">
        <v>69600000</v>
      </c>
      <c r="K63" s="808" t="s">
        <v>1993</v>
      </c>
      <c r="L63" s="808" t="s">
        <v>1177</v>
      </c>
      <c r="M63" s="808" t="s">
        <v>1973</v>
      </c>
      <c r="N63" s="808" t="s">
        <v>1973</v>
      </c>
      <c r="O63" s="808" t="s">
        <v>2067</v>
      </c>
      <c r="P63" s="808" t="s">
        <v>1995</v>
      </c>
      <c r="Q63" s="808" t="s">
        <v>2002</v>
      </c>
    </row>
    <row r="64" spans="1:17" x14ac:dyDescent="0.25">
      <c r="A64" s="808" t="s">
        <v>1987</v>
      </c>
      <c r="B64" s="808" t="s">
        <v>2093</v>
      </c>
      <c r="C64" s="809">
        <v>64000000</v>
      </c>
      <c r="D64" s="808" t="s">
        <v>1749</v>
      </c>
      <c r="E64" s="808" t="s">
        <v>1749</v>
      </c>
      <c r="F64" s="808" t="s">
        <v>1989</v>
      </c>
      <c r="G64" s="808" t="s">
        <v>1990</v>
      </c>
      <c r="H64" s="808" t="s">
        <v>1991</v>
      </c>
      <c r="I64" s="808" t="s">
        <v>1992</v>
      </c>
      <c r="J64" s="810">
        <v>64000000</v>
      </c>
      <c r="K64" s="808" t="s">
        <v>1993</v>
      </c>
      <c r="L64" s="808" t="s">
        <v>1177</v>
      </c>
      <c r="M64" s="808" t="s">
        <v>1973</v>
      </c>
      <c r="N64" s="808" t="s">
        <v>1973</v>
      </c>
      <c r="O64" s="808" t="s">
        <v>2067</v>
      </c>
      <c r="P64" s="808" t="s">
        <v>1995</v>
      </c>
      <c r="Q64" s="808" t="s">
        <v>2002</v>
      </c>
    </row>
    <row r="65" spans="1:17" x14ac:dyDescent="0.25">
      <c r="A65" s="808" t="s">
        <v>1987</v>
      </c>
      <c r="B65" s="808" t="s">
        <v>2094</v>
      </c>
      <c r="C65" s="809">
        <v>46400000</v>
      </c>
      <c r="D65" s="808" t="s">
        <v>1749</v>
      </c>
      <c r="E65" s="808" t="s">
        <v>1749</v>
      </c>
      <c r="F65" s="808" t="s">
        <v>1989</v>
      </c>
      <c r="G65" s="808" t="s">
        <v>1990</v>
      </c>
      <c r="H65" s="808" t="s">
        <v>1991</v>
      </c>
      <c r="I65" s="808" t="s">
        <v>1992</v>
      </c>
      <c r="J65" s="810">
        <v>46400000</v>
      </c>
      <c r="K65" s="808" t="s">
        <v>1993</v>
      </c>
      <c r="L65" s="808" t="s">
        <v>1177</v>
      </c>
      <c r="M65" s="808" t="s">
        <v>1973</v>
      </c>
      <c r="N65" s="808" t="s">
        <v>1973</v>
      </c>
      <c r="O65" s="808" t="s">
        <v>2067</v>
      </c>
      <c r="P65" s="808" t="s">
        <v>1995</v>
      </c>
      <c r="Q65" s="808" t="s">
        <v>2002</v>
      </c>
    </row>
    <row r="66" spans="1:17" x14ac:dyDescent="0.25">
      <c r="A66" s="808" t="s">
        <v>1987</v>
      </c>
      <c r="B66" s="808" t="s">
        <v>2095</v>
      </c>
      <c r="C66" s="809">
        <v>64000000</v>
      </c>
      <c r="D66" s="808" t="s">
        <v>1749</v>
      </c>
      <c r="E66" s="808" t="s">
        <v>1749</v>
      </c>
      <c r="F66" s="808" t="s">
        <v>1989</v>
      </c>
      <c r="G66" s="808" t="s">
        <v>1990</v>
      </c>
      <c r="H66" s="808" t="s">
        <v>1991</v>
      </c>
      <c r="I66" s="808" t="s">
        <v>1992</v>
      </c>
      <c r="J66" s="810">
        <v>64000000</v>
      </c>
      <c r="K66" s="808" t="s">
        <v>1993</v>
      </c>
      <c r="L66" s="808" t="s">
        <v>1177</v>
      </c>
      <c r="M66" s="808" t="s">
        <v>1973</v>
      </c>
      <c r="N66" s="808" t="s">
        <v>1973</v>
      </c>
      <c r="O66" s="808" t="s">
        <v>2067</v>
      </c>
      <c r="P66" s="808" t="s">
        <v>1995</v>
      </c>
      <c r="Q66" s="808" t="s">
        <v>2002</v>
      </c>
    </row>
    <row r="67" spans="1:17" x14ac:dyDescent="0.25">
      <c r="A67" s="808" t="s">
        <v>1987</v>
      </c>
      <c r="B67" s="808" t="s">
        <v>2096</v>
      </c>
      <c r="C67" s="809">
        <v>44000000</v>
      </c>
      <c r="D67" s="808" t="s">
        <v>1753</v>
      </c>
      <c r="E67" s="808" t="s">
        <v>1753</v>
      </c>
      <c r="F67" s="808" t="s">
        <v>2027</v>
      </c>
      <c r="G67" s="808" t="s">
        <v>1990</v>
      </c>
      <c r="H67" s="808" t="s">
        <v>1991</v>
      </c>
      <c r="I67" s="808" t="s">
        <v>1992</v>
      </c>
      <c r="J67" s="810">
        <v>44000000</v>
      </c>
      <c r="K67" s="808" t="s">
        <v>1993</v>
      </c>
      <c r="L67" s="808" t="s">
        <v>1177</v>
      </c>
      <c r="M67" s="808" t="s">
        <v>1973</v>
      </c>
      <c r="N67" s="808" t="s">
        <v>1973</v>
      </c>
      <c r="O67" s="808" t="s">
        <v>2097</v>
      </c>
      <c r="P67" s="808" t="s">
        <v>2098</v>
      </c>
      <c r="Q67" s="808" t="s">
        <v>1996</v>
      </c>
    </row>
    <row r="68" spans="1:17" x14ac:dyDescent="0.25">
      <c r="A68" s="808" t="s">
        <v>1987</v>
      </c>
      <c r="B68" s="808" t="s">
        <v>2099</v>
      </c>
      <c r="C68" s="809">
        <v>39600000</v>
      </c>
      <c r="D68" s="808" t="s">
        <v>1753</v>
      </c>
      <c r="E68" s="808" t="s">
        <v>1753</v>
      </c>
      <c r="F68" s="808" t="s">
        <v>2027</v>
      </c>
      <c r="G68" s="808" t="s">
        <v>1990</v>
      </c>
      <c r="H68" s="808" t="s">
        <v>1991</v>
      </c>
      <c r="I68" s="808" t="s">
        <v>1992</v>
      </c>
      <c r="J68" s="810">
        <v>39600000</v>
      </c>
      <c r="K68" s="808" t="s">
        <v>1993</v>
      </c>
      <c r="L68" s="808" t="s">
        <v>1177</v>
      </c>
      <c r="M68" s="808" t="s">
        <v>1973</v>
      </c>
      <c r="N68" s="808" t="s">
        <v>1973</v>
      </c>
      <c r="O68" s="808" t="s">
        <v>2097</v>
      </c>
      <c r="P68" s="808" t="s">
        <v>2098</v>
      </c>
      <c r="Q68" s="808" t="s">
        <v>1996</v>
      </c>
    </row>
    <row r="69" spans="1:17" x14ac:dyDescent="0.25">
      <c r="A69" s="808" t="s">
        <v>1987</v>
      </c>
      <c r="B69" s="808" t="s">
        <v>2100</v>
      </c>
      <c r="C69" s="809">
        <v>58300000</v>
      </c>
      <c r="D69" s="808" t="s">
        <v>1753</v>
      </c>
      <c r="E69" s="808" t="s">
        <v>1753</v>
      </c>
      <c r="F69" s="808" t="s">
        <v>2027</v>
      </c>
      <c r="G69" s="808" t="s">
        <v>1990</v>
      </c>
      <c r="H69" s="808" t="s">
        <v>1991</v>
      </c>
      <c r="I69" s="808" t="s">
        <v>1992</v>
      </c>
      <c r="J69" s="810">
        <v>58300000</v>
      </c>
      <c r="K69" s="808" t="s">
        <v>1993</v>
      </c>
      <c r="L69" s="808" t="s">
        <v>1177</v>
      </c>
      <c r="M69" s="808" t="s">
        <v>1973</v>
      </c>
      <c r="N69" s="808" t="s">
        <v>1973</v>
      </c>
      <c r="O69" s="808" t="s">
        <v>2097</v>
      </c>
      <c r="P69" s="808" t="s">
        <v>2098</v>
      </c>
      <c r="Q69" s="808" t="s">
        <v>1996</v>
      </c>
    </row>
    <row r="70" spans="1:17" x14ac:dyDescent="0.25">
      <c r="A70" s="808" t="s">
        <v>1987</v>
      </c>
      <c r="B70" s="808" t="s">
        <v>2101</v>
      </c>
      <c r="C70" s="809">
        <v>20800000</v>
      </c>
      <c r="D70" s="808" t="s">
        <v>1866</v>
      </c>
      <c r="E70" s="808" t="s">
        <v>1866</v>
      </c>
      <c r="F70" s="808" t="s">
        <v>1989</v>
      </c>
      <c r="G70" s="808" t="s">
        <v>1990</v>
      </c>
      <c r="H70" s="808" t="s">
        <v>1991</v>
      </c>
      <c r="I70" s="808" t="s">
        <v>1992</v>
      </c>
      <c r="J70" s="810">
        <v>20800000</v>
      </c>
      <c r="K70" s="808" t="s">
        <v>1993</v>
      </c>
      <c r="L70" s="808" t="s">
        <v>1177</v>
      </c>
      <c r="M70" s="808" t="s">
        <v>1973</v>
      </c>
      <c r="N70" s="808" t="s">
        <v>1973</v>
      </c>
      <c r="O70" s="808" t="s">
        <v>1994</v>
      </c>
      <c r="P70" s="808" t="s">
        <v>1995</v>
      </c>
      <c r="Q70" s="808" t="s">
        <v>1996</v>
      </c>
    </row>
    <row r="71" spans="1:17" x14ac:dyDescent="0.25">
      <c r="A71" s="808" t="s">
        <v>1987</v>
      </c>
      <c r="B71" s="808" t="s">
        <v>2102</v>
      </c>
      <c r="C71" s="809">
        <v>20800000</v>
      </c>
      <c r="D71" s="808" t="s">
        <v>1866</v>
      </c>
      <c r="E71" s="808" t="s">
        <v>1866</v>
      </c>
      <c r="F71" s="808" t="s">
        <v>1989</v>
      </c>
      <c r="G71" s="808" t="s">
        <v>1990</v>
      </c>
      <c r="H71" s="808" t="s">
        <v>1991</v>
      </c>
      <c r="I71" s="808" t="s">
        <v>1992</v>
      </c>
      <c r="J71" s="810">
        <v>20800000</v>
      </c>
      <c r="K71" s="808" t="s">
        <v>1993</v>
      </c>
      <c r="L71" s="808" t="s">
        <v>1177</v>
      </c>
      <c r="M71" s="808" t="s">
        <v>1973</v>
      </c>
      <c r="N71" s="808" t="s">
        <v>1973</v>
      </c>
      <c r="O71" s="808" t="s">
        <v>1994</v>
      </c>
      <c r="P71" s="808" t="s">
        <v>1995</v>
      </c>
      <c r="Q71" s="808" t="s">
        <v>1996</v>
      </c>
    </row>
    <row r="72" spans="1:17" x14ac:dyDescent="0.25">
      <c r="A72" s="808" t="s">
        <v>1987</v>
      </c>
      <c r="B72" s="808" t="s">
        <v>2103</v>
      </c>
      <c r="C72" s="809">
        <v>20800000</v>
      </c>
      <c r="D72" s="808" t="s">
        <v>1866</v>
      </c>
      <c r="E72" s="808" t="s">
        <v>1866</v>
      </c>
      <c r="F72" s="808" t="s">
        <v>1989</v>
      </c>
      <c r="G72" s="808" t="s">
        <v>1990</v>
      </c>
      <c r="H72" s="808" t="s">
        <v>1991</v>
      </c>
      <c r="I72" s="808" t="s">
        <v>1992</v>
      </c>
      <c r="J72" s="810">
        <v>20800000</v>
      </c>
      <c r="K72" s="808" t="s">
        <v>1993</v>
      </c>
      <c r="L72" s="808" t="s">
        <v>1177</v>
      </c>
      <c r="M72" s="808" t="s">
        <v>1973</v>
      </c>
      <c r="N72" s="808" t="s">
        <v>1973</v>
      </c>
      <c r="O72" s="808" t="s">
        <v>1994</v>
      </c>
      <c r="P72" s="808" t="s">
        <v>1995</v>
      </c>
      <c r="Q72" s="808" t="s">
        <v>1996</v>
      </c>
    </row>
    <row r="73" spans="1:17" x14ac:dyDescent="0.25">
      <c r="A73" s="808" t="s">
        <v>1987</v>
      </c>
      <c r="B73" s="808" t="s">
        <v>2104</v>
      </c>
      <c r="C73" s="809">
        <v>20800000</v>
      </c>
      <c r="D73" s="808" t="s">
        <v>1866</v>
      </c>
      <c r="E73" s="808" t="s">
        <v>1866</v>
      </c>
      <c r="F73" s="808" t="s">
        <v>1989</v>
      </c>
      <c r="G73" s="808" t="s">
        <v>1990</v>
      </c>
      <c r="H73" s="808" t="s">
        <v>1991</v>
      </c>
      <c r="I73" s="808" t="s">
        <v>1992</v>
      </c>
      <c r="J73" s="810">
        <v>20800000</v>
      </c>
      <c r="K73" s="808" t="s">
        <v>1993</v>
      </c>
      <c r="L73" s="808" t="s">
        <v>1177</v>
      </c>
      <c r="M73" s="808" t="s">
        <v>1973</v>
      </c>
      <c r="N73" s="808" t="s">
        <v>1973</v>
      </c>
      <c r="O73" s="808" t="s">
        <v>1994</v>
      </c>
      <c r="P73" s="808" t="s">
        <v>1995</v>
      </c>
      <c r="Q73" s="808" t="s">
        <v>1996</v>
      </c>
    </row>
    <row r="74" spans="1:17" x14ac:dyDescent="0.25">
      <c r="A74" s="808" t="s">
        <v>1987</v>
      </c>
      <c r="B74" s="808" t="s">
        <v>2105</v>
      </c>
      <c r="C74" s="809">
        <v>84000000</v>
      </c>
      <c r="D74" s="808" t="s">
        <v>1743</v>
      </c>
      <c r="E74" s="808" t="s">
        <v>1743</v>
      </c>
      <c r="F74" s="808" t="s">
        <v>2106</v>
      </c>
      <c r="G74" s="808" t="s">
        <v>1990</v>
      </c>
      <c r="H74" s="808" t="s">
        <v>1991</v>
      </c>
      <c r="I74" s="808" t="s">
        <v>1992</v>
      </c>
      <c r="J74" s="810">
        <v>84000000</v>
      </c>
      <c r="K74" s="808" t="s">
        <v>1993</v>
      </c>
      <c r="L74" s="808" t="s">
        <v>1177</v>
      </c>
      <c r="M74" s="808" t="s">
        <v>1973</v>
      </c>
      <c r="N74" s="808" t="s">
        <v>1973</v>
      </c>
      <c r="O74" s="808" t="s">
        <v>2107</v>
      </c>
      <c r="P74" s="808" t="s">
        <v>1995</v>
      </c>
      <c r="Q74" s="808" t="s">
        <v>2043</v>
      </c>
    </row>
    <row r="75" spans="1:17" x14ac:dyDescent="0.25">
      <c r="A75" s="808" t="s">
        <v>1987</v>
      </c>
      <c r="B75" s="808" t="s">
        <v>2108</v>
      </c>
      <c r="C75" s="809">
        <v>85250000</v>
      </c>
      <c r="D75" s="808" t="s">
        <v>1743</v>
      </c>
      <c r="E75" s="808" t="s">
        <v>1743</v>
      </c>
      <c r="F75" s="808" t="s">
        <v>2027</v>
      </c>
      <c r="G75" s="808" t="s">
        <v>1990</v>
      </c>
      <c r="H75" s="808" t="s">
        <v>1991</v>
      </c>
      <c r="I75" s="808" t="s">
        <v>1992</v>
      </c>
      <c r="J75" s="810">
        <v>85250000</v>
      </c>
      <c r="K75" s="808" t="s">
        <v>1993</v>
      </c>
      <c r="L75" s="808" t="s">
        <v>1177</v>
      </c>
      <c r="M75" s="808" t="s">
        <v>1973</v>
      </c>
      <c r="N75" s="808" t="s">
        <v>1973</v>
      </c>
      <c r="O75" s="808" t="s">
        <v>2019</v>
      </c>
      <c r="P75" s="808" t="s">
        <v>1995</v>
      </c>
      <c r="Q75" s="808" t="s">
        <v>2020</v>
      </c>
    </row>
    <row r="76" spans="1:17" x14ac:dyDescent="0.25">
      <c r="A76" s="808" t="s">
        <v>1987</v>
      </c>
      <c r="B76" s="808" t="s">
        <v>2109</v>
      </c>
      <c r="C76" s="809">
        <v>29700000</v>
      </c>
      <c r="D76" s="808" t="s">
        <v>1743</v>
      </c>
      <c r="E76" s="808" t="s">
        <v>1743</v>
      </c>
      <c r="F76" s="808" t="s">
        <v>2027</v>
      </c>
      <c r="G76" s="808" t="s">
        <v>1990</v>
      </c>
      <c r="H76" s="808" t="s">
        <v>1991</v>
      </c>
      <c r="I76" s="808" t="s">
        <v>1992</v>
      </c>
      <c r="J76" s="810">
        <v>29700000</v>
      </c>
      <c r="K76" s="808" t="s">
        <v>1993</v>
      </c>
      <c r="L76" s="808" t="s">
        <v>1177</v>
      </c>
      <c r="M76" s="808" t="s">
        <v>1973</v>
      </c>
      <c r="N76" s="808" t="s">
        <v>1973</v>
      </c>
      <c r="O76" s="808" t="s">
        <v>2019</v>
      </c>
      <c r="P76" s="808" t="s">
        <v>1995</v>
      </c>
      <c r="Q76" s="808" t="s">
        <v>2020</v>
      </c>
    </row>
    <row r="77" spans="1:17" x14ac:dyDescent="0.25">
      <c r="A77" s="808" t="s">
        <v>1987</v>
      </c>
      <c r="B77" s="808" t="s">
        <v>2110</v>
      </c>
      <c r="C77" s="809">
        <v>88000000</v>
      </c>
      <c r="D77" s="808" t="s">
        <v>1743</v>
      </c>
      <c r="E77" s="808" t="s">
        <v>1743</v>
      </c>
      <c r="F77" s="808" t="s">
        <v>2027</v>
      </c>
      <c r="G77" s="808" t="s">
        <v>1990</v>
      </c>
      <c r="H77" s="808" t="s">
        <v>1991</v>
      </c>
      <c r="I77" s="808" t="s">
        <v>1992</v>
      </c>
      <c r="J77" s="810">
        <v>88000000</v>
      </c>
      <c r="K77" s="808" t="s">
        <v>1993</v>
      </c>
      <c r="L77" s="808" t="s">
        <v>1177</v>
      </c>
      <c r="M77" s="808" t="s">
        <v>1973</v>
      </c>
      <c r="N77" s="808" t="s">
        <v>1973</v>
      </c>
      <c r="O77" s="808" t="s">
        <v>2019</v>
      </c>
      <c r="P77" s="808" t="s">
        <v>1995</v>
      </c>
      <c r="Q77" s="808" t="s">
        <v>2020</v>
      </c>
    </row>
    <row r="78" spans="1:17" x14ac:dyDescent="0.25">
      <c r="A78" s="808" t="s">
        <v>1987</v>
      </c>
      <c r="B78" s="808" t="s">
        <v>2109</v>
      </c>
      <c r="C78" s="809">
        <v>29700000</v>
      </c>
      <c r="D78" s="808" t="s">
        <v>1743</v>
      </c>
      <c r="E78" s="808" t="s">
        <v>1743</v>
      </c>
      <c r="F78" s="808" t="s">
        <v>2027</v>
      </c>
      <c r="G78" s="808" t="s">
        <v>1990</v>
      </c>
      <c r="H78" s="808" t="s">
        <v>1991</v>
      </c>
      <c r="I78" s="808" t="s">
        <v>1992</v>
      </c>
      <c r="J78" s="810">
        <v>29700000</v>
      </c>
      <c r="K78" s="808" t="s">
        <v>1993</v>
      </c>
      <c r="L78" s="808" t="s">
        <v>1177</v>
      </c>
      <c r="M78" s="808" t="s">
        <v>1973</v>
      </c>
      <c r="N78" s="808" t="s">
        <v>1973</v>
      </c>
      <c r="O78" s="808" t="s">
        <v>2019</v>
      </c>
      <c r="P78" s="808" t="s">
        <v>1995</v>
      </c>
      <c r="Q78" s="808" t="s">
        <v>2020</v>
      </c>
    </row>
    <row r="79" spans="1:17" x14ac:dyDescent="0.25">
      <c r="A79" s="808" t="s">
        <v>1987</v>
      </c>
      <c r="B79" s="808" t="s">
        <v>2029</v>
      </c>
      <c r="C79" s="809">
        <v>47736000</v>
      </c>
      <c r="D79" s="808" t="s">
        <v>1753</v>
      </c>
      <c r="E79" s="808" t="s">
        <v>1753</v>
      </c>
      <c r="F79" s="808" t="s">
        <v>2010</v>
      </c>
      <c r="G79" s="808" t="s">
        <v>1990</v>
      </c>
      <c r="H79" s="808" t="s">
        <v>1991</v>
      </c>
      <c r="I79" s="808" t="s">
        <v>1992</v>
      </c>
      <c r="J79" s="810">
        <v>47736000</v>
      </c>
      <c r="K79" s="808" t="s">
        <v>1993</v>
      </c>
      <c r="L79" s="808" t="s">
        <v>1177</v>
      </c>
      <c r="M79" s="808" t="s">
        <v>1973</v>
      </c>
      <c r="N79" s="808" t="s">
        <v>1973</v>
      </c>
      <c r="O79" s="808" t="s">
        <v>2097</v>
      </c>
      <c r="P79" s="808" t="s">
        <v>2098</v>
      </c>
      <c r="Q79" s="808" t="s">
        <v>1996</v>
      </c>
    </row>
    <row r="80" spans="1:17" x14ac:dyDescent="0.25">
      <c r="A80" s="808" t="s">
        <v>1987</v>
      </c>
      <c r="B80" s="808" t="s">
        <v>2111</v>
      </c>
      <c r="C80" s="809">
        <v>112560000</v>
      </c>
      <c r="D80" s="808" t="s">
        <v>1753</v>
      </c>
      <c r="E80" s="808" t="s">
        <v>1753</v>
      </c>
      <c r="F80" s="808" t="s">
        <v>2010</v>
      </c>
      <c r="G80" s="808" t="s">
        <v>1990</v>
      </c>
      <c r="H80" s="808" t="s">
        <v>1991</v>
      </c>
      <c r="I80" s="808" t="s">
        <v>1992</v>
      </c>
      <c r="J80" s="810">
        <v>112560000</v>
      </c>
      <c r="K80" s="808" t="s">
        <v>1993</v>
      </c>
      <c r="L80" s="808" t="s">
        <v>1177</v>
      </c>
      <c r="M80" s="808" t="s">
        <v>1973</v>
      </c>
      <c r="N80" s="808" t="s">
        <v>1973</v>
      </c>
      <c r="O80" s="808" t="s">
        <v>2097</v>
      </c>
      <c r="P80" s="808" t="s">
        <v>2098</v>
      </c>
      <c r="Q80" s="808" t="s">
        <v>1996</v>
      </c>
    </row>
    <row r="81" spans="1:17" x14ac:dyDescent="0.25">
      <c r="A81" s="808" t="s">
        <v>1987</v>
      </c>
      <c r="B81" s="808" t="s">
        <v>2029</v>
      </c>
      <c r="C81" s="809">
        <v>112604000</v>
      </c>
      <c r="D81" s="808" t="s">
        <v>1753</v>
      </c>
      <c r="E81" s="808" t="s">
        <v>1753</v>
      </c>
      <c r="F81" s="808" t="s">
        <v>2010</v>
      </c>
      <c r="G81" s="808" t="s">
        <v>1990</v>
      </c>
      <c r="H81" s="808" t="s">
        <v>1991</v>
      </c>
      <c r="I81" s="808" t="s">
        <v>1992</v>
      </c>
      <c r="J81" s="810">
        <v>112604000</v>
      </c>
      <c r="K81" s="808" t="s">
        <v>1993</v>
      </c>
      <c r="L81" s="808" t="s">
        <v>1177</v>
      </c>
      <c r="M81" s="808" t="s">
        <v>1973</v>
      </c>
      <c r="N81" s="808" t="s">
        <v>1973</v>
      </c>
      <c r="O81" s="808" t="s">
        <v>2097</v>
      </c>
      <c r="P81" s="808" t="s">
        <v>2098</v>
      </c>
      <c r="Q81" s="808" t="s">
        <v>1996</v>
      </c>
    </row>
    <row r="82" spans="1:17" x14ac:dyDescent="0.25">
      <c r="A82" s="808" t="s">
        <v>1987</v>
      </c>
      <c r="B82" s="808" t="s">
        <v>2112</v>
      </c>
      <c r="C82" s="809">
        <v>112604000</v>
      </c>
      <c r="D82" s="808" t="s">
        <v>1753</v>
      </c>
      <c r="E82" s="808" t="s">
        <v>1753</v>
      </c>
      <c r="F82" s="808" t="s">
        <v>2010</v>
      </c>
      <c r="G82" s="808" t="s">
        <v>1990</v>
      </c>
      <c r="H82" s="808" t="s">
        <v>1991</v>
      </c>
      <c r="I82" s="808" t="s">
        <v>1992</v>
      </c>
      <c r="J82" s="810">
        <v>112604000</v>
      </c>
      <c r="K82" s="808" t="s">
        <v>1993</v>
      </c>
      <c r="L82" s="808" t="s">
        <v>1177</v>
      </c>
      <c r="M82" s="808" t="s">
        <v>1973</v>
      </c>
      <c r="N82" s="808" t="s">
        <v>1973</v>
      </c>
      <c r="O82" s="808" t="s">
        <v>2097</v>
      </c>
      <c r="P82" s="808" t="s">
        <v>2098</v>
      </c>
      <c r="Q82" s="808" t="s">
        <v>1996</v>
      </c>
    </row>
    <row r="83" spans="1:17" x14ac:dyDescent="0.25">
      <c r="A83" s="808" t="s">
        <v>1987</v>
      </c>
      <c r="B83" s="808" t="s">
        <v>2113</v>
      </c>
      <c r="C83" s="809">
        <v>49608000</v>
      </c>
      <c r="D83" s="808" t="s">
        <v>1753</v>
      </c>
      <c r="E83" s="808" t="s">
        <v>1753</v>
      </c>
      <c r="F83" s="808" t="s">
        <v>2010</v>
      </c>
      <c r="G83" s="808" t="s">
        <v>1990</v>
      </c>
      <c r="H83" s="808" t="s">
        <v>1991</v>
      </c>
      <c r="I83" s="808" t="s">
        <v>1992</v>
      </c>
      <c r="J83" s="810">
        <v>49608000</v>
      </c>
      <c r="K83" s="808" t="s">
        <v>1993</v>
      </c>
      <c r="L83" s="808" t="s">
        <v>1177</v>
      </c>
      <c r="M83" s="808" t="s">
        <v>1973</v>
      </c>
      <c r="N83" s="808" t="s">
        <v>1973</v>
      </c>
      <c r="O83" s="808" t="s">
        <v>2097</v>
      </c>
      <c r="P83" s="808" t="s">
        <v>2098</v>
      </c>
      <c r="Q83" s="808" t="s">
        <v>1996</v>
      </c>
    </row>
    <row r="84" spans="1:17" x14ac:dyDescent="0.25">
      <c r="A84" s="808" t="s">
        <v>2008</v>
      </c>
      <c r="B84" s="808" t="s">
        <v>2114</v>
      </c>
      <c r="C84" s="809">
        <v>356000000</v>
      </c>
      <c r="D84" s="808" t="s">
        <v>1758</v>
      </c>
      <c r="E84" s="808" t="s">
        <v>1758</v>
      </c>
      <c r="F84" s="808" t="s">
        <v>2010</v>
      </c>
      <c r="G84" s="808" t="s">
        <v>1990</v>
      </c>
      <c r="H84" s="808" t="s">
        <v>1991</v>
      </c>
      <c r="I84" s="808" t="s">
        <v>1992</v>
      </c>
      <c r="J84" s="810">
        <v>356000000</v>
      </c>
      <c r="K84" s="808" t="s">
        <v>1993</v>
      </c>
      <c r="L84" s="808" t="s">
        <v>1177</v>
      </c>
      <c r="M84" s="808" t="s">
        <v>1973</v>
      </c>
      <c r="N84" s="808" t="s">
        <v>1973</v>
      </c>
      <c r="O84" s="808" t="s">
        <v>2115</v>
      </c>
      <c r="P84" s="808" t="s">
        <v>1995</v>
      </c>
      <c r="Q84" s="808" t="s">
        <v>1996</v>
      </c>
    </row>
    <row r="85" spans="1:17" x14ac:dyDescent="0.25">
      <c r="A85" s="808" t="s">
        <v>2008</v>
      </c>
      <c r="B85" s="808" t="s">
        <v>2116</v>
      </c>
      <c r="C85" s="809">
        <v>257000000</v>
      </c>
      <c r="D85" s="808" t="s">
        <v>1758</v>
      </c>
      <c r="E85" s="808" t="s">
        <v>1758</v>
      </c>
      <c r="F85" s="808" t="s">
        <v>2010</v>
      </c>
      <c r="G85" s="808" t="s">
        <v>1990</v>
      </c>
      <c r="H85" s="808" t="s">
        <v>1991</v>
      </c>
      <c r="I85" s="808" t="s">
        <v>1992</v>
      </c>
      <c r="J85" s="810">
        <v>257000000</v>
      </c>
      <c r="K85" s="808" t="s">
        <v>1993</v>
      </c>
      <c r="L85" s="808" t="s">
        <v>1177</v>
      </c>
      <c r="M85" s="808" t="s">
        <v>1973</v>
      </c>
      <c r="N85" s="808" t="s">
        <v>1973</v>
      </c>
      <c r="O85" s="808" t="s">
        <v>1994</v>
      </c>
      <c r="P85" s="808" t="s">
        <v>1995</v>
      </c>
      <c r="Q85" s="808" t="s">
        <v>1996</v>
      </c>
    </row>
    <row r="86" spans="1:17" x14ac:dyDescent="0.25">
      <c r="A86" s="808" t="s">
        <v>2008</v>
      </c>
      <c r="B86" s="808" t="s">
        <v>2117</v>
      </c>
      <c r="C86" s="809">
        <v>316000000</v>
      </c>
      <c r="D86" s="808" t="s">
        <v>1773</v>
      </c>
      <c r="E86" s="808" t="s">
        <v>1773</v>
      </c>
      <c r="F86" s="808" t="s">
        <v>2010</v>
      </c>
      <c r="G86" s="808" t="s">
        <v>1990</v>
      </c>
      <c r="H86" s="808" t="s">
        <v>1991</v>
      </c>
      <c r="I86" s="808" t="s">
        <v>1992</v>
      </c>
      <c r="J86" s="810">
        <v>316000000</v>
      </c>
      <c r="K86" s="808" t="s">
        <v>1993</v>
      </c>
      <c r="L86" s="808" t="s">
        <v>1177</v>
      </c>
      <c r="M86" s="808" t="s">
        <v>1973</v>
      </c>
      <c r="N86" s="808" t="s">
        <v>1973</v>
      </c>
      <c r="O86" s="808" t="s">
        <v>1994</v>
      </c>
      <c r="P86" s="808" t="s">
        <v>1995</v>
      </c>
      <c r="Q86" s="808" t="s">
        <v>1996</v>
      </c>
    </row>
    <row r="87" spans="1:17" x14ac:dyDescent="0.25">
      <c r="A87" s="808" t="s">
        <v>2008</v>
      </c>
      <c r="B87" s="808" t="s">
        <v>2118</v>
      </c>
      <c r="C87" s="809">
        <v>120000000</v>
      </c>
      <c r="D87" s="808" t="s">
        <v>1757</v>
      </c>
      <c r="E87" s="808" t="s">
        <v>1757</v>
      </c>
      <c r="F87" s="808" t="s">
        <v>2000</v>
      </c>
      <c r="G87" s="808" t="s">
        <v>1990</v>
      </c>
      <c r="H87" s="808" t="s">
        <v>1991</v>
      </c>
      <c r="I87" s="808" t="s">
        <v>1992</v>
      </c>
      <c r="J87" s="810">
        <v>120000000</v>
      </c>
      <c r="K87" s="808" t="s">
        <v>1993</v>
      </c>
      <c r="L87" s="808" t="s">
        <v>1177</v>
      </c>
      <c r="M87" s="808" t="s">
        <v>1973</v>
      </c>
      <c r="N87" s="808" t="s">
        <v>1973</v>
      </c>
      <c r="O87" s="808" t="s">
        <v>1994</v>
      </c>
      <c r="P87" s="808" t="s">
        <v>1995</v>
      </c>
      <c r="Q87" s="808" t="s">
        <v>1996</v>
      </c>
    </row>
    <row r="88" spans="1:17" x14ac:dyDescent="0.25">
      <c r="A88" s="808" t="s">
        <v>2008</v>
      </c>
      <c r="B88" s="808" t="s">
        <v>2119</v>
      </c>
      <c r="C88" s="809">
        <v>381000000</v>
      </c>
      <c r="D88" s="808" t="s">
        <v>1758</v>
      </c>
      <c r="E88" s="808" t="s">
        <v>1758</v>
      </c>
      <c r="F88" s="808" t="s">
        <v>2010</v>
      </c>
      <c r="G88" s="808" t="s">
        <v>1990</v>
      </c>
      <c r="H88" s="808" t="s">
        <v>1991</v>
      </c>
      <c r="I88" s="808" t="s">
        <v>1992</v>
      </c>
      <c r="J88" s="810">
        <v>381000000</v>
      </c>
      <c r="K88" s="808" t="s">
        <v>1993</v>
      </c>
      <c r="L88" s="808" t="s">
        <v>1177</v>
      </c>
      <c r="M88" s="808" t="s">
        <v>1973</v>
      </c>
      <c r="N88" s="808" t="s">
        <v>1973</v>
      </c>
      <c r="O88" s="808" t="s">
        <v>1994</v>
      </c>
      <c r="P88" s="808" t="s">
        <v>1995</v>
      </c>
      <c r="Q88" s="808" t="s">
        <v>1996</v>
      </c>
    </row>
    <row r="89" spans="1:17" x14ac:dyDescent="0.25">
      <c r="A89" s="808" t="s">
        <v>2120</v>
      </c>
      <c r="B89" s="808" t="s">
        <v>2121</v>
      </c>
      <c r="C89" s="809">
        <v>2500000000</v>
      </c>
      <c r="D89" s="808" t="s">
        <v>1762</v>
      </c>
      <c r="E89" s="808" t="s">
        <v>1762</v>
      </c>
      <c r="F89" s="808" t="s">
        <v>2000</v>
      </c>
      <c r="G89" s="808" t="s">
        <v>1990</v>
      </c>
      <c r="H89" s="808" t="s">
        <v>2122</v>
      </c>
      <c r="I89" s="808" t="s">
        <v>1992</v>
      </c>
      <c r="J89" s="810">
        <v>2500000000</v>
      </c>
      <c r="K89" s="808" t="s">
        <v>1993</v>
      </c>
      <c r="L89" s="808" t="s">
        <v>1177</v>
      </c>
      <c r="M89" s="808" t="s">
        <v>1973</v>
      </c>
      <c r="N89" s="808" t="s">
        <v>1973</v>
      </c>
      <c r="O89" s="808" t="s">
        <v>1994</v>
      </c>
      <c r="P89" s="808" t="s">
        <v>1995</v>
      </c>
      <c r="Q89" s="808" t="s">
        <v>1996</v>
      </c>
    </row>
    <row r="90" spans="1:17" x14ac:dyDescent="0.25">
      <c r="A90" s="808" t="s">
        <v>2123</v>
      </c>
      <c r="B90" s="808" t="s">
        <v>2124</v>
      </c>
      <c r="C90" s="809">
        <v>8500000000</v>
      </c>
      <c r="D90" s="808" t="s">
        <v>1762</v>
      </c>
      <c r="E90" s="808" t="s">
        <v>1762</v>
      </c>
      <c r="F90" s="808" t="s">
        <v>2000</v>
      </c>
      <c r="G90" s="808" t="s">
        <v>1990</v>
      </c>
      <c r="H90" s="808" t="s">
        <v>2122</v>
      </c>
      <c r="I90" s="808" t="s">
        <v>1992</v>
      </c>
      <c r="J90" s="810">
        <v>8500000000</v>
      </c>
      <c r="K90" s="808" t="s">
        <v>1993</v>
      </c>
      <c r="L90" s="808" t="s">
        <v>1177</v>
      </c>
      <c r="M90" s="808" t="s">
        <v>1973</v>
      </c>
      <c r="N90" s="808" t="s">
        <v>1973</v>
      </c>
      <c r="O90" s="808" t="s">
        <v>1994</v>
      </c>
      <c r="P90" s="808" t="s">
        <v>1995</v>
      </c>
      <c r="Q90" s="808" t="s">
        <v>1996</v>
      </c>
    </row>
    <row r="91" spans="1:17" x14ac:dyDescent="0.25">
      <c r="A91" s="808" t="s">
        <v>2125</v>
      </c>
      <c r="B91" s="808" t="s">
        <v>2126</v>
      </c>
      <c r="C91" s="809">
        <v>1500000000</v>
      </c>
      <c r="D91" s="808" t="s">
        <v>1773</v>
      </c>
      <c r="E91" s="808" t="s">
        <v>1773</v>
      </c>
      <c r="F91" s="808" t="s">
        <v>2056</v>
      </c>
      <c r="G91" s="808" t="s">
        <v>1990</v>
      </c>
      <c r="H91" s="808" t="s">
        <v>2122</v>
      </c>
      <c r="I91" s="808" t="s">
        <v>1992</v>
      </c>
      <c r="J91" s="810">
        <v>1500000000</v>
      </c>
      <c r="K91" s="808" t="s">
        <v>1993</v>
      </c>
      <c r="L91" s="808" t="s">
        <v>1177</v>
      </c>
      <c r="M91" s="808" t="s">
        <v>1973</v>
      </c>
      <c r="N91" s="808" t="s">
        <v>1973</v>
      </c>
      <c r="O91" s="808" t="s">
        <v>1994</v>
      </c>
      <c r="P91" s="808" t="s">
        <v>1995</v>
      </c>
      <c r="Q91" s="808" t="s">
        <v>1996</v>
      </c>
    </row>
    <row r="92" spans="1:17" x14ac:dyDescent="0.25">
      <c r="A92" s="808" t="s">
        <v>2123</v>
      </c>
      <c r="B92" s="808" t="s">
        <v>2127</v>
      </c>
      <c r="C92" s="809">
        <v>600000000</v>
      </c>
      <c r="D92" s="808" t="s">
        <v>1757</v>
      </c>
      <c r="E92" s="808" t="s">
        <v>1757</v>
      </c>
      <c r="F92" s="808" t="s">
        <v>2056</v>
      </c>
      <c r="G92" s="808" t="s">
        <v>1990</v>
      </c>
      <c r="H92" s="808" t="s">
        <v>2128</v>
      </c>
      <c r="I92" s="808" t="s">
        <v>1992</v>
      </c>
      <c r="J92" s="810">
        <v>600000000</v>
      </c>
      <c r="K92" s="808" t="s">
        <v>1993</v>
      </c>
      <c r="L92" s="808" t="s">
        <v>1177</v>
      </c>
      <c r="M92" s="808" t="s">
        <v>1973</v>
      </c>
      <c r="N92" s="808" t="s">
        <v>1973</v>
      </c>
      <c r="O92" s="808" t="s">
        <v>1994</v>
      </c>
      <c r="P92" s="808" t="s">
        <v>1995</v>
      </c>
      <c r="Q92" s="808" t="s">
        <v>1996</v>
      </c>
    </row>
    <row r="93" spans="1:17" x14ac:dyDescent="0.25">
      <c r="A93" s="808" t="s">
        <v>1987</v>
      </c>
      <c r="B93" s="808" t="s">
        <v>2129</v>
      </c>
      <c r="C93" s="809">
        <v>18000000</v>
      </c>
      <c r="D93" s="808" t="s">
        <v>1757</v>
      </c>
      <c r="E93" s="808" t="s">
        <v>1757</v>
      </c>
      <c r="F93" s="808" t="s">
        <v>2000</v>
      </c>
      <c r="G93" s="808" t="s">
        <v>1990</v>
      </c>
      <c r="H93" s="808" t="s">
        <v>1991</v>
      </c>
      <c r="I93" s="808" t="s">
        <v>1992</v>
      </c>
      <c r="J93" s="810">
        <v>18000000</v>
      </c>
      <c r="K93" s="808" t="s">
        <v>1993</v>
      </c>
      <c r="L93" s="808" t="s">
        <v>1177</v>
      </c>
      <c r="M93" s="808" t="s">
        <v>1973</v>
      </c>
      <c r="N93" s="808" t="s">
        <v>1973</v>
      </c>
      <c r="O93" s="808" t="s">
        <v>432</v>
      </c>
      <c r="P93" s="808" t="s">
        <v>1995</v>
      </c>
      <c r="Q93" s="808" t="s">
        <v>2002</v>
      </c>
    </row>
    <row r="94" spans="1:17" x14ac:dyDescent="0.25">
      <c r="A94" s="808" t="s">
        <v>1987</v>
      </c>
      <c r="B94" s="808" t="s">
        <v>2130</v>
      </c>
      <c r="C94" s="809">
        <v>20000000</v>
      </c>
      <c r="D94" s="808" t="s">
        <v>1750</v>
      </c>
      <c r="E94" s="808" t="s">
        <v>1750</v>
      </c>
      <c r="F94" s="808" t="s">
        <v>2000</v>
      </c>
      <c r="G94" s="808" t="s">
        <v>1990</v>
      </c>
      <c r="H94" s="808" t="s">
        <v>1991</v>
      </c>
      <c r="I94" s="808" t="s">
        <v>1992</v>
      </c>
      <c r="J94" s="810">
        <v>20000000</v>
      </c>
      <c r="K94" s="808" t="s">
        <v>1993</v>
      </c>
      <c r="L94" s="808" t="s">
        <v>1177</v>
      </c>
      <c r="M94" s="808" t="s">
        <v>1973</v>
      </c>
      <c r="N94" s="808" t="s">
        <v>1973</v>
      </c>
      <c r="O94" s="808" t="s">
        <v>2131</v>
      </c>
      <c r="P94" s="808" t="s">
        <v>1995</v>
      </c>
      <c r="Q94" s="808" t="s">
        <v>2048</v>
      </c>
    </row>
    <row r="95" spans="1:17" x14ac:dyDescent="0.25">
      <c r="A95" s="808" t="s">
        <v>1987</v>
      </c>
      <c r="B95" s="808" t="s">
        <v>2132</v>
      </c>
      <c r="C95" s="809">
        <v>49000000</v>
      </c>
      <c r="D95" s="808" t="s">
        <v>1757</v>
      </c>
      <c r="E95" s="808" t="s">
        <v>1757</v>
      </c>
      <c r="F95" s="808" t="s">
        <v>2036</v>
      </c>
      <c r="G95" s="808" t="s">
        <v>1990</v>
      </c>
      <c r="H95" s="808" t="s">
        <v>1991</v>
      </c>
      <c r="I95" s="808" t="s">
        <v>1992</v>
      </c>
      <c r="J95" s="810">
        <v>49000000</v>
      </c>
      <c r="K95" s="808" t="s">
        <v>1993</v>
      </c>
      <c r="L95" s="808" t="s">
        <v>1177</v>
      </c>
      <c r="M95" s="808" t="s">
        <v>1973</v>
      </c>
      <c r="N95" s="808" t="s">
        <v>1973</v>
      </c>
      <c r="O95" s="808" t="s">
        <v>2133</v>
      </c>
      <c r="P95" s="808" t="s">
        <v>1995</v>
      </c>
      <c r="Q95" s="808" t="s">
        <v>2020</v>
      </c>
    </row>
    <row r="96" spans="1:17" x14ac:dyDescent="0.25">
      <c r="A96" s="808" t="s">
        <v>1987</v>
      </c>
      <c r="B96" s="808" t="s">
        <v>2134</v>
      </c>
      <c r="C96" s="809">
        <v>36000000</v>
      </c>
      <c r="D96" s="808" t="s">
        <v>1757</v>
      </c>
      <c r="E96" s="808" t="s">
        <v>1757</v>
      </c>
      <c r="F96" s="808" t="s">
        <v>1989</v>
      </c>
      <c r="G96" s="808" t="s">
        <v>1990</v>
      </c>
      <c r="H96" s="808" t="s">
        <v>1991</v>
      </c>
      <c r="I96" s="808" t="s">
        <v>1992</v>
      </c>
      <c r="J96" s="810">
        <v>36000000</v>
      </c>
      <c r="K96" s="808" t="s">
        <v>1993</v>
      </c>
      <c r="L96" s="808" t="s">
        <v>1177</v>
      </c>
      <c r="M96" s="808" t="s">
        <v>1973</v>
      </c>
      <c r="N96" s="808" t="s">
        <v>1973</v>
      </c>
      <c r="O96" s="808" t="s">
        <v>2133</v>
      </c>
      <c r="P96" s="808" t="s">
        <v>1995</v>
      </c>
      <c r="Q96" s="808" t="s">
        <v>2020</v>
      </c>
    </row>
    <row r="97" spans="1:17" x14ac:dyDescent="0.25">
      <c r="A97" s="808" t="s">
        <v>1987</v>
      </c>
      <c r="B97" s="808" t="s">
        <v>2135</v>
      </c>
      <c r="C97" s="809">
        <v>35000000</v>
      </c>
      <c r="D97" s="808" t="s">
        <v>1757</v>
      </c>
      <c r="E97" s="808" t="s">
        <v>1757</v>
      </c>
      <c r="F97" s="808" t="s">
        <v>2036</v>
      </c>
      <c r="G97" s="808" t="s">
        <v>1990</v>
      </c>
      <c r="H97" s="808" t="s">
        <v>1991</v>
      </c>
      <c r="I97" s="808" t="s">
        <v>1992</v>
      </c>
      <c r="J97" s="810">
        <v>35000000</v>
      </c>
      <c r="K97" s="808" t="s">
        <v>1993</v>
      </c>
      <c r="L97" s="808" t="s">
        <v>1177</v>
      </c>
      <c r="M97" s="808" t="s">
        <v>1973</v>
      </c>
      <c r="N97" s="808" t="s">
        <v>1973</v>
      </c>
      <c r="O97" s="808" t="s">
        <v>2107</v>
      </c>
      <c r="P97" s="808" t="s">
        <v>1995</v>
      </c>
      <c r="Q97" s="808" t="s">
        <v>2043</v>
      </c>
    </row>
    <row r="98" spans="1:17" x14ac:dyDescent="0.25">
      <c r="A98" s="808" t="s">
        <v>2136</v>
      </c>
      <c r="B98" s="808" t="s">
        <v>2137</v>
      </c>
      <c r="C98" s="809">
        <v>566352000</v>
      </c>
      <c r="D98" s="808" t="s">
        <v>1757</v>
      </c>
      <c r="E98" s="808" t="s">
        <v>1757</v>
      </c>
      <c r="F98" s="808" t="s">
        <v>2000</v>
      </c>
      <c r="G98" s="808" t="s">
        <v>1990</v>
      </c>
      <c r="H98" s="808" t="s">
        <v>1991</v>
      </c>
      <c r="I98" s="808" t="s">
        <v>1992</v>
      </c>
      <c r="J98" s="810">
        <v>566352000</v>
      </c>
      <c r="K98" s="808" t="s">
        <v>1993</v>
      </c>
      <c r="L98" s="808" t="s">
        <v>1177</v>
      </c>
      <c r="M98" s="808" t="s">
        <v>1973</v>
      </c>
      <c r="N98" s="808" t="s">
        <v>1973</v>
      </c>
      <c r="O98" s="808" t="s">
        <v>2024</v>
      </c>
      <c r="P98" s="808" t="s">
        <v>1995</v>
      </c>
      <c r="Q98" s="808" t="s">
        <v>1996</v>
      </c>
    </row>
    <row r="99" spans="1:17" x14ac:dyDescent="0.25">
      <c r="A99" s="808" t="s">
        <v>2136</v>
      </c>
      <c r="B99" s="808" t="s">
        <v>2138</v>
      </c>
      <c r="C99" s="809">
        <v>80000000</v>
      </c>
      <c r="D99" s="808" t="s">
        <v>1758</v>
      </c>
      <c r="E99" s="808" t="s">
        <v>1758</v>
      </c>
      <c r="F99" s="808" t="s">
        <v>2000</v>
      </c>
      <c r="G99" s="808" t="s">
        <v>1990</v>
      </c>
      <c r="H99" s="808" t="s">
        <v>1991</v>
      </c>
      <c r="I99" s="808" t="s">
        <v>1992</v>
      </c>
      <c r="J99" s="810">
        <v>80000000</v>
      </c>
      <c r="K99" s="808" t="s">
        <v>1993</v>
      </c>
      <c r="L99" s="808" t="s">
        <v>1177</v>
      </c>
      <c r="M99" s="808" t="s">
        <v>1973</v>
      </c>
      <c r="N99" s="808" t="s">
        <v>1973</v>
      </c>
      <c r="O99" s="808" t="s">
        <v>2024</v>
      </c>
      <c r="P99" s="808" t="s">
        <v>1995</v>
      </c>
      <c r="Q99" s="808" t="s">
        <v>1996</v>
      </c>
    </row>
    <row r="100" spans="1:17" x14ac:dyDescent="0.25">
      <c r="A100" s="808" t="s">
        <v>2139</v>
      </c>
      <c r="B100" s="808" t="s">
        <v>2140</v>
      </c>
      <c r="C100" s="809">
        <v>59015675</v>
      </c>
      <c r="D100" s="808" t="s">
        <v>1758</v>
      </c>
      <c r="E100" s="808" t="s">
        <v>1758</v>
      </c>
      <c r="F100" s="808" t="s">
        <v>2065</v>
      </c>
      <c r="G100" s="808" t="s">
        <v>1990</v>
      </c>
      <c r="H100" s="808" t="s">
        <v>1905</v>
      </c>
      <c r="I100" s="808" t="s">
        <v>1992</v>
      </c>
      <c r="J100" s="810">
        <v>59015675</v>
      </c>
      <c r="K100" s="808" t="s">
        <v>1993</v>
      </c>
      <c r="L100" s="808" t="s">
        <v>1177</v>
      </c>
      <c r="M100" s="808" t="s">
        <v>1973</v>
      </c>
      <c r="N100" s="808" t="s">
        <v>1973</v>
      </c>
      <c r="O100" s="808" t="s">
        <v>2024</v>
      </c>
      <c r="P100" s="808" t="s">
        <v>1995</v>
      </c>
      <c r="Q100" s="808" t="s">
        <v>1996</v>
      </c>
    </row>
    <row r="101" spans="1:17" x14ac:dyDescent="0.25">
      <c r="A101" s="808" t="s">
        <v>2141</v>
      </c>
      <c r="B101" s="808" t="s">
        <v>2142</v>
      </c>
      <c r="C101" s="809">
        <v>55000000</v>
      </c>
      <c r="D101" s="808" t="s">
        <v>1866</v>
      </c>
      <c r="E101" s="808" t="s">
        <v>1866</v>
      </c>
      <c r="F101" s="808" t="s">
        <v>2010</v>
      </c>
      <c r="G101" s="808" t="s">
        <v>1990</v>
      </c>
      <c r="H101" s="808" t="s">
        <v>1991</v>
      </c>
      <c r="I101" s="808" t="s">
        <v>1992</v>
      </c>
      <c r="J101" s="810">
        <v>55000000</v>
      </c>
      <c r="K101" s="808" t="s">
        <v>1993</v>
      </c>
      <c r="L101" s="808" t="s">
        <v>1177</v>
      </c>
      <c r="M101" s="808" t="s">
        <v>1973</v>
      </c>
      <c r="N101" s="808" t="s">
        <v>1973</v>
      </c>
      <c r="O101" s="808" t="s">
        <v>2024</v>
      </c>
      <c r="P101" s="808" t="s">
        <v>1995</v>
      </c>
      <c r="Q101" s="808" t="s">
        <v>1996</v>
      </c>
    </row>
    <row r="102" spans="1:17" x14ac:dyDescent="0.25">
      <c r="A102" s="808" t="s">
        <v>1987</v>
      </c>
      <c r="B102" s="808" t="s">
        <v>2143</v>
      </c>
      <c r="C102" s="809">
        <v>40000000</v>
      </c>
      <c r="D102" s="808" t="s">
        <v>1758</v>
      </c>
      <c r="E102" s="808" t="s">
        <v>1758</v>
      </c>
      <c r="F102" s="808" t="s">
        <v>2077</v>
      </c>
      <c r="G102" s="808" t="s">
        <v>1990</v>
      </c>
      <c r="H102" s="808" t="s">
        <v>1991</v>
      </c>
      <c r="I102" s="808" t="s">
        <v>1992</v>
      </c>
      <c r="J102" s="810">
        <v>40000000</v>
      </c>
      <c r="K102" s="808" t="s">
        <v>1993</v>
      </c>
      <c r="L102" s="808" t="s">
        <v>1177</v>
      </c>
      <c r="M102" s="808" t="s">
        <v>1973</v>
      </c>
      <c r="N102" s="808" t="s">
        <v>1973</v>
      </c>
      <c r="O102" s="808" t="s">
        <v>2024</v>
      </c>
      <c r="P102" s="808" t="s">
        <v>1995</v>
      </c>
      <c r="Q102" s="808" t="s">
        <v>1996</v>
      </c>
    </row>
    <row r="103" spans="1:17" x14ac:dyDescent="0.25">
      <c r="A103" s="808" t="s">
        <v>2141</v>
      </c>
      <c r="B103" s="808" t="s">
        <v>2144</v>
      </c>
      <c r="C103" s="809">
        <v>55000000</v>
      </c>
      <c r="D103" s="808" t="s">
        <v>1750</v>
      </c>
      <c r="E103" s="808" t="s">
        <v>1750</v>
      </c>
      <c r="F103" s="808" t="s">
        <v>2010</v>
      </c>
      <c r="G103" s="808" t="s">
        <v>1990</v>
      </c>
      <c r="H103" s="808" t="s">
        <v>1991</v>
      </c>
      <c r="I103" s="808" t="s">
        <v>1992</v>
      </c>
      <c r="J103" s="810">
        <v>55000000</v>
      </c>
      <c r="K103" s="808" t="s">
        <v>1993</v>
      </c>
      <c r="L103" s="808" t="s">
        <v>1177</v>
      </c>
      <c r="M103" s="808" t="s">
        <v>1973</v>
      </c>
      <c r="N103" s="808" t="s">
        <v>1973</v>
      </c>
      <c r="O103" s="808" t="s">
        <v>2024</v>
      </c>
      <c r="P103" s="808" t="s">
        <v>1995</v>
      </c>
      <c r="Q103" s="808" t="s">
        <v>1996</v>
      </c>
    </row>
    <row r="104" spans="1:17" x14ac:dyDescent="0.25">
      <c r="A104" s="808" t="s">
        <v>2141</v>
      </c>
      <c r="B104" s="808" t="s">
        <v>2145</v>
      </c>
      <c r="C104" s="809">
        <v>55000000</v>
      </c>
      <c r="D104" s="808" t="s">
        <v>1750</v>
      </c>
      <c r="E104" s="808" t="s">
        <v>1750</v>
      </c>
      <c r="F104" s="808" t="s">
        <v>2010</v>
      </c>
      <c r="G104" s="808" t="s">
        <v>1990</v>
      </c>
      <c r="H104" s="808" t="s">
        <v>1991</v>
      </c>
      <c r="I104" s="808" t="s">
        <v>1992</v>
      </c>
      <c r="J104" s="810">
        <v>55000000</v>
      </c>
      <c r="K104" s="808" t="s">
        <v>1993</v>
      </c>
      <c r="L104" s="808" t="s">
        <v>1177</v>
      </c>
      <c r="M104" s="808" t="s">
        <v>1973</v>
      </c>
      <c r="N104" s="808" t="s">
        <v>1973</v>
      </c>
      <c r="O104" s="808" t="s">
        <v>2024</v>
      </c>
      <c r="P104" s="808" t="s">
        <v>1995</v>
      </c>
      <c r="Q104" s="808" t="s">
        <v>1996</v>
      </c>
    </row>
    <row r="105" spans="1:17" x14ac:dyDescent="0.25">
      <c r="A105" s="808" t="s">
        <v>2141</v>
      </c>
      <c r="B105" s="808" t="s">
        <v>2146</v>
      </c>
      <c r="C105" s="809">
        <v>55000000</v>
      </c>
      <c r="D105" s="808" t="s">
        <v>1750</v>
      </c>
      <c r="E105" s="808" t="s">
        <v>1750</v>
      </c>
      <c r="F105" s="808" t="s">
        <v>2010</v>
      </c>
      <c r="G105" s="808" t="s">
        <v>1990</v>
      </c>
      <c r="H105" s="808" t="s">
        <v>1991</v>
      </c>
      <c r="I105" s="808" t="s">
        <v>1992</v>
      </c>
      <c r="J105" s="810">
        <v>55000000</v>
      </c>
      <c r="K105" s="808" t="s">
        <v>1993</v>
      </c>
      <c r="L105" s="808" t="s">
        <v>1177</v>
      </c>
      <c r="M105" s="808" t="s">
        <v>1973</v>
      </c>
      <c r="N105" s="808" t="s">
        <v>1973</v>
      </c>
      <c r="O105" s="808" t="s">
        <v>2024</v>
      </c>
      <c r="P105" s="808" t="s">
        <v>1995</v>
      </c>
      <c r="Q105" s="808" t="s">
        <v>1996</v>
      </c>
    </row>
    <row r="106" spans="1:17" x14ac:dyDescent="0.25">
      <c r="A106" s="808" t="s">
        <v>2141</v>
      </c>
      <c r="B106" s="808" t="s">
        <v>2147</v>
      </c>
      <c r="C106" s="809">
        <v>55000000</v>
      </c>
      <c r="D106" s="808" t="s">
        <v>1750</v>
      </c>
      <c r="E106" s="808" t="s">
        <v>1750</v>
      </c>
      <c r="F106" s="808" t="s">
        <v>2010</v>
      </c>
      <c r="G106" s="808" t="s">
        <v>1990</v>
      </c>
      <c r="H106" s="808" t="s">
        <v>1991</v>
      </c>
      <c r="I106" s="808" t="s">
        <v>1992</v>
      </c>
      <c r="J106" s="810">
        <v>55000000</v>
      </c>
      <c r="K106" s="808" t="s">
        <v>1993</v>
      </c>
      <c r="L106" s="808" t="s">
        <v>1177</v>
      </c>
      <c r="M106" s="808" t="s">
        <v>1973</v>
      </c>
      <c r="N106" s="808" t="s">
        <v>1973</v>
      </c>
      <c r="O106" s="808" t="s">
        <v>2024</v>
      </c>
      <c r="P106" s="808" t="s">
        <v>1995</v>
      </c>
      <c r="Q106" s="808" t="s">
        <v>1996</v>
      </c>
    </row>
    <row r="107" spans="1:17" x14ac:dyDescent="0.25">
      <c r="A107" s="808" t="s">
        <v>2141</v>
      </c>
      <c r="B107" s="808" t="s">
        <v>2148</v>
      </c>
      <c r="C107" s="809">
        <v>55000000</v>
      </c>
      <c r="D107" s="808" t="s">
        <v>1750</v>
      </c>
      <c r="E107" s="808" t="s">
        <v>1750</v>
      </c>
      <c r="F107" s="808" t="s">
        <v>2010</v>
      </c>
      <c r="G107" s="808" t="s">
        <v>1990</v>
      </c>
      <c r="H107" s="808" t="s">
        <v>1991</v>
      </c>
      <c r="I107" s="808" t="s">
        <v>1992</v>
      </c>
      <c r="J107" s="810">
        <v>55000000</v>
      </c>
      <c r="K107" s="808" t="s">
        <v>1993</v>
      </c>
      <c r="L107" s="808" t="s">
        <v>1177</v>
      </c>
      <c r="M107" s="808" t="s">
        <v>1973</v>
      </c>
      <c r="N107" s="808" t="s">
        <v>1973</v>
      </c>
      <c r="O107" s="808" t="s">
        <v>2024</v>
      </c>
      <c r="P107" s="808" t="s">
        <v>1995</v>
      </c>
      <c r="Q107" s="808" t="s">
        <v>1996</v>
      </c>
    </row>
    <row r="108" spans="1:17" x14ac:dyDescent="0.25">
      <c r="A108" s="808" t="s">
        <v>2083</v>
      </c>
      <c r="B108" s="808" t="s">
        <v>2149</v>
      </c>
      <c r="C108" s="809">
        <v>648968200</v>
      </c>
      <c r="D108" s="808" t="s">
        <v>1757</v>
      </c>
      <c r="E108" s="808" t="s">
        <v>1757</v>
      </c>
      <c r="F108" s="808" t="s">
        <v>2000</v>
      </c>
      <c r="G108" s="808" t="s">
        <v>1990</v>
      </c>
      <c r="H108" s="808" t="s">
        <v>2078</v>
      </c>
      <c r="I108" s="808" t="s">
        <v>1992</v>
      </c>
      <c r="J108" s="810">
        <v>648968200</v>
      </c>
      <c r="K108" s="808" t="s">
        <v>1993</v>
      </c>
      <c r="L108" s="808" t="s">
        <v>1177</v>
      </c>
      <c r="M108" s="808" t="s">
        <v>1973</v>
      </c>
      <c r="N108" s="808" t="s">
        <v>1973</v>
      </c>
      <c r="O108" s="808" t="s">
        <v>2067</v>
      </c>
      <c r="P108" s="808" t="s">
        <v>1995</v>
      </c>
      <c r="Q108" s="808" t="s">
        <v>2002</v>
      </c>
    </row>
    <row r="109" spans="1:17" x14ac:dyDescent="0.25">
      <c r="A109" s="808" t="s">
        <v>2083</v>
      </c>
      <c r="B109" s="808" t="s">
        <v>2150</v>
      </c>
      <c r="C109" s="809">
        <v>199875720</v>
      </c>
      <c r="D109" s="808" t="s">
        <v>1757</v>
      </c>
      <c r="E109" s="808" t="s">
        <v>1757</v>
      </c>
      <c r="F109" s="808" t="s">
        <v>2023</v>
      </c>
      <c r="G109" s="808" t="s">
        <v>1990</v>
      </c>
      <c r="H109" s="808" t="s">
        <v>2078</v>
      </c>
      <c r="I109" s="808" t="s">
        <v>1992</v>
      </c>
      <c r="J109" s="810">
        <v>199875720</v>
      </c>
      <c r="K109" s="808" t="s">
        <v>1993</v>
      </c>
      <c r="L109" s="808" t="s">
        <v>1177</v>
      </c>
      <c r="M109" s="808" t="s">
        <v>1973</v>
      </c>
      <c r="N109" s="808" t="s">
        <v>1973</v>
      </c>
      <c r="O109" s="808" t="s">
        <v>2067</v>
      </c>
      <c r="P109" s="808" t="s">
        <v>1995</v>
      </c>
      <c r="Q109" s="808" t="s">
        <v>2002</v>
      </c>
    </row>
    <row r="110" spans="1:17" x14ac:dyDescent="0.25">
      <c r="A110" s="808" t="s">
        <v>2083</v>
      </c>
      <c r="B110" s="808" t="s">
        <v>2151</v>
      </c>
      <c r="C110" s="809">
        <v>370678608</v>
      </c>
      <c r="D110" s="808" t="s">
        <v>1757</v>
      </c>
      <c r="E110" s="808" t="s">
        <v>1757</v>
      </c>
      <c r="F110" s="808" t="s">
        <v>2000</v>
      </c>
      <c r="G110" s="808" t="s">
        <v>1990</v>
      </c>
      <c r="H110" s="808" t="s">
        <v>2078</v>
      </c>
      <c r="I110" s="808" t="s">
        <v>1992</v>
      </c>
      <c r="J110" s="810">
        <v>370678608</v>
      </c>
      <c r="K110" s="808" t="s">
        <v>1993</v>
      </c>
      <c r="L110" s="808" t="s">
        <v>1177</v>
      </c>
      <c r="M110" s="808" t="s">
        <v>1973</v>
      </c>
      <c r="N110" s="808" t="s">
        <v>1973</v>
      </c>
      <c r="O110" s="808" t="s">
        <v>2067</v>
      </c>
      <c r="P110" s="808" t="s">
        <v>1995</v>
      </c>
      <c r="Q110" s="808" t="s">
        <v>2002</v>
      </c>
    </row>
    <row r="111" spans="1:17" x14ac:dyDescent="0.25">
      <c r="A111" s="808" t="s">
        <v>2083</v>
      </c>
      <c r="B111" s="808" t="s">
        <v>2152</v>
      </c>
      <c r="C111" s="809">
        <v>439581220</v>
      </c>
      <c r="D111" s="808" t="s">
        <v>1757</v>
      </c>
      <c r="E111" s="808" t="s">
        <v>1757</v>
      </c>
      <c r="F111" s="808" t="s">
        <v>2000</v>
      </c>
      <c r="G111" s="808" t="s">
        <v>1990</v>
      </c>
      <c r="H111" s="808" t="s">
        <v>2078</v>
      </c>
      <c r="I111" s="808" t="s">
        <v>1992</v>
      </c>
      <c r="J111" s="810">
        <v>439581220</v>
      </c>
      <c r="K111" s="808" t="s">
        <v>1993</v>
      </c>
      <c r="L111" s="808" t="s">
        <v>1177</v>
      </c>
      <c r="M111" s="808" t="s">
        <v>1973</v>
      </c>
      <c r="N111" s="808" t="s">
        <v>1973</v>
      </c>
      <c r="O111" s="808" t="s">
        <v>2067</v>
      </c>
      <c r="P111" s="808" t="s">
        <v>1995</v>
      </c>
      <c r="Q111" s="808" t="s">
        <v>2002</v>
      </c>
    </row>
    <row r="112" spans="1:17" x14ac:dyDescent="0.25">
      <c r="A112" s="808" t="s">
        <v>2153</v>
      </c>
      <c r="B112" s="808" t="s">
        <v>2154</v>
      </c>
      <c r="C112" s="809">
        <v>200000000</v>
      </c>
      <c r="D112" s="808" t="s">
        <v>1866</v>
      </c>
      <c r="E112" s="808" t="s">
        <v>1750</v>
      </c>
      <c r="F112" s="808" t="s">
        <v>2065</v>
      </c>
      <c r="G112" s="808" t="s">
        <v>1990</v>
      </c>
      <c r="H112" s="808" t="s">
        <v>2066</v>
      </c>
      <c r="I112" s="808" t="s">
        <v>1992</v>
      </c>
      <c r="J112" s="810">
        <v>200000000</v>
      </c>
      <c r="K112" s="808" t="s">
        <v>1993</v>
      </c>
      <c r="L112" s="808" t="s">
        <v>1177</v>
      </c>
      <c r="M112" s="808" t="s">
        <v>1973</v>
      </c>
      <c r="N112" s="808" t="s">
        <v>1973</v>
      </c>
      <c r="O112" s="808" t="s">
        <v>2067</v>
      </c>
      <c r="P112" s="808" t="s">
        <v>1995</v>
      </c>
      <c r="Q112" s="808" t="s">
        <v>2002</v>
      </c>
    </row>
    <row r="113" spans="1:17" x14ac:dyDescent="0.25">
      <c r="A113" s="808" t="s">
        <v>2155</v>
      </c>
      <c r="B113" s="808" t="s">
        <v>2156</v>
      </c>
      <c r="C113" s="809">
        <v>300000000</v>
      </c>
      <c r="D113" s="808" t="s">
        <v>1750</v>
      </c>
      <c r="E113" s="808" t="s">
        <v>1757</v>
      </c>
      <c r="F113" s="808" t="s">
        <v>1989</v>
      </c>
      <c r="G113" s="808" t="s">
        <v>1990</v>
      </c>
      <c r="H113" s="808" t="s">
        <v>2128</v>
      </c>
      <c r="I113" s="808" t="s">
        <v>1992</v>
      </c>
      <c r="J113" s="810">
        <v>300000000</v>
      </c>
      <c r="K113" s="808" t="s">
        <v>1993</v>
      </c>
      <c r="L113" s="808" t="s">
        <v>1177</v>
      </c>
      <c r="M113" s="808" t="s">
        <v>1973</v>
      </c>
      <c r="N113" s="808" t="s">
        <v>1973</v>
      </c>
      <c r="O113" s="808" t="s">
        <v>2067</v>
      </c>
      <c r="P113" s="808" t="s">
        <v>1995</v>
      </c>
      <c r="Q113" s="808" t="s">
        <v>2002</v>
      </c>
    </row>
    <row r="114" spans="1:17" x14ac:dyDescent="0.25">
      <c r="A114" s="808" t="s">
        <v>1987</v>
      </c>
      <c r="B114" s="808" t="s">
        <v>2157</v>
      </c>
      <c r="C114" s="809">
        <v>57888060</v>
      </c>
      <c r="D114" s="808" t="s">
        <v>1866</v>
      </c>
      <c r="E114" s="808" t="s">
        <v>1866</v>
      </c>
      <c r="F114" s="808" t="s">
        <v>2004</v>
      </c>
      <c r="G114" s="808" t="s">
        <v>1990</v>
      </c>
      <c r="H114" s="808" t="s">
        <v>1991</v>
      </c>
      <c r="I114" s="808" t="s">
        <v>1992</v>
      </c>
      <c r="J114" s="810">
        <v>57888060</v>
      </c>
      <c r="K114" s="808" t="s">
        <v>1993</v>
      </c>
      <c r="L114" s="808" t="s">
        <v>1177</v>
      </c>
      <c r="M114" s="808" t="s">
        <v>1973</v>
      </c>
      <c r="N114" s="808" t="s">
        <v>1973</v>
      </c>
      <c r="O114" s="808" t="s">
        <v>2005</v>
      </c>
      <c r="P114" s="808" t="s">
        <v>1995</v>
      </c>
      <c r="Q114" s="808" t="s">
        <v>2006</v>
      </c>
    </row>
    <row r="115" spans="1:17" x14ac:dyDescent="0.25">
      <c r="A115" s="808" t="s">
        <v>1987</v>
      </c>
      <c r="B115" s="808" t="s">
        <v>2158</v>
      </c>
      <c r="C115" s="809">
        <v>61383600</v>
      </c>
      <c r="D115" s="808" t="s">
        <v>1749</v>
      </c>
      <c r="E115" s="808" t="s">
        <v>1749</v>
      </c>
      <c r="F115" s="808" t="s">
        <v>2023</v>
      </c>
      <c r="G115" s="808" t="s">
        <v>1990</v>
      </c>
      <c r="H115" s="808" t="s">
        <v>1991</v>
      </c>
      <c r="I115" s="808" t="s">
        <v>1992</v>
      </c>
      <c r="J115" s="810">
        <v>61383600</v>
      </c>
      <c r="K115" s="808" t="s">
        <v>1993</v>
      </c>
      <c r="L115" s="808" t="s">
        <v>1177</v>
      </c>
      <c r="M115" s="808" t="s">
        <v>1973</v>
      </c>
      <c r="N115" s="808" t="s">
        <v>1973</v>
      </c>
      <c r="O115" s="808" t="s">
        <v>2005</v>
      </c>
      <c r="P115" s="808" t="s">
        <v>1995</v>
      </c>
      <c r="Q115" s="808" t="s">
        <v>2006</v>
      </c>
    </row>
    <row r="116" spans="1:17" x14ac:dyDescent="0.25">
      <c r="A116" s="808" t="s">
        <v>1987</v>
      </c>
      <c r="B116" s="808" t="s">
        <v>2159</v>
      </c>
      <c r="C116" s="809">
        <v>53226394</v>
      </c>
      <c r="D116" s="808" t="s">
        <v>1749</v>
      </c>
      <c r="E116" s="808" t="s">
        <v>1749</v>
      </c>
      <c r="F116" s="808" t="s">
        <v>2023</v>
      </c>
      <c r="G116" s="808" t="s">
        <v>1990</v>
      </c>
      <c r="H116" s="808" t="s">
        <v>1991</v>
      </c>
      <c r="I116" s="808" t="s">
        <v>1992</v>
      </c>
      <c r="J116" s="810">
        <v>53226394</v>
      </c>
      <c r="K116" s="808" t="s">
        <v>1993</v>
      </c>
      <c r="L116" s="808" t="s">
        <v>1177</v>
      </c>
      <c r="M116" s="808" t="s">
        <v>1973</v>
      </c>
      <c r="N116" s="808" t="s">
        <v>1973</v>
      </c>
      <c r="O116" s="808" t="s">
        <v>2005</v>
      </c>
      <c r="P116" s="808" t="s">
        <v>1995</v>
      </c>
      <c r="Q116" s="808" t="s">
        <v>2006</v>
      </c>
    </row>
    <row r="117" spans="1:17" x14ac:dyDescent="0.25">
      <c r="A117" s="808" t="s">
        <v>1987</v>
      </c>
      <c r="B117" s="808" t="s">
        <v>2160</v>
      </c>
      <c r="C117" s="809">
        <v>134074420</v>
      </c>
      <c r="D117" s="808" t="s">
        <v>1749</v>
      </c>
      <c r="E117" s="808" t="s">
        <v>1749</v>
      </c>
      <c r="F117" s="808" t="s">
        <v>2023</v>
      </c>
      <c r="G117" s="808" t="s">
        <v>1990</v>
      </c>
      <c r="H117" s="808" t="s">
        <v>1991</v>
      </c>
      <c r="I117" s="808" t="s">
        <v>1992</v>
      </c>
      <c r="J117" s="810">
        <v>134074420</v>
      </c>
      <c r="K117" s="808" t="s">
        <v>1993</v>
      </c>
      <c r="L117" s="808" t="s">
        <v>1177</v>
      </c>
      <c r="M117" s="808" t="s">
        <v>1973</v>
      </c>
      <c r="N117" s="808" t="s">
        <v>1973</v>
      </c>
      <c r="O117" s="808" t="s">
        <v>2005</v>
      </c>
      <c r="P117" s="808" t="s">
        <v>1995</v>
      </c>
      <c r="Q117" s="808" t="s">
        <v>2006</v>
      </c>
    </row>
    <row r="118" spans="1:17" x14ac:dyDescent="0.25">
      <c r="A118" s="808" t="s">
        <v>1987</v>
      </c>
      <c r="B118" s="808" t="s">
        <v>2161</v>
      </c>
      <c r="C118" s="809">
        <v>40290000</v>
      </c>
      <c r="D118" s="808" t="s">
        <v>1749</v>
      </c>
      <c r="E118" s="808" t="s">
        <v>1749</v>
      </c>
      <c r="F118" s="808" t="s">
        <v>2023</v>
      </c>
      <c r="G118" s="808" t="s">
        <v>1990</v>
      </c>
      <c r="H118" s="808" t="s">
        <v>1991</v>
      </c>
      <c r="I118" s="808" t="s">
        <v>1992</v>
      </c>
      <c r="J118" s="810">
        <v>40290000</v>
      </c>
      <c r="K118" s="808" t="s">
        <v>1993</v>
      </c>
      <c r="L118" s="808" t="s">
        <v>1177</v>
      </c>
      <c r="M118" s="808" t="s">
        <v>1973</v>
      </c>
      <c r="N118" s="808" t="s">
        <v>1973</v>
      </c>
      <c r="O118" s="808" t="s">
        <v>2005</v>
      </c>
      <c r="P118" s="808" t="s">
        <v>1995</v>
      </c>
      <c r="Q118" s="808" t="s">
        <v>2006</v>
      </c>
    </row>
    <row r="119" spans="1:17" x14ac:dyDescent="0.25">
      <c r="A119" s="808" t="s">
        <v>1987</v>
      </c>
      <c r="B119" s="808" t="s">
        <v>2162</v>
      </c>
      <c r="C119" s="809">
        <v>65836059</v>
      </c>
      <c r="D119" s="808" t="s">
        <v>1753</v>
      </c>
      <c r="E119" s="808" t="s">
        <v>1753</v>
      </c>
      <c r="F119" s="808" t="s">
        <v>2027</v>
      </c>
      <c r="G119" s="808" t="s">
        <v>1990</v>
      </c>
      <c r="H119" s="808" t="s">
        <v>1991</v>
      </c>
      <c r="I119" s="808" t="s">
        <v>1992</v>
      </c>
      <c r="J119" s="810">
        <v>65836059</v>
      </c>
      <c r="K119" s="808" t="s">
        <v>1993</v>
      </c>
      <c r="L119" s="808" t="s">
        <v>1177</v>
      </c>
      <c r="M119" s="808" t="s">
        <v>1973</v>
      </c>
      <c r="N119" s="808" t="s">
        <v>1973</v>
      </c>
      <c r="O119" s="808" t="s">
        <v>2005</v>
      </c>
      <c r="P119" s="808" t="s">
        <v>1995</v>
      </c>
      <c r="Q119" s="808" t="s">
        <v>2006</v>
      </c>
    </row>
    <row r="120" spans="1:17" x14ac:dyDescent="0.25">
      <c r="A120" s="808" t="s">
        <v>1987</v>
      </c>
      <c r="B120" s="808" t="s">
        <v>2163</v>
      </c>
      <c r="C120" s="809">
        <v>24050000</v>
      </c>
      <c r="D120" s="808" t="s">
        <v>1758</v>
      </c>
      <c r="E120" s="808" t="s">
        <v>1758</v>
      </c>
      <c r="F120" s="808" t="s">
        <v>2077</v>
      </c>
      <c r="G120" s="808" t="s">
        <v>1990</v>
      </c>
      <c r="H120" s="808" t="s">
        <v>1991</v>
      </c>
      <c r="I120" s="808" t="s">
        <v>1992</v>
      </c>
      <c r="J120" s="810">
        <v>24050000</v>
      </c>
      <c r="K120" s="808" t="s">
        <v>1993</v>
      </c>
      <c r="L120" s="808" t="s">
        <v>1177</v>
      </c>
      <c r="M120" s="808" t="s">
        <v>1973</v>
      </c>
      <c r="N120" s="808" t="s">
        <v>1973</v>
      </c>
      <c r="O120" s="808" t="s">
        <v>2005</v>
      </c>
      <c r="P120" s="808" t="s">
        <v>1995</v>
      </c>
      <c r="Q120" s="808" t="s">
        <v>2006</v>
      </c>
    </row>
    <row r="121" spans="1:17" x14ac:dyDescent="0.25">
      <c r="A121" s="808" t="s">
        <v>1987</v>
      </c>
      <c r="B121" s="808" t="s">
        <v>2164</v>
      </c>
      <c r="C121" s="809">
        <v>48144000</v>
      </c>
      <c r="D121" s="808" t="s">
        <v>1749</v>
      </c>
      <c r="E121" s="808" t="s">
        <v>1749</v>
      </c>
      <c r="F121" s="808" t="s">
        <v>2023</v>
      </c>
      <c r="G121" s="808" t="s">
        <v>1990</v>
      </c>
      <c r="H121" s="808" t="s">
        <v>1991</v>
      </c>
      <c r="I121" s="808" t="s">
        <v>1992</v>
      </c>
      <c r="J121" s="810">
        <v>48144000</v>
      </c>
      <c r="K121" s="808" t="s">
        <v>1993</v>
      </c>
      <c r="L121" s="808" t="s">
        <v>1177</v>
      </c>
      <c r="M121" s="808" t="s">
        <v>1973</v>
      </c>
      <c r="N121" s="808" t="s">
        <v>1973</v>
      </c>
      <c r="O121" s="808" t="s">
        <v>2005</v>
      </c>
      <c r="P121" s="808" t="s">
        <v>1995</v>
      </c>
      <c r="Q121" s="808" t="s">
        <v>2006</v>
      </c>
    </row>
    <row r="122" spans="1:17" x14ac:dyDescent="0.25">
      <c r="A122" s="808" t="s">
        <v>2165</v>
      </c>
      <c r="B122" s="808" t="s">
        <v>2166</v>
      </c>
      <c r="C122" s="809">
        <v>3333584000</v>
      </c>
      <c r="D122" s="808" t="s">
        <v>1758</v>
      </c>
      <c r="E122" s="808" t="s">
        <v>1773</v>
      </c>
      <c r="F122" s="808" t="s">
        <v>2056</v>
      </c>
      <c r="G122" s="808" t="s">
        <v>1990</v>
      </c>
      <c r="H122" s="808" t="s">
        <v>2167</v>
      </c>
      <c r="I122" s="808" t="s">
        <v>1992</v>
      </c>
      <c r="J122" s="810">
        <v>3333584000</v>
      </c>
      <c r="K122" s="808" t="s">
        <v>1993</v>
      </c>
      <c r="L122" s="808" t="s">
        <v>1177</v>
      </c>
      <c r="M122" s="808" t="s">
        <v>1973</v>
      </c>
      <c r="N122" s="808" t="s">
        <v>1973</v>
      </c>
      <c r="O122" s="808" t="s">
        <v>2005</v>
      </c>
      <c r="P122" s="808" t="s">
        <v>1995</v>
      </c>
      <c r="Q122" s="808" t="s">
        <v>2006</v>
      </c>
    </row>
    <row r="123" spans="1:17" x14ac:dyDescent="0.25">
      <c r="A123" s="808" t="s">
        <v>2168</v>
      </c>
      <c r="B123" s="808" t="s">
        <v>2169</v>
      </c>
      <c r="C123" s="809">
        <v>1000000000</v>
      </c>
      <c r="D123" s="808" t="s">
        <v>1743</v>
      </c>
      <c r="E123" s="808" t="s">
        <v>1743</v>
      </c>
      <c r="F123" s="808" t="s">
        <v>2036</v>
      </c>
      <c r="G123" s="808" t="s">
        <v>1990</v>
      </c>
      <c r="H123" s="808" t="s">
        <v>2167</v>
      </c>
      <c r="I123" s="808" t="s">
        <v>1992</v>
      </c>
      <c r="J123" s="810">
        <v>1000000000</v>
      </c>
      <c r="K123" s="808" t="s">
        <v>1993</v>
      </c>
      <c r="L123" s="808" t="s">
        <v>1177</v>
      </c>
      <c r="M123" s="808" t="s">
        <v>1973</v>
      </c>
      <c r="N123" s="808" t="s">
        <v>1973</v>
      </c>
      <c r="O123" s="808" t="s">
        <v>2042</v>
      </c>
      <c r="P123" s="808" t="s">
        <v>1995</v>
      </c>
      <c r="Q123" s="808" t="s">
        <v>2043</v>
      </c>
    </row>
    <row r="124" spans="1:17" x14ac:dyDescent="0.25">
      <c r="A124" s="808" t="s">
        <v>1987</v>
      </c>
      <c r="B124" s="808" t="s">
        <v>2170</v>
      </c>
      <c r="C124" s="809">
        <v>80000000</v>
      </c>
      <c r="D124" s="808" t="s">
        <v>1753</v>
      </c>
      <c r="E124" s="808" t="s">
        <v>1753</v>
      </c>
      <c r="F124" s="808" t="s">
        <v>2023</v>
      </c>
      <c r="G124" s="808" t="s">
        <v>1990</v>
      </c>
      <c r="H124" s="808" t="s">
        <v>1991</v>
      </c>
      <c r="I124" s="808" t="s">
        <v>1992</v>
      </c>
      <c r="J124" s="810">
        <v>80000000</v>
      </c>
      <c r="K124" s="808" t="s">
        <v>1993</v>
      </c>
      <c r="L124" s="808" t="s">
        <v>1177</v>
      </c>
      <c r="M124" s="808" t="s">
        <v>1973</v>
      </c>
      <c r="N124" s="808" t="s">
        <v>1973</v>
      </c>
      <c r="O124" s="808" t="s">
        <v>2042</v>
      </c>
      <c r="P124" s="808" t="s">
        <v>1995</v>
      </c>
      <c r="Q124" s="808" t="s">
        <v>2043</v>
      </c>
    </row>
    <row r="125" spans="1:17" x14ac:dyDescent="0.25">
      <c r="A125" s="808" t="s">
        <v>1987</v>
      </c>
      <c r="B125" s="808" t="s">
        <v>2171</v>
      </c>
      <c r="C125" s="809">
        <v>60180000</v>
      </c>
      <c r="D125" s="808" t="s">
        <v>1749</v>
      </c>
      <c r="E125" s="808" t="s">
        <v>1749</v>
      </c>
      <c r="F125" s="808" t="s">
        <v>2023</v>
      </c>
      <c r="G125" s="808" t="s">
        <v>1990</v>
      </c>
      <c r="H125" s="808" t="s">
        <v>1991</v>
      </c>
      <c r="I125" s="808" t="s">
        <v>1992</v>
      </c>
      <c r="J125" s="810">
        <v>60180000</v>
      </c>
      <c r="K125" s="808" t="s">
        <v>1993</v>
      </c>
      <c r="L125" s="808" t="s">
        <v>1177</v>
      </c>
      <c r="M125" s="808" t="s">
        <v>1973</v>
      </c>
      <c r="N125" s="808" t="s">
        <v>1973</v>
      </c>
      <c r="O125" s="808" t="s">
        <v>2005</v>
      </c>
      <c r="P125" s="808" t="s">
        <v>1995</v>
      </c>
      <c r="Q125" s="808" t="s">
        <v>2006</v>
      </c>
    </row>
    <row r="126" spans="1:17" x14ac:dyDescent="0.25">
      <c r="A126" s="808" t="s">
        <v>1987</v>
      </c>
      <c r="B126" s="808" t="s">
        <v>2172</v>
      </c>
      <c r="C126" s="809">
        <v>40800000</v>
      </c>
      <c r="D126" s="808" t="s">
        <v>1753</v>
      </c>
      <c r="E126" s="808" t="s">
        <v>1753</v>
      </c>
      <c r="F126" s="808" t="s">
        <v>2010</v>
      </c>
      <c r="G126" s="808" t="s">
        <v>1990</v>
      </c>
      <c r="H126" s="808" t="s">
        <v>1991</v>
      </c>
      <c r="I126" s="808" t="s">
        <v>1992</v>
      </c>
      <c r="J126" s="810">
        <v>40800000</v>
      </c>
      <c r="K126" s="808" t="s">
        <v>1993</v>
      </c>
      <c r="L126" s="808" t="s">
        <v>1177</v>
      </c>
      <c r="M126" s="808" t="s">
        <v>1973</v>
      </c>
      <c r="N126" s="808" t="s">
        <v>1973</v>
      </c>
      <c r="O126" s="808" t="s">
        <v>2097</v>
      </c>
      <c r="P126" s="808" t="s">
        <v>2098</v>
      </c>
      <c r="Q126" s="808" t="s">
        <v>1996</v>
      </c>
    </row>
    <row r="127" spans="1:17" x14ac:dyDescent="0.25">
      <c r="A127" s="808" t="s">
        <v>1987</v>
      </c>
      <c r="B127" s="808" t="s">
        <v>2173</v>
      </c>
      <c r="C127" s="809">
        <v>69600000</v>
      </c>
      <c r="D127" s="808" t="s">
        <v>1753</v>
      </c>
      <c r="E127" s="808" t="s">
        <v>1753</v>
      </c>
      <c r="F127" s="808" t="s">
        <v>2010</v>
      </c>
      <c r="G127" s="808" t="s">
        <v>1990</v>
      </c>
      <c r="H127" s="808" t="s">
        <v>1991</v>
      </c>
      <c r="I127" s="808" t="s">
        <v>1992</v>
      </c>
      <c r="J127" s="810">
        <v>69600000</v>
      </c>
      <c r="K127" s="808" t="s">
        <v>1993</v>
      </c>
      <c r="L127" s="808" t="s">
        <v>1177</v>
      </c>
      <c r="M127" s="808" t="s">
        <v>1973</v>
      </c>
      <c r="N127" s="808" t="s">
        <v>1973</v>
      </c>
      <c r="O127" s="808" t="s">
        <v>2097</v>
      </c>
      <c r="P127" s="808" t="s">
        <v>2098</v>
      </c>
      <c r="Q127" s="808" t="s">
        <v>1996</v>
      </c>
    </row>
    <row r="128" spans="1:17" x14ac:dyDescent="0.25">
      <c r="A128" s="808" t="s">
        <v>1987</v>
      </c>
      <c r="B128" s="808" t="s">
        <v>2029</v>
      </c>
      <c r="C128" s="809">
        <v>69768000</v>
      </c>
      <c r="D128" s="808" t="s">
        <v>1753</v>
      </c>
      <c r="E128" s="808" t="s">
        <v>1753</v>
      </c>
      <c r="F128" s="808" t="s">
        <v>2010</v>
      </c>
      <c r="G128" s="808" t="s">
        <v>1990</v>
      </c>
      <c r="H128" s="808" t="s">
        <v>1991</v>
      </c>
      <c r="I128" s="808" t="s">
        <v>1992</v>
      </c>
      <c r="J128" s="810">
        <v>69768000</v>
      </c>
      <c r="K128" s="808" t="s">
        <v>1993</v>
      </c>
      <c r="L128" s="808" t="s">
        <v>1177</v>
      </c>
      <c r="M128" s="808" t="s">
        <v>1973</v>
      </c>
      <c r="N128" s="808" t="s">
        <v>1973</v>
      </c>
      <c r="O128" s="808" t="s">
        <v>2097</v>
      </c>
      <c r="P128" s="808" t="s">
        <v>2098</v>
      </c>
      <c r="Q128" s="808" t="s">
        <v>1996</v>
      </c>
    </row>
    <row r="129" spans="1:17" x14ac:dyDescent="0.25">
      <c r="A129" s="808" t="s">
        <v>1987</v>
      </c>
      <c r="B129" s="808" t="s">
        <v>2174</v>
      </c>
      <c r="C129" s="809">
        <v>48348000</v>
      </c>
      <c r="D129" s="808" t="s">
        <v>1753</v>
      </c>
      <c r="E129" s="808" t="s">
        <v>1753</v>
      </c>
      <c r="F129" s="808" t="s">
        <v>2010</v>
      </c>
      <c r="G129" s="808" t="s">
        <v>1990</v>
      </c>
      <c r="H129" s="808" t="s">
        <v>1991</v>
      </c>
      <c r="I129" s="808" t="s">
        <v>1992</v>
      </c>
      <c r="J129" s="810">
        <v>48348000</v>
      </c>
      <c r="K129" s="808" t="s">
        <v>1993</v>
      </c>
      <c r="L129" s="808" t="s">
        <v>1177</v>
      </c>
      <c r="M129" s="808" t="s">
        <v>1973</v>
      </c>
      <c r="N129" s="808" t="s">
        <v>1973</v>
      </c>
      <c r="O129" s="808" t="s">
        <v>2097</v>
      </c>
      <c r="P129" s="808" t="s">
        <v>2098</v>
      </c>
      <c r="Q129" s="808" t="s">
        <v>1996</v>
      </c>
    </row>
    <row r="130" spans="1:17" x14ac:dyDescent="0.25">
      <c r="A130" s="808" t="s">
        <v>1987</v>
      </c>
      <c r="B130" s="808" t="s">
        <v>2173</v>
      </c>
      <c r="C130" s="809">
        <v>69600000</v>
      </c>
      <c r="D130" s="808" t="s">
        <v>1749</v>
      </c>
      <c r="E130" s="808" t="s">
        <v>1749</v>
      </c>
      <c r="F130" s="808" t="s">
        <v>2010</v>
      </c>
      <c r="G130" s="808" t="s">
        <v>1990</v>
      </c>
      <c r="H130" s="808" t="s">
        <v>1991</v>
      </c>
      <c r="I130" s="808" t="s">
        <v>1992</v>
      </c>
      <c r="J130" s="810">
        <v>69600000</v>
      </c>
      <c r="K130" s="808" t="s">
        <v>1993</v>
      </c>
      <c r="L130" s="808" t="s">
        <v>1177</v>
      </c>
      <c r="M130" s="808" t="s">
        <v>1973</v>
      </c>
      <c r="N130" s="808" t="s">
        <v>1973</v>
      </c>
      <c r="O130" s="808" t="s">
        <v>2097</v>
      </c>
      <c r="P130" s="808" t="s">
        <v>2098</v>
      </c>
      <c r="Q130" s="808" t="s">
        <v>1996</v>
      </c>
    </row>
    <row r="131" spans="1:17" x14ac:dyDescent="0.25">
      <c r="A131" s="808" t="s">
        <v>1987</v>
      </c>
      <c r="B131" s="808" t="s">
        <v>2113</v>
      </c>
      <c r="C131" s="809">
        <v>58752000</v>
      </c>
      <c r="D131" s="808" t="s">
        <v>1749</v>
      </c>
      <c r="E131" s="808" t="s">
        <v>1749</v>
      </c>
      <c r="F131" s="808" t="s">
        <v>2010</v>
      </c>
      <c r="G131" s="808" t="s">
        <v>1990</v>
      </c>
      <c r="H131" s="808" t="s">
        <v>1991</v>
      </c>
      <c r="I131" s="808" t="s">
        <v>1992</v>
      </c>
      <c r="J131" s="810">
        <v>58752000</v>
      </c>
      <c r="K131" s="808" t="s">
        <v>1993</v>
      </c>
      <c r="L131" s="808" t="s">
        <v>1177</v>
      </c>
      <c r="M131" s="808" t="s">
        <v>1973</v>
      </c>
      <c r="N131" s="808" t="s">
        <v>1973</v>
      </c>
      <c r="O131" s="808" t="s">
        <v>2097</v>
      </c>
      <c r="P131" s="808" t="s">
        <v>2098</v>
      </c>
      <c r="Q131" s="808" t="s">
        <v>1996</v>
      </c>
    </row>
    <row r="132" spans="1:17" x14ac:dyDescent="0.25">
      <c r="A132" s="808" t="s">
        <v>1987</v>
      </c>
      <c r="B132" s="808" t="s">
        <v>2175</v>
      </c>
      <c r="C132" s="809">
        <v>29700000</v>
      </c>
      <c r="D132" s="808" t="s">
        <v>1753</v>
      </c>
      <c r="E132" s="808" t="s">
        <v>1753</v>
      </c>
      <c r="F132" s="808" t="s">
        <v>2004</v>
      </c>
      <c r="G132" s="808" t="s">
        <v>1990</v>
      </c>
      <c r="H132" s="808" t="s">
        <v>1991</v>
      </c>
      <c r="I132" s="808" t="s">
        <v>1992</v>
      </c>
      <c r="J132" s="810">
        <v>29700000</v>
      </c>
      <c r="K132" s="808" t="s">
        <v>1993</v>
      </c>
      <c r="L132" s="808" t="s">
        <v>1177</v>
      </c>
      <c r="M132" s="808" t="s">
        <v>1973</v>
      </c>
      <c r="N132" s="808" t="s">
        <v>1973</v>
      </c>
      <c r="O132" s="808" t="s">
        <v>2037</v>
      </c>
      <c r="P132" s="808" t="s">
        <v>1995</v>
      </c>
      <c r="Q132" s="808" t="s">
        <v>2038</v>
      </c>
    </row>
    <row r="133" spans="1:17" x14ac:dyDescent="0.25">
      <c r="A133" s="808" t="s">
        <v>1987</v>
      </c>
      <c r="B133" s="808" t="s">
        <v>2176</v>
      </c>
      <c r="C133" s="809">
        <v>68000000</v>
      </c>
      <c r="D133" s="808" t="s">
        <v>1743</v>
      </c>
      <c r="E133" s="808" t="s">
        <v>1743</v>
      </c>
      <c r="F133" s="808" t="s">
        <v>1989</v>
      </c>
      <c r="G133" s="808" t="s">
        <v>1990</v>
      </c>
      <c r="H133" s="808" t="s">
        <v>1991</v>
      </c>
      <c r="I133" s="808" t="s">
        <v>1992</v>
      </c>
      <c r="J133" s="810">
        <v>68000000</v>
      </c>
      <c r="K133" s="808" t="s">
        <v>1993</v>
      </c>
      <c r="L133" s="808" t="s">
        <v>1177</v>
      </c>
      <c r="M133" s="808" t="s">
        <v>1973</v>
      </c>
      <c r="N133" s="808" t="s">
        <v>1973</v>
      </c>
      <c r="O133" s="808" t="s">
        <v>2037</v>
      </c>
      <c r="P133" s="808" t="s">
        <v>1995</v>
      </c>
      <c r="Q133" s="808" t="s">
        <v>2038</v>
      </c>
    </row>
    <row r="134" spans="1:17" x14ac:dyDescent="0.25">
      <c r="A134" s="808" t="s">
        <v>1987</v>
      </c>
      <c r="B134" s="808" t="s">
        <v>2177</v>
      </c>
      <c r="C134" s="809">
        <v>68400000</v>
      </c>
      <c r="D134" s="808" t="s">
        <v>1743</v>
      </c>
      <c r="E134" s="808" t="s">
        <v>1743</v>
      </c>
      <c r="F134" s="808" t="s">
        <v>2106</v>
      </c>
      <c r="G134" s="808" t="s">
        <v>1990</v>
      </c>
      <c r="H134" s="808" t="s">
        <v>1991</v>
      </c>
      <c r="I134" s="808" t="s">
        <v>1992</v>
      </c>
      <c r="J134" s="810">
        <v>68400000</v>
      </c>
      <c r="K134" s="808" t="s">
        <v>1993</v>
      </c>
      <c r="L134" s="808" t="s">
        <v>1177</v>
      </c>
      <c r="M134" s="808" t="s">
        <v>1973</v>
      </c>
      <c r="N134" s="808" t="s">
        <v>1973</v>
      </c>
      <c r="O134" s="808" t="s">
        <v>2107</v>
      </c>
      <c r="P134" s="808" t="s">
        <v>1995</v>
      </c>
      <c r="Q134" s="808" t="s">
        <v>2043</v>
      </c>
    </row>
    <row r="135" spans="1:17" x14ac:dyDescent="0.25">
      <c r="A135" s="808" t="s">
        <v>1987</v>
      </c>
      <c r="B135" s="808" t="s">
        <v>2178</v>
      </c>
      <c r="C135" s="809">
        <v>44000000</v>
      </c>
      <c r="D135" s="808" t="s">
        <v>1749</v>
      </c>
      <c r="E135" s="808" t="s">
        <v>1749</v>
      </c>
      <c r="F135" s="808" t="s">
        <v>2027</v>
      </c>
      <c r="G135" s="808" t="s">
        <v>1990</v>
      </c>
      <c r="H135" s="808" t="s">
        <v>1991</v>
      </c>
      <c r="I135" s="808" t="s">
        <v>1992</v>
      </c>
      <c r="J135" s="810">
        <v>44000000</v>
      </c>
      <c r="K135" s="808" t="s">
        <v>1993</v>
      </c>
      <c r="L135" s="808" t="s">
        <v>1177</v>
      </c>
      <c r="M135" s="808" t="s">
        <v>1973</v>
      </c>
      <c r="N135" s="808" t="s">
        <v>1973</v>
      </c>
      <c r="O135" s="808" t="s">
        <v>2024</v>
      </c>
      <c r="P135" s="808" t="s">
        <v>1995</v>
      </c>
      <c r="Q135" s="808" t="s">
        <v>1996</v>
      </c>
    </row>
    <row r="136" spans="1:17" x14ac:dyDescent="0.25">
      <c r="A136" s="808" t="s">
        <v>1987</v>
      </c>
      <c r="B136" s="808" t="s">
        <v>2179</v>
      </c>
      <c r="C136" s="809">
        <v>33000000</v>
      </c>
      <c r="D136" s="808" t="s">
        <v>1749</v>
      </c>
      <c r="E136" s="808" t="s">
        <v>1749</v>
      </c>
      <c r="F136" s="808" t="s">
        <v>2027</v>
      </c>
      <c r="G136" s="808" t="s">
        <v>1990</v>
      </c>
      <c r="H136" s="808" t="s">
        <v>1991</v>
      </c>
      <c r="I136" s="808" t="s">
        <v>1992</v>
      </c>
      <c r="J136" s="810">
        <v>33000000</v>
      </c>
      <c r="K136" s="808" t="s">
        <v>1993</v>
      </c>
      <c r="L136" s="808" t="s">
        <v>1177</v>
      </c>
      <c r="M136" s="808" t="s">
        <v>1973</v>
      </c>
      <c r="N136" s="808" t="s">
        <v>1973</v>
      </c>
      <c r="O136" s="808" t="s">
        <v>2024</v>
      </c>
      <c r="P136" s="808" t="s">
        <v>1995</v>
      </c>
      <c r="Q136" s="808" t="s">
        <v>1996</v>
      </c>
    </row>
    <row r="137" spans="1:17" x14ac:dyDescent="0.25">
      <c r="A137" s="808" t="s">
        <v>1987</v>
      </c>
      <c r="B137" s="808" t="s">
        <v>2180</v>
      </c>
      <c r="C137" s="809">
        <v>42500000</v>
      </c>
      <c r="D137" s="808" t="s">
        <v>1749</v>
      </c>
      <c r="E137" s="808" t="s">
        <v>1749</v>
      </c>
      <c r="F137" s="808" t="s">
        <v>1989</v>
      </c>
      <c r="G137" s="808" t="s">
        <v>1990</v>
      </c>
      <c r="H137" s="808" t="s">
        <v>1991</v>
      </c>
      <c r="I137" s="808" t="s">
        <v>1992</v>
      </c>
      <c r="J137" s="810">
        <v>42500000</v>
      </c>
      <c r="K137" s="808" t="s">
        <v>1993</v>
      </c>
      <c r="L137" s="808" t="s">
        <v>1177</v>
      </c>
      <c r="M137" s="808" t="s">
        <v>1973</v>
      </c>
      <c r="N137" s="808" t="s">
        <v>1973</v>
      </c>
      <c r="O137" s="808" t="s">
        <v>2024</v>
      </c>
      <c r="P137" s="808" t="s">
        <v>1995</v>
      </c>
      <c r="Q137" s="808" t="s">
        <v>1996</v>
      </c>
    </row>
    <row r="138" spans="1:17" x14ac:dyDescent="0.25">
      <c r="A138" s="808" t="s">
        <v>1987</v>
      </c>
      <c r="B138" s="808" t="s">
        <v>2181</v>
      </c>
      <c r="C138" s="809">
        <v>42500000</v>
      </c>
      <c r="D138" s="808" t="s">
        <v>1749</v>
      </c>
      <c r="E138" s="808" t="s">
        <v>1749</v>
      </c>
      <c r="F138" s="808" t="s">
        <v>1989</v>
      </c>
      <c r="G138" s="808" t="s">
        <v>1990</v>
      </c>
      <c r="H138" s="808" t="s">
        <v>1991</v>
      </c>
      <c r="I138" s="808" t="s">
        <v>1992</v>
      </c>
      <c r="J138" s="810">
        <v>42500000</v>
      </c>
      <c r="K138" s="808" t="s">
        <v>1993</v>
      </c>
      <c r="L138" s="808" t="s">
        <v>1177</v>
      </c>
      <c r="M138" s="808" t="s">
        <v>1973</v>
      </c>
      <c r="N138" s="808" t="s">
        <v>1973</v>
      </c>
      <c r="O138" s="808" t="s">
        <v>2024</v>
      </c>
      <c r="P138" s="808" t="s">
        <v>1995</v>
      </c>
      <c r="Q138" s="808" t="s">
        <v>1996</v>
      </c>
    </row>
    <row r="139" spans="1:17" x14ac:dyDescent="0.25">
      <c r="A139" s="808" t="s">
        <v>1987</v>
      </c>
      <c r="B139" s="808" t="s">
        <v>2182</v>
      </c>
      <c r="C139" s="809">
        <v>54511560</v>
      </c>
      <c r="D139" s="808" t="s">
        <v>1753</v>
      </c>
      <c r="E139" s="808" t="s">
        <v>1753</v>
      </c>
      <c r="F139" s="808" t="s">
        <v>1989</v>
      </c>
      <c r="G139" s="808" t="s">
        <v>1990</v>
      </c>
      <c r="H139" s="808" t="s">
        <v>1991</v>
      </c>
      <c r="I139" s="808" t="s">
        <v>1992</v>
      </c>
      <c r="J139" s="810">
        <v>54511560</v>
      </c>
      <c r="K139" s="808" t="s">
        <v>1993</v>
      </c>
      <c r="L139" s="808" t="s">
        <v>1177</v>
      </c>
      <c r="M139" s="808" t="s">
        <v>1973</v>
      </c>
      <c r="N139" s="808" t="s">
        <v>1973</v>
      </c>
      <c r="O139" s="808" t="s">
        <v>2183</v>
      </c>
      <c r="P139" s="808" t="s">
        <v>1995</v>
      </c>
      <c r="Q139" s="808" t="s">
        <v>2048</v>
      </c>
    </row>
    <row r="140" spans="1:17" x14ac:dyDescent="0.25">
      <c r="A140" s="808" t="s">
        <v>1987</v>
      </c>
      <c r="B140" s="808" t="s">
        <v>2184</v>
      </c>
      <c r="C140" s="809">
        <v>34967856</v>
      </c>
      <c r="D140" s="808" t="s">
        <v>1866</v>
      </c>
      <c r="E140" s="808" t="s">
        <v>1866</v>
      </c>
      <c r="F140" s="808" t="s">
        <v>1989</v>
      </c>
      <c r="G140" s="808" t="s">
        <v>1990</v>
      </c>
      <c r="H140" s="808" t="s">
        <v>1991</v>
      </c>
      <c r="I140" s="808" t="s">
        <v>1992</v>
      </c>
      <c r="J140" s="810">
        <v>34967856</v>
      </c>
      <c r="K140" s="808" t="s">
        <v>1993</v>
      </c>
      <c r="L140" s="808" t="s">
        <v>1177</v>
      </c>
      <c r="M140" s="808" t="s">
        <v>1973</v>
      </c>
      <c r="N140" s="808" t="s">
        <v>1973</v>
      </c>
      <c r="O140" s="808" t="s">
        <v>2183</v>
      </c>
      <c r="P140" s="808" t="s">
        <v>1995</v>
      </c>
      <c r="Q140" s="808" t="s">
        <v>2048</v>
      </c>
    </row>
    <row r="141" spans="1:17" x14ac:dyDescent="0.25">
      <c r="A141" s="808" t="s">
        <v>2185</v>
      </c>
      <c r="B141" s="808" t="s">
        <v>2186</v>
      </c>
      <c r="C141" s="809">
        <v>50000000</v>
      </c>
      <c r="D141" s="808" t="s">
        <v>1866</v>
      </c>
      <c r="E141" s="808" t="s">
        <v>1866</v>
      </c>
      <c r="F141" s="808" t="s">
        <v>2065</v>
      </c>
      <c r="G141" s="808" t="s">
        <v>1990</v>
      </c>
      <c r="H141" s="808" t="s">
        <v>1905</v>
      </c>
      <c r="I141" s="808" t="s">
        <v>1992</v>
      </c>
      <c r="J141" s="810">
        <v>50000000</v>
      </c>
      <c r="K141" s="808" t="s">
        <v>1993</v>
      </c>
      <c r="L141" s="808" t="s">
        <v>1177</v>
      </c>
      <c r="M141" s="808" t="s">
        <v>1973</v>
      </c>
      <c r="N141" s="808" t="s">
        <v>1973</v>
      </c>
      <c r="O141" s="808" t="s">
        <v>2183</v>
      </c>
      <c r="P141" s="808" t="s">
        <v>1995</v>
      </c>
      <c r="Q141" s="808" t="s">
        <v>2048</v>
      </c>
    </row>
    <row r="142" spans="1:17" x14ac:dyDescent="0.25">
      <c r="A142" s="808" t="s">
        <v>2187</v>
      </c>
      <c r="B142" s="808" t="s">
        <v>2188</v>
      </c>
      <c r="C142" s="809">
        <v>53000000</v>
      </c>
      <c r="D142" s="808" t="s">
        <v>1758</v>
      </c>
      <c r="E142" s="808" t="s">
        <v>1758</v>
      </c>
      <c r="F142" s="808" t="s">
        <v>2010</v>
      </c>
      <c r="G142" s="808" t="s">
        <v>1990</v>
      </c>
      <c r="H142" s="808" t="s">
        <v>2001</v>
      </c>
      <c r="I142" s="808" t="s">
        <v>1992</v>
      </c>
      <c r="J142" s="810">
        <v>53000000</v>
      </c>
      <c r="K142" s="808" t="s">
        <v>1993</v>
      </c>
      <c r="L142" s="808" t="s">
        <v>1177</v>
      </c>
      <c r="M142" s="808" t="s">
        <v>1973</v>
      </c>
      <c r="N142" s="808" t="s">
        <v>1973</v>
      </c>
      <c r="O142" s="808" t="s">
        <v>2183</v>
      </c>
      <c r="P142" s="808" t="s">
        <v>1995</v>
      </c>
      <c r="Q142" s="808" t="s">
        <v>2048</v>
      </c>
    </row>
    <row r="143" spans="1:17" x14ac:dyDescent="0.25">
      <c r="A143" s="808" t="s">
        <v>2189</v>
      </c>
      <c r="B143" s="808" t="s">
        <v>2190</v>
      </c>
      <c r="C143" s="809">
        <v>309400000</v>
      </c>
      <c r="D143" s="808" t="s">
        <v>1753</v>
      </c>
      <c r="E143" s="808" t="s">
        <v>1753</v>
      </c>
      <c r="F143" s="808" t="s">
        <v>2027</v>
      </c>
      <c r="G143" s="808" t="s">
        <v>1990</v>
      </c>
      <c r="H143" s="808" t="s">
        <v>2001</v>
      </c>
      <c r="I143" s="808" t="s">
        <v>1992</v>
      </c>
      <c r="J143" s="810">
        <v>309400000</v>
      </c>
      <c r="K143" s="808" t="s">
        <v>1993</v>
      </c>
      <c r="L143" s="808" t="s">
        <v>1177</v>
      </c>
      <c r="M143" s="808" t="s">
        <v>1973</v>
      </c>
      <c r="N143" s="808" t="s">
        <v>1973</v>
      </c>
      <c r="O143" s="808" t="s">
        <v>2183</v>
      </c>
      <c r="P143" s="808" t="s">
        <v>1995</v>
      </c>
      <c r="Q143" s="808" t="s">
        <v>2048</v>
      </c>
    </row>
    <row r="144" spans="1:17" x14ac:dyDescent="0.25">
      <c r="A144" s="808" t="s">
        <v>2189</v>
      </c>
      <c r="B144" s="808" t="s">
        <v>2190</v>
      </c>
      <c r="C144" s="809">
        <v>445000000</v>
      </c>
      <c r="D144" s="808" t="s">
        <v>1753</v>
      </c>
      <c r="E144" s="808" t="s">
        <v>1753</v>
      </c>
      <c r="F144" s="808" t="s">
        <v>2027</v>
      </c>
      <c r="G144" s="808" t="s">
        <v>1990</v>
      </c>
      <c r="H144" s="808" t="s">
        <v>2001</v>
      </c>
      <c r="I144" s="808" t="s">
        <v>1992</v>
      </c>
      <c r="J144" s="810">
        <v>445000000</v>
      </c>
      <c r="K144" s="808" t="s">
        <v>1993</v>
      </c>
      <c r="L144" s="808" t="s">
        <v>1177</v>
      </c>
      <c r="M144" s="808" t="s">
        <v>1973</v>
      </c>
      <c r="N144" s="808" t="s">
        <v>1973</v>
      </c>
      <c r="O144" s="808" t="s">
        <v>2183</v>
      </c>
      <c r="P144" s="808" t="s">
        <v>1995</v>
      </c>
      <c r="Q144" s="808" t="s">
        <v>2048</v>
      </c>
    </row>
    <row r="145" spans="1:17" x14ac:dyDescent="0.25">
      <c r="A145" s="808" t="s">
        <v>2191</v>
      </c>
      <c r="B145" s="808" t="s">
        <v>2192</v>
      </c>
      <c r="C145" s="809">
        <v>19000000</v>
      </c>
      <c r="D145" s="808" t="s">
        <v>1750</v>
      </c>
      <c r="E145" s="808" t="s">
        <v>1750</v>
      </c>
      <c r="F145" s="808" t="s">
        <v>2000</v>
      </c>
      <c r="G145" s="808" t="s">
        <v>1990</v>
      </c>
      <c r="H145" s="808" t="s">
        <v>2001</v>
      </c>
      <c r="I145" s="808" t="s">
        <v>1992</v>
      </c>
      <c r="J145" s="810">
        <v>19000000</v>
      </c>
      <c r="K145" s="808" t="s">
        <v>1993</v>
      </c>
      <c r="L145" s="808" t="s">
        <v>1177</v>
      </c>
      <c r="M145" s="808" t="s">
        <v>1973</v>
      </c>
      <c r="N145" s="808" t="s">
        <v>1973</v>
      </c>
      <c r="O145" s="808" t="s">
        <v>2183</v>
      </c>
      <c r="P145" s="808" t="s">
        <v>1995</v>
      </c>
      <c r="Q145" s="808" t="s">
        <v>2048</v>
      </c>
    </row>
    <row r="146" spans="1:17" x14ac:dyDescent="0.25">
      <c r="A146" s="808" t="s">
        <v>1987</v>
      </c>
      <c r="B146" s="808" t="s">
        <v>2193</v>
      </c>
      <c r="C146" s="809">
        <v>44517774</v>
      </c>
      <c r="D146" s="808" t="s">
        <v>1749</v>
      </c>
      <c r="E146" s="808" t="s">
        <v>1749</v>
      </c>
      <c r="F146" s="808" t="s">
        <v>2023</v>
      </c>
      <c r="G146" s="808" t="s">
        <v>1990</v>
      </c>
      <c r="H146" s="808" t="s">
        <v>1991</v>
      </c>
      <c r="I146" s="808" t="s">
        <v>1992</v>
      </c>
      <c r="J146" s="810">
        <v>44517774</v>
      </c>
      <c r="K146" s="808" t="s">
        <v>1993</v>
      </c>
      <c r="L146" s="808" t="s">
        <v>1177</v>
      </c>
      <c r="M146" s="808" t="s">
        <v>1973</v>
      </c>
      <c r="N146" s="808" t="s">
        <v>1973</v>
      </c>
      <c r="O146" s="808" t="s">
        <v>2183</v>
      </c>
      <c r="P146" s="808" t="s">
        <v>1995</v>
      </c>
      <c r="Q146" s="808" t="s">
        <v>2048</v>
      </c>
    </row>
    <row r="147" spans="1:17" x14ac:dyDescent="0.25">
      <c r="A147" s="808" t="s">
        <v>1987</v>
      </c>
      <c r="B147" s="808" t="s">
        <v>2194</v>
      </c>
      <c r="C147" s="809">
        <v>31798410</v>
      </c>
      <c r="D147" s="808" t="s">
        <v>1749</v>
      </c>
      <c r="E147" s="808" t="s">
        <v>1749</v>
      </c>
      <c r="F147" s="808" t="s">
        <v>2023</v>
      </c>
      <c r="G147" s="808" t="s">
        <v>1990</v>
      </c>
      <c r="H147" s="808" t="s">
        <v>1991</v>
      </c>
      <c r="I147" s="808" t="s">
        <v>1992</v>
      </c>
      <c r="J147" s="810">
        <v>31798410</v>
      </c>
      <c r="K147" s="808" t="s">
        <v>1993</v>
      </c>
      <c r="L147" s="808" t="s">
        <v>1177</v>
      </c>
      <c r="M147" s="808" t="s">
        <v>1973</v>
      </c>
      <c r="N147" s="808" t="s">
        <v>1973</v>
      </c>
      <c r="O147" s="808" t="s">
        <v>2183</v>
      </c>
      <c r="P147" s="808" t="s">
        <v>1995</v>
      </c>
      <c r="Q147" s="808" t="s">
        <v>2048</v>
      </c>
    </row>
    <row r="148" spans="1:17" x14ac:dyDescent="0.25">
      <c r="A148" s="808" t="s">
        <v>1987</v>
      </c>
      <c r="B148" s="808" t="s">
        <v>2195</v>
      </c>
      <c r="C148" s="809">
        <v>85250000</v>
      </c>
      <c r="D148" s="808" t="s">
        <v>1743</v>
      </c>
      <c r="E148" s="808" t="s">
        <v>1743</v>
      </c>
      <c r="F148" s="808" t="s">
        <v>2027</v>
      </c>
      <c r="G148" s="808" t="s">
        <v>1990</v>
      </c>
      <c r="H148" s="808" t="s">
        <v>1991</v>
      </c>
      <c r="I148" s="808" t="s">
        <v>1992</v>
      </c>
      <c r="J148" s="810">
        <v>85250000</v>
      </c>
      <c r="K148" s="808" t="s">
        <v>1993</v>
      </c>
      <c r="L148" s="808" t="s">
        <v>1177</v>
      </c>
      <c r="M148" s="808" t="s">
        <v>1973</v>
      </c>
      <c r="N148" s="808" t="s">
        <v>1973</v>
      </c>
      <c r="O148" s="808" t="s">
        <v>2019</v>
      </c>
      <c r="P148" s="808" t="s">
        <v>1995</v>
      </c>
      <c r="Q148" s="808" t="s">
        <v>2020</v>
      </c>
    </row>
    <row r="149" spans="1:17" x14ac:dyDescent="0.25">
      <c r="A149" s="808" t="s">
        <v>1987</v>
      </c>
      <c r="B149" s="808" t="s">
        <v>2196</v>
      </c>
      <c r="C149" s="809">
        <v>100000000</v>
      </c>
      <c r="D149" s="808" t="s">
        <v>1753</v>
      </c>
      <c r="E149" s="808" t="s">
        <v>1753</v>
      </c>
      <c r="F149" s="808" t="s">
        <v>2023</v>
      </c>
      <c r="G149" s="808" t="s">
        <v>1990</v>
      </c>
      <c r="H149" s="808" t="s">
        <v>1991</v>
      </c>
      <c r="I149" s="808" t="s">
        <v>1992</v>
      </c>
      <c r="J149" s="810">
        <v>100000000</v>
      </c>
      <c r="K149" s="808" t="s">
        <v>1993</v>
      </c>
      <c r="L149" s="808" t="s">
        <v>1177</v>
      </c>
      <c r="M149" s="808" t="s">
        <v>1973</v>
      </c>
      <c r="N149" s="808" t="s">
        <v>1973</v>
      </c>
      <c r="O149" s="808" t="s">
        <v>2019</v>
      </c>
      <c r="P149" s="808" t="s">
        <v>1995</v>
      </c>
      <c r="Q149" s="808" t="s">
        <v>2020</v>
      </c>
    </row>
    <row r="150" spans="1:17" x14ac:dyDescent="0.25">
      <c r="A150" s="808" t="s">
        <v>1987</v>
      </c>
      <c r="B150" s="808" t="s">
        <v>2197</v>
      </c>
      <c r="C150" s="809">
        <v>75000000</v>
      </c>
      <c r="D150" s="808" t="s">
        <v>1753</v>
      </c>
      <c r="E150" s="808" t="s">
        <v>1753</v>
      </c>
      <c r="F150" s="808" t="s">
        <v>2023</v>
      </c>
      <c r="G150" s="808" t="s">
        <v>1990</v>
      </c>
      <c r="H150" s="808" t="s">
        <v>1991</v>
      </c>
      <c r="I150" s="808" t="s">
        <v>1992</v>
      </c>
      <c r="J150" s="810">
        <v>75000000</v>
      </c>
      <c r="K150" s="808" t="s">
        <v>1993</v>
      </c>
      <c r="L150" s="808" t="s">
        <v>1177</v>
      </c>
      <c r="M150" s="808" t="s">
        <v>1973</v>
      </c>
      <c r="N150" s="808" t="s">
        <v>1973</v>
      </c>
      <c r="O150" s="808" t="s">
        <v>2019</v>
      </c>
      <c r="P150" s="808" t="s">
        <v>1995</v>
      </c>
      <c r="Q150" s="808" t="s">
        <v>2020</v>
      </c>
    </row>
    <row r="151" spans="1:17" x14ac:dyDescent="0.25">
      <c r="A151" s="808" t="s">
        <v>1987</v>
      </c>
      <c r="B151" s="808" t="s">
        <v>2198</v>
      </c>
      <c r="C151" s="809">
        <v>17854947</v>
      </c>
      <c r="D151" s="808" t="s">
        <v>1743</v>
      </c>
      <c r="E151" s="808" t="s">
        <v>1743</v>
      </c>
      <c r="F151" s="808" t="s">
        <v>2000</v>
      </c>
      <c r="G151" s="808" t="s">
        <v>1990</v>
      </c>
      <c r="H151" s="808" t="s">
        <v>1991</v>
      </c>
      <c r="I151" s="808" t="s">
        <v>1992</v>
      </c>
      <c r="J151" s="810">
        <v>17854947</v>
      </c>
      <c r="K151" s="808" t="s">
        <v>1993</v>
      </c>
      <c r="L151" s="808" t="s">
        <v>1177</v>
      </c>
      <c r="M151" s="808" t="s">
        <v>1973</v>
      </c>
      <c r="N151" s="808" t="s">
        <v>1973</v>
      </c>
      <c r="O151" s="808" t="s">
        <v>2005</v>
      </c>
      <c r="P151" s="808" t="s">
        <v>1995</v>
      </c>
      <c r="Q151" s="808" t="s">
        <v>2006</v>
      </c>
    </row>
    <row r="152" spans="1:17" x14ac:dyDescent="0.25">
      <c r="A152" s="808" t="s">
        <v>1987</v>
      </c>
      <c r="B152" s="808" t="s">
        <v>2199</v>
      </c>
      <c r="C152" s="809">
        <v>39270000</v>
      </c>
      <c r="D152" s="808" t="s">
        <v>1743</v>
      </c>
      <c r="E152" s="808" t="s">
        <v>1743</v>
      </c>
      <c r="F152" s="808" t="s">
        <v>2027</v>
      </c>
      <c r="G152" s="808" t="s">
        <v>1990</v>
      </c>
      <c r="H152" s="808" t="s">
        <v>1991</v>
      </c>
      <c r="I152" s="808" t="s">
        <v>1992</v>
      </c>
      <c r="J152" s="810">
        <v>39270000</v>
      </c>
      <c r="K152" s="808" t="s">
        <v>1993</v>
      </c>
      <c r="L152" s="808" t="s">
        <v>1177</v>
      </c>
      <c r="M152" s="808" t="s">
        <v>1973</v>
      </c>
      <c r="N152" s="808" t="s">
        <v>1973</v>
      </c>
      <c r="O152" s="808" t="s">
        <v>2005</v>
      </c>
      <c r="P152" s="808" t="s">
        <v>1995</v>
      </c>
      <c r="Q152" s="808" t="s">
        <v>2006</v>
      </c>
    </row>
    <row r="153" spans="1:17" x14ac:dyDescent="0.25">
      <c r="A153" s="808" t="s">
        <v>1987</v>
      </c>
      <c r="B153" s="808" t="s">
        <v>2200</v>
      </c>
      <c r="C153" s="809">
        <v>78234000</v>
      </c>
      <c r="D153" s="808" t="s">
        <v>1743</v>
      </c>
      <c r="E153" s="808" t="s">
        <v>1743</v>
      </c>
      <c r="F153" s="808" t="s">
        <v>2010</v>
      </c>
      <c r="G153" s="808" t="s">
        <v>1990</v>
      </c>
      <c r="H153" s="808" t="s">
        <v>1991</v>
      </c>
      <c r="I153" s="808" t="s">
        <v>1992</v>
      </c>
      <c r="J153" s="810">
        <v>78234000</v>
      </c>
      <c r="K153" s="808" t="s">
        <v>1993</v>
      </c>
      <c r="L153" s="808" t="s">
        <v>1177</v>
      </c>
      <c r="M153" s="808" t="s">
        <v>1973</v>
      </c>
      <c r="N153" s="808" t="s">
        <v>1973</v>
      </c>
      <c r="O153" s="808" t="s">
        <v>2005</v>
      </c>
      <c r="P153" s="808" t="s">
        <v>1995</v>
      </c>
      <c r="Q153" s="808" t="s">
        <v>2006</v>
      </c>
    </row>
    <row r="154" spans="1:17" x14ac:dyDescent="0.25">
      <c r="A154" s="808" t="s">
        <v>1987</v>
      </c>
      <c r="B154" s="808" t="s">
        <v>2201</v>
      </c>
      <c r="C154" s="809">
        <v>34904400</v>
      </c>
      <c r="D154" s="808" t="s">
        <v>1743</v>
      </c>
      <c r="E154" s="808" t="s">
        <v>1743</v>
      </c>
      <c r="F154" s="808" t="s">
        <v>2010</v>
      </c>
      <c r="G154" s="808" t="s">
        <v>1990</v>
      </c>
      <c r="H154" s="808" t="s">
        <v>1991</v>
      </c>
      <c r="I154" s="808" t="s">
        <v>1992</v>
      </c>
      <c r="J154" s="810">
        <v>34904400</v>
      </c>
      <c r="K154" s="808" t="s">
        <v>1993</v>
      </c>
      <c r="L154" s="808" t="s">
        <v>1177</v>
      </c>
      <c r="M154" s="808" t="s">
        <v>1973</v>
      </c>
      <c r="N154" s="808" t="s">
        <v>1973</v>
      </c>
      <c r="O154" s="808" t="s">
        <v>2005</v>
      </c>
      <c r="P154" s="808" t="s">
        <v>1995</v>
      </c>
      <c r="Q154" s="808" t="s">
        <v>2006</v>
      </c>
    </row>
    <row r="155" spans="1:17" x14ac:dyDescent="0.25">
      <c r="A155" s="808" t="s">
        <v>1987</v>
      </c>
      <c r="B155" s="808" t="s">
        <v>2202</v>
      </c>
      <c r="C155" s="809">
        <v>32538000</v>
      </c>
      <c r="D155" s="808" t="s">
        <v>1866</v>
      </c>
      <c r="E155" s="808" t="s">
        <v>1866</v>
      </c>
      <c r="F155" s="808" t="s">
        <v>2004</v>
      </c>
      <c r="G155" s="808" t="s">
        <v>1990</v>
      </c>
      <c r="H155" s="808" t="s">
        <v>1991</v>
      </c>
      <c r="I155" s="808" t="s">
        <v>1992</v>
      </c>
      <c r="J155" s="810">
        <v>32538000</v>
      </c>
      <c r="K155" s="808" t="s">
        <v>1993</v>
      </c>
      <c r="L155" s="808" t="s">
        <v>1177</v>
      </c>
      <c r="M155" s="808" t="s">
        <v>1973</v>
      </c>
      <c r="N155" s="808" t="s">
        <v>1973</v>
      </c>
      <c r="O155" s="808" t="s">
        <v>2005</v>
      </c>
      <c r="P155" s="808" t="s">
        <v>1995</v>
      </c>
      <c r="Q155" s="808" t="s">
        <v>2006</v>
      </c>
    </row>
    <row r="156" spans="1:17" x14ac:dyDescent="0.25">
      <c r="A156" s="808" t="s">
        <v>1987</v>
      </c>
      <c r="B156" s="808" t="s">
        <v>2203</v>
      </c>
      <c r="C156" s="809">
        <v>46512000</v>
      </c>
      <c r="D156" s="808" t="s">
        <v>1866</v>
      </c>
      <c r="E156" s="808" t="s">
        <v>1866</v>
      </c>
      <c r="F156" s="808" t="s">
        <v>2004</v>
      </c>
      <c r="G156" s="808" t="s">
        <v>1990</v>
      </c>
      <c r="H156" s="808" t="s">
        <v>1991</v>
      </c>
      <c r="I156" s="808" t="s">
        <v>1992</v>
      </c>
      <c r="J156" s="810">
        <v>46512000</v>
      </c>
      <c r="K156" s="808" t="s">
        <v>1993</v>
      </c>
      <c r="L156" s="808" t="s">
        <v>1177</v>
      </c>
      <c r="M156" s="808" t="s">
        <v>1973</v>
      </c>
      <c r="N156" s="808" t="s">
        <v>1973</v>
      </c>
      <c r="O156" s="808" t="s">
        <v>2005</v>
      </c>
      <c r="P156" s="808" t="s">
        <v>1995</v>
      </c>
      <c r="Q156" s="808" t="s">
        <v>2006</v>
      </c>
    </row>
    <row r="157" spans="1:17" x14ac:dyDescent="0.25">
      <c r="A157" s="808" t="s">
        <v>1987</v>
      </c>
      <c r="B157" s="808" t="s">
        <v>2204</v>
      </c>
      <c r="C157" s="809">
        <v>38275500</v>
      </c>
      <c r="D157" s="808" t="s">
        <v>1749</v>
      </c>
      <c r="E157" s="808" t="s">
        <v>1749</v>
      </c>
      <c r="F157" s="808" t="s">
        <v>2004</v>
      </c>
      <c r="G157" s="808" t="s">
        <v>1990</v>
      </c>
      <c r="H157" s="808" t="s">
        <v>1991</v>
      </c>
      <c r="I157" s="808" t="s">
        <v>1992</v>
      </c>
      <c r="J157" s="810">
        <v>38275500</v>
      </c>
      <c r="K157" s="808" t="s">
        <v>1993</v>
      </c>
      <c r="L157" s="808" t="s">
        <v>1177</v>
      </c>
      <c r="M157" s="808" t="s">
        <v>1973</v>
      </c>
      <c r="N157" s="808" t="s">
        <v>1973</v>
      </c>
      <c r="O157" s="808" t="s">
        <v>2005</v>
      </c>
      <c r="P157" s="808" t="s">
        <v>1995</v>
      </c>
      <c r="Q157" s="808" t="s">
        <v>2006</v>
      </c>
    </row>
    <row r="158" spans="1:17" x14ac:dyDescent="0.25">
      <c r="A158" s="808" t="s">
        <v>1987</v>
      </c>
      <c r="B158" s="808" t="s">
        <v>2205</v>
      </c>
      <c r="C158" s="809">
        <v>24174695</v>
      </c>
      <c r="D158" s="808" t="s">
        <v>1749</v>
      </c>
      <c r="E158" s="808" t="s">
        <v>1749</v>
      </c>
      <c r="F158" s="808" t="s">
        <v>2004</v>
      </c>
      <c r="G158" s="808" t="s">
        <v>1990</v>
      </c>
      <c r="H158" s="808" t="s">
        <v>1991</v>
      </c>
      <c r="I158" s="808" t="s">
        <v>1992</v>
      </c>
      <c r="J158" s="810">
        <v>24174695</v>
      </c>
      <c r="K158" s="808" t="s">
        <v>1993</v>
      </c>
      <c r="L158" s="808" t="s">
        <v>1177</v>
      </c>
      <c r="M158" s="808" t="s">
        <v>1973</v>
      </c>
      <c r="N158" s="808" t="s">
        <v>1973</v>
      </c>
      <c r="O158" s="808" t="s">
        <v>2005</v>
      </c>
      <c r="P158" s="808" t="s">
        <v>1995</v>
      </c>
      <c r="Q158" s="808" t="s">
        <v>2006</v>
      </c>
    </row>
    <row r="159" spans="1:17" x14ac:dyDescent="0.25">
      <c r="A159" s="808" t="s">
        <v>1987</v>
      </c>
      <c r="B159" s="808" t="s">
        <v>2206</v>
      </c>
      <c r="C159" s="809">
        <v>24174695</v>
      </c>
      <c r="D159" s="808" t="s">
        <v>1749</v>
      </c>
      <c r="E159" s="808" t="s">
        <v>1749</v>
      </c>
      <c r="F159" s="808" t="s">
        <v>2004</v>
      </c>
      <c r="G159" s="808" t="s">
        <v>1990</v>
      </c>
      <c r="H159" s="808" t="s">
        <v>1991</v>
      </c>
      <c r="I159" s="808" t="s">
        <v>1992</v>
      </c>
      <c r="J159" s="810">
        <v>24174695</v>
      </c>
      <c r="K159" s="808" t="s">
        <v>1993</v>
      </c>
      <c r="L159" s="808" t="s">
        <v>1177</v>
      </c>
      <c r="M159" s="808" t="s">
        <v>1973</v>
      </c>
      <c r="N159" s="808" t="s">
        <v>1973</v>
      </c>
      <c r="O159" s="808" t="s">
        <v>2005</v>
      </c>
      <c r="P159" s="808" t="s">
        <v>1995</v>
      </c>
      <c r="Q159" s="808" t="s">
        <v>2006</v>
      </c>
    </row>
    <row r="160" spans="1:17" x14ac:dyDescent="0.25">
      <c r="A160" s="808" t="s">
        <v>1987</v>
      </c>
      <c r="B160" s="808" t="s">
        <v>2207</v>
      </c>
      <c r="C160" s="809">
        <v>34850000</v>
      </c>
      <c r="D160" s="808" t="s">
        <v>1866</v>
      </c>
      <c r="E160" s="808" t="s">
        <v>1866</v>
      </c>
      <c r="F160" s="808" t="s">
        <v>2004</v>
      </c>
      <c r="G160" s="808" t="s">
        <v>1990</v>
      </c>
      <c r="H160" s="808" t="s">
        <v>1991</v>
      </c>
      <c r="I160" s="808" t="s">
        <v>1992</v>
      </c>
      <c r="J160" s="810">
        <v>34850000</v>
      </c>
      <c r="K160" s="808" t="s">
        <v>1993</v>
      </c>
      <c r="L160" s="808" t="s">
        <v>1177</v>
      </c>
      <c r="M160" s="808" t="s">
        <v>1973</v>
      </c>
      <c r="N160" s="808" t="s">
        <v>1973</v>
      </c>
      <c r="O160" s="808" t="s">
        <v>2005</v>
      </c>
      <c r="P160" s="808" t="s">
        <v>1995</v>
      </c>
      <c r="Q160" s="808" t="s">
        <v>2006</v>
      </c>
    </row>
    <row r="161" spans="1:17" x14ac:dyDescent="0.25">
      <c r="A161" s="808" t="s">
        <v>1987</v>
      </c>
      <c r="B161" s="808" t="s">
        <v>2208</v>
      </c>
      <c r="C161" s="809">
        <v>34850000</v>
      </c>
      <c r="D161" s="808" t="s">
        <v>1866</v>
      </c>
      <c r="E161" s="808" t="s">
        <v>1866</v>
      </c>
      <c r="F161" s="808" t="s">
        <v>2004</v>
      </c>
      <c r="G161" s="808" t="s">
        <v>1990</v>
      </c>
      <c r="H161" s="808" t="s">
        <v>1991</v>
      </c>
      <c r="I161" s="808" t="s">
        <v>1992</v>
      </c>
      <c r="J161" s="810">
        <v>34850000</v>
      </c>
      <c r="K161" s="808" t="s">
        <v>1993</v>
      </c>
      <c r="L161" s="808" t="s">
        <v>1177</v>
      </c>
      <c r="M161" s="808" t="s">
        <v>1973</v>
      </c>
      <c r="N161" s="808" t="s">
        <v>1973</v>
      </c>
      <c r="O161" s="808" t="s">
        <v>2005</v>
      </c>
      <c r="P161" s="808" t="s">
        <v>1995</v>
      </c>
      <c r="Q161" s="808" t="s">
        <v>2006</v>
      </c>
    </row>
    <row r="162" spans="1:17" x14ac:dyDescent="0.25">
      <c r="A162" s="808" t="s">
        <v>1987</v>
      </c>
      <c r="B162" s="808" t="s">
        <v>2209</v>
      </c>
      <c r="C162" s="809">
        <v>32300000</v>
      </c>
      <c r="D162" s="808" t="s">
        <v>1866</v>
      </c>
      <c r="E162" s="808" t="s">
        <v>1866</v>
      </c>
      <c r="F162" s="808" t="s">
        <v>2004</v>
      </c>
      <c r="G162" s="808" t="s">
        <v>1990</v>
      </c>
      <c r="H162" s="808" t="s">
        <v>1991</v>
      </c>
      <c r="I162" s="808" t="s">
        <v>1992</v>
      </c>
      <c r="J162" s="810">
        <v>32300000</v>
      </c>
      <c r="K162" s="808" t="s">
        <v>1993</v>
      </c>
      <c r="L162" s="808" t="s">
        <v>1177</v>
      </c>
      <c r="M162" s="808" t="s">
        <v>1973</v>
      </c>
      <c r="N162" s="808" t="s">
        <v>1973</v>
      </c>
      <c r="O162" s="808" t="s">
        <v>2005</v>
      </c>
      <c r="P162" s="808" t="s">
        <v>1995</v>
      </c>
      <c r="Q162" s="808" t="s">
        <v>2006</v>
      </c>
    </row>
    <row r="163" spans="1:17" x14ac:dyDescent="0.25">
      <c r="A163" s="808" t="s">
        <v>1987</v>
      </c>
      <c r="B163" s="808" t="s">
        <v>2210</v>
      </c>
      <c r="C163" s="809">
        <v>32300000</v>
      </c>
      <c r="D163" s="808" t="s">
        <v>1866</v>
      </c>
      <c r="E163" s="808" t="s">
        <v>1866</v>
      </c>
      <c r="F163" s="808" t="s">
        <v>2004</v>
      </c>
      <c r="G163" s="808" t="s">
        <v>1990</v>
      </c>
      <c r="H163" s="808" t="s">
        <v>1991</v>
      </c>
      <c r="I163" s="808" t="s">
        <v>1992</v>
      </c>
      <c r="J163" s="810">
        <v>32300000</v>
      </c>
      <c r="K163" s="808" t="s">
        <v>1993</v>
      </c>
      <c r="L163" s="808" t="s">
        <v>1177</v>
      </c>
      <c r="M163" s="808" t="s">
        <v>1973</v>
      </c>
      <c r="N163" s="808" t="s">
        <v>1973</v>
      </c>
      <c r="O163" s="808" t="s">
        <v>2005</v>
      </c>
      <c r="P163" s="808" t="s">
        <v>1995</v>
      </c>
      <c r="Q163" s="808" t="s">
        <v>2006</v>
      </c>
    </row>
    <row r="164" spans="1:17" x14ac:dyDescent="0.25">
      <c r="A164" s="808" t="s">
        <v>1987</v>
      </c>
      <c r="B164" s="808" t="s">
        <v>2211</v>
      </c>
      <c r="C164" s="809">
        <v>32300000</v>
      </c>
      <c r="D164" s="808" t="s">
        <v>1866</v>
      </c>
      <c r="E164" s="808" t="s">
        <v>1866</v>
      </c>
      <c r="F164" s="808" t="s">
        <v>2004</v>
      </c>
      <c r="G164" s="808" t="s">
        <v>1990</v>
      </c>
      <c r="H164" s="808" t="s">
        <v>1991</v>
      </c>
      <c r="I164" s="808" t="s">
        <v>1992</v>
      </c>
      <c r="J164" s="810">
        <v>32300000</v>
      </c>
      <c r="K164" s="808" t="s">
        <v>1993</v>
      </c>
      <c r="L164" s="808" t="s">
        <v>1177</v>
      </c>
      <c r="M164" s="808" t="s">
        <v>1973</v>
      </c>
      <c r="N164" s="808" t="s">
        <v>1973</v>
      </c>
      <c r="O164" s="808" t="s">
        <v>2005</v>
      </c>
      <c r="P164" s="808" t="s">
        <v>1995</v>
      </c>
      <c r="Q164" s="808" t="s">
        <v>2006</v>
      </c>
    </row>
    <row r="165" spans="1:17" x14ac:dyDescent="0.25">
      <c r="A165" s="808" t="s">
        <v>1987</v>
      </c>
      <c r="B165" s="808" t="s">
        <v>2212</v>
      </c>
      <c r="C165" s="809">
        <v>34850000</v>
      </c>
      <c r="D165" s="808" t="s">
        <v>1866</v>
      </c>
      <c r="E165" s="808" t="s">
        <v>1866</v>
      </c>
      <c r="F165" s="808" t="s">
        <v>2004</v>
      </c>
      <c r="G165" s="808" t="s">
        <v>1990</v>
      </c>
      <c r="H165" s="808" t="s">
        <v>1991</v>
      </c>
      <c r="I165" s="808" t="s">
        <v>1992</v>
      </c>
      <c r="J165" s="810">
        <v>34850000</v>
      </c>
      <c r="K165" s="808" t="s">
        <v>1993</v>
      </c>
      <c r="L165" s="808" t="s">
        <v>1177</v>
      </c>
      <c r="M165" s="808" t="s">
        <v>1973</v>
      </c>
      <c r="N165" s="808" t="s">
        <v>1973</v>
      </c>
      <c r="O165" s="808" t="s">
        <v>2005</v>
      </c>
      <c r="P165" s="808" t="s">
        <v>1995</v>
      </c>
      <c r="Q165" s="808" t="s">
        <v>2006</v>
      </c>
    </row>
    <row r="166" spans="1:17" x14ac:dyDescent="0.25">
      <c r="A166" s="808" t="s">
        <v>2213</v>
      </c>
      <c r="B166" s="808" t="s">
        <v>2214</v>
      </c>
      <c r="C166" s="809">
        <v>583329000</v>
      </c>
      <c r="D166" s="808" t="s">
        <v>1757</v>
      </c>
      <c r="E166" s="808" t="s">
        <v>1757</v>
      </c>
      <c r="F166" s="808" t="s">
        <v>2000</v>
      </c>
      <c r="G166" s="808" t="s">
        <v>1990</v>
      </c>
      <c r="H166" s="808" t="s">
        <v>1991</v>
      </c>
      <c r="I166" s="808" t="s">
        <v>1992</v>
      </c>
      <c r="J166" s="810">
        <v>583329000</v>
      </c>
      <c r="K166" s="808" t="s">
        <v>1993</v>
      </c>
      <c r="L166" s="808" t="s">
        <v>1177</v>
      </c>
      <c r="M166" s="808" t="s">
        <v>1973</v>
      </c>
      <c r="N166" s="808" t="s">
        <v>1973</v>
      </c>
      <c r="O166" s="808" t="s">
        <v>2107</v>
      </c>
      <c r="P166" s="808" t="s">
        <v>1995</v>
      </c>
      <c r="Q166" s="808" t="s">
        <v>2043</v>
      </c>
    </row>
    <row r="167" spans="1:17" x14ac:dyDescent="0.25">
      <c r="A167" s="808" t="s">
        <v>1987</v>
      </c>
      <c r="B167" s="808" t="s">
        <v>2215</v>
      </c>
      <c r="C167" s="809">
        <v>59500000</v>
      </c>
      <c r="D167" s="808" t="s">
        <v>1757</v>
      </c>
      <c r="E167" s="808" t="s">
        <v>1757</v>
      </c>
      <c r="F167" s="808" t="s">
        <v>2036</v>
      </c>
      <c r="G167" s="808" t="s">
        <v>1990</v>
      </c>
      <c r="H167" s="808" t="s">
        <v>1991</v>
      </c>
      <c r="I167" s="808" t="s">
        <v>1992</v>
      </c>
      <c r="J167" s="810">
        <v>59500000</v>
      </c>
      <c r="K167" s="808" t="s">
        <v>1993</v>
      </c>
      <c r="L167" s="808" t="s">
        <v>1177</v>
      </c>
      <c r="M167" s="808" t="s">
        <v>1973</v>
      </c>
      <c r="N167" s="808" t="s">
        <v>1973</v>
      </c>
      <c r="O167" s="808" t="s">
        <v>2019</v>
      </c>
      <c r="P167" s="808" t="s">
        <v>1995</v>
      </c>
      <c r="Q167" s="808" t="s">
        <v>2020</v>
      </c>
    </row>
    <row r="168" spans="1:17" x14ac:dyDescent="0.25">
      <c r="A168" s="808" t="s">
        <v>1987</v>
      </c>
      <c r="B168" s="808" t="s">
        <v>2216</v>
      </c>
      <c r="C168" s="809">
        <v>69750000</v>
      </c>
      <c r="D168" s="808" t="s">
        <v>1749</v>
      </c>
      <c r="E168" s="808" t="s">
        <v>1749</v>
      </c>
      <c r="F168" s="808" t="s">
        <v>2004</v>
      </c>
      <c r="G168" s="808" t="s">
        <v>1990</v>
      </c>
      <c r="H168" s="808" t="s">
        <v>1991</v>
      </c>
      <c r="I168" s="808" t="s">
        <v>1992</v>
      </c>
      <c r="J168" s="810">
        <v>69750000</v>
      </c>
      <c r="K168" s="808" t="s">
        <v>1993</v>
      </c>
      <c r="L168" s="808" t="s">
        <v>1177</v>
      </c>
      <c r="M168" s="808" t="s">
        <v>1973</v>
      </c>
      <c r="N168" s="808" t="s">
        <v>1973</v>
      </c>
      <c r="O168" s="808" t="s">
        <v>2019</v>
      </c>
      <c r="P168" s="808" t="s">
        <v>1995</v>
      </c>
      <c r="Q168" s="808" t="s">
        <v>2020</v>
      </c>
    </row>
    <row r="169" spans="1:17" x14ac:dyDescent="0.25">
      <c r="A169" s="808" t="s">
        <v>1987</v>
      </c>
      <c r="B169" s="808" t="s">
        <v>2217</v>
      </c>
      <c r="C169" s="809">
        <v>69750000</v>
      </c>
      <c r="D169" s="808" t="s">
        <v>1749</v>
      </c>
      <c r="E169" s="808" t="s">
        <v>1749</v>
      </c>
      <c r="F169" s="808" t="s">
        <v>2004</v>
      </c>
      <c r="G169" s="808" t="s">
        <v>1990</v>
      </c>
      <c r="H169" s="808" t="s">
        <v>1991</v>
      </c>
      <c r="I169" s="808" t="s">
        <v>1992</v>
      </c>
      <c r="J169" s="810">
        <v>69750000</v>
      </c>
      <c r="K169" s="808" t="s">
        <v>1993</v>
      </c>
      <c r="L169" s="808" t="s">
        <v>1177</v>
      </c>
      <c r="M169" s="808" t="s">
        <v>1973</v>
      </c>
      <c r="N169" s="808" t="s">
        <v>1973</v>
      </c>
      <c r="O169" s="808" t="s">
        <v>2019</v>
      </c>
      <c r="P169" s="808" t="s">
        <v>1995</v>
      </c>
      <c r="Q169" s="808" t="s">
        <v>2020</v>
      </c>
    </row>
    <row r="170" spans="1:17" x14ac:dyDescent="0.25">
      <c r="A170" s="808" t="s">
        <v>1987</v>
      </c>
      <c r="B170" s="808" t="s">
        <v>2218</v>
      </c>
      <c r="C170" s="809">
        <v>69750000</v>
      </c>
      <c r="D170" s="808" t="s">
        <v>1749</v>
      </c>
      <c r="E170" s="808" t="s">
        <v>1749</v>
      </c>
      <c r="F170" s="808" t="s">
        <v>2004</v>
      </c>
      <c r="G170" s="808" t="s">
        <v>1990</v>
      </c>
      <c r="H170" s="808" t="s">
        <v>1991</v>
      </c>
      <c r="I170" s="808" t="s">
        <v>1992</v>
      </c>
      <c r="J170" s="810">
        <v>69750000</v>
      </c>
      <c r="K170" s="808" t="s">
        <v>1993</v>
      </c>
      <c r="L170" s="808" t="s">
        <v>1177</v>
      </c>
      <c r="M170" s="808" t="s">
        <v>1973</v>
      </c>
      <c r="N170" s="808" t="s">
        <v>1973</v>
      </c>
      <c r="O170" s="808" t="s">
        <v>2019</v>
      </c>
      <c r="P170" s="808" t="s">
        <v>1995</v>
      </c>
      <c r="Q170" s="808" t="s">
        <v>2020</v>
      </c>
    </row>
    <row r="171" spans="1:17" x14ac:dyDescent="0.25">
      <c r="A171" s="808" t="s">
        <v>1987</v>
      </c>
      <c r="B171" s="808" t="s">
        <v>2219</v>
      </c>
      <c r="C171" s="809">
        <v>69750000</v>
      </c>
      <c r="D171" s="808" t="s">
        <v>1749</v>
      </c>
      <c r="E171" s="808" t="s">
        <v>1749</v>
      </c>
      <c r="F171" s="808" t="s">
        <v>2004</v>
      </c>
      <c r="G171" s="808" t="s">
        <v>1990</v>
      </c>
      <c r="H171" s="808" t="s">
        <v>1991</v>
      </c>
      <c r="I171" s="808" t="s">
        <v>1992</v>
      </c>
      <c r="J171" s="810">
        <v>69750000</v>
      </c>
      <c r="K171" s="808" t="s">
        <v>1993</v>
      </c>
      <c r="L171" s="808" t="s">
        <v>1177</v>
      </c>
      <c r="M171" s="808" t="s">
        <v>1973</v>
      </c>
      <c r="N171" s="808" t="s">
        <v>1973</v>
      </c>
      <c r="O171" s="808" t="s">
        <v>2019</v>
      </c>
      <c r="P171" s="808" t="s">
        <v>1995</v>
      </c>
      <c r="Q171" s="808" t="s">
        <v>2020</v>
      </c>
    </row>
    <row r="172" spans="1:17" x14ac:dyDescent="0.25">
      <c r="A172" s="808" t="s">
        <v>1987</v>
      </c>
      <c r="B172" s="808" t="s">
        <v>2220</v>
      </c>
      <c r="C172" s="809">
        <v>43380000</v>
      </c>
      <c r="D172" s="808" t="s">
        <v>1749</v>
      </c>
      <c r="E172" s="808" t="s">
        <v>1749</v>
      </c>
      <c r="F172" s="808" t="s">
        <v>2004</v>
      </c>
      <c r="G172" s="808" t="s">
        <v>1990</v>
      </c>
      <c r="H172" s="808" t="s">
        <v>1991</v>
      </c>
      <c r="I172" s="808" t="s">
        <v>1992</v>
      </c>
      <c r="J172" s="810">
        <v>43380000</v>
      </c>
      <c r="K172" s="808" t="s">
        <v>1993</v>
      </c>
      <c r="L172" s="808" t="s">
        <v>1177</v>
      </c>
      <c r="M172" s="808" t="s">
        <v>1973</v>
      </c>
      <c r="N172" s="808" t="s">
        <v>1973</v>
      </c>
      <c r="O172" s="808" t="s">
        <v>2019</v>
      </c>
      <c r="P172" s="808" t="s">
        <v>1995</v>
      </c>
      <c r="Q172" s="808" t="s">
        <v>2020</v>
      </c>
    </row>
    <row r="173" spans="1:17" x14ac:dyDescent="0.25">
      <c r="A173" s="808" t="s">
        <v>1987</v>
      </c>
      <c r="B173" s="808" t="s">
        <v>2221</v>
      </c>
      <c r="C173" s="809">
        <v>69750000</v>
      </c>
      <c r="D173" s="808" t="s">
        <v>1749</v>
      </c>
      <c r="E173" s="808" t="s">
        <v>1749</v>
      </c>
      <c r="F173" s="808" t="s">
        <v>2004</v>
      </c>
      <c r="G173" s="808" t="s">
        <v>1990</v>
      </c>
      <c r="H173" s="808" t="s">
        <v>1991</v>
      </c>
      <c r="I173" s="808" t="s">
        <v>1992</v>
      </c>
      <c r="J173" s="810">
        <v>69750000</v>
      </c>
      <c r="K173" s="808" t="s">
        <v>1993</v>
      </c>
      <c r="L173" s="808" t="s">
        <v>1177</v>
      </c>
      <c r="M173" s="808" t="s">
        <v>1973</v>
      </c>
      <c r="N173" s="808" t="s">
        <v>1973</v>
      </c>
      <c r="O173" s="808" t="s">
        <v>2019</v>
      </c>
      <c r="P173" s="808" t="s">
        <v>1995</v>
      </c>
      <c r="Q173" s="808" t="s">
        <v>2020</v>
      </c>
    </row>
    <row r="174" spans="1:17" x14ac:dyDescent="0.25">
      <c r="A174" s="808" t="s">
        <v>1987</v>
      </c>
      <c r="B174" s="808" t="s">
        <v>2222</v>
      </c>
      <c r="C174" s="809">
        <v>49000000</v>
      </c>
      <c r="D174" s="808" t="s">
        <v>1757</v>
      </c>
      <c r="E174" s="808" t="s">
        <v>1757</v>
      </c>
      <c r="F174" s="808" t="s">
        <v>2036</v>
      </c>
      <c r="G174" s="808" t="s">
        <v>1990</v>
      </c>
      <c r="H174" s="808" t="s">
        <v>1991</v>
      </c>
      <c r="I174" s="808" t="s">
        <v>1992</v>
      </c>
      <c r="J174" s="810">
        <v>49000000</v>
      </c>
      <c r="K174" s="808" t="s">
        <v>1993</v>
      </c>
      <c r="L174" s="808" t="s">
        <v>1177</v>
      </c>
      <c r="M174" s="808" t="s">
        <v>1973</v>
      </c>
      <c r="N174" s="808" t="s">
        <v>1973</v>
      </c>
      <c r="O174" s="808" t="s">
        <v>2019</v>
      </c>
      <c r="P174" s="808" t="s">
        <v>1995</v>
      </c>
      <c r="Q174" s="808" t="s">
        <v>2020</v>
      </c>
    </row>
    <row r="175" spans="1:17" x14ac:dyDescent="0.25">
      <c r="A175" s="808" t="s">
        <v>1987</v>
      </c>
      <c r="B175" s="808" t="s">
        <v>2223</v>
      </c>
      <c r="C175" s="809">
        <v>99000000</v>
      </c>
      <c r="D175" s="808" t="s">
        <v>1749</v>
      </c>
      <c r="E175" s="808" t="s">
        <v>1749</v>
      </c>
      <c r="F175" s="808" t="s">
        <v>2004</v>
      </c>
      <c r="G175" s="808" t="s">
        <v>1990</v>
      </c>
      <c r="H175" s="808" t="s">
        <v>1991</v>
      </c>
      <c r="I175" s="808" t="s">
        <v>1992</v>
      </c>
      <c r="J175" s="810">
        <v>99000000</v>
      </c>
      <c r="K175" s="808" t="s">
        <v>1993</v>
      </c>
      <c r="L175" s="808" t="s">
        <v>1177</v>
      </c>
      <c r="M175" s="808" t="s">
        <v>1973</v>
      </c>
      <c r="N175" s="808" t="s">
        <v>1973</v>
      </c>
      <c r="O175" s="808" t="s">
        <v>2019</v>
      </c>
      <c r="P175" s="808" t="s">
        <v>1995</v>
      </c>
      <c r="Q175" s="808" t="s">
        <v>2020</v>
      </c>
    </row>
    <row r="176" spans="1:17" x14ac:dyDescent="0.25">
      <c r="A176" s="808" t="s">
        <v>1987</v>
      </c>
      <c r="B176" s="808" t="s">
        <v>2224</v>
      </c>
      <c r="C176" s="809">
        <v>99000000</v>
      </c>
      <c r="D176" s="808" t="s">
        <v>1749</v>
      </c>
      <c r="E176" s="808" t="s">
        <v>1749</v>
      </c>
      <c r="F176" s="808" t="s">
        <v>2004</v>
      </c>
      <c r="G176" s="808" t="s">
        <v>1990</v>
      </c>
      <c r="H176" s="808" t="s">
        <v>1991</v>
      </c>
      <c r="I176" s="808" t="s">
        <v>1992</v>
      </c>
      <c r="J176" s="810">
        <v>99000000</v>
      </c>
      <c r="K176" s="808" t="s">
        <v>1993</v>
      </c>
      <c r="L176" s="808" t="s">
        <v>1177</v>
      </c>
      <c r="M176" s="808" t="s">
        <v>1973</v>
      </c>
      <c r="N176" s="808" t="s">
        <v>1973</v>
      </c>
      <c r="O176" s="808" t="s">
        <v>2019</v>
      </c>
      <c r="P176" s="808" t="s">
        <v>1995</v>
      </c>
      <c r="Q176" s="808" t="s">
        <v>2020</v>
      </c>
    </row>
    <row r="177" spans="1:17" x14ac:dyDescent="0.25">
      <c r="A177" s="808" t="s">
        <v>1987</v>
      </c>
      <c r="B177" s="808" t="s">
        <v>2225</v>
      </c>
      <c r="C177" s="809">
        <v>53100000</v>
      </c>
      <c r="D177" s="808" t="s">
        <v>1749</v>
      </c>
      <c r="E177" s="808" t="s">
        <v>1749</v>
      </c>
      <c r="F177" s="808" t="s">
        <v>2004</v>
      </c>
      <c r="G177" s="808" t="s">
        <v>1990</v>
      </c>
      <c r="H177" s="808" t="s">
        <v>1991</v>
      </c>
      <c r="I177" s="808" t="s">
        <v>1992</v>
      </c>
      <c r="J177" s="810">
        <v>53100000</v>
      </c>
      <c r="K177" s="808" t="s">
        <v>1993</v>
      </c>
      <c r="L177" s="808" t="s">
        <v>1177</v>
      </c>
      <c r="M177" s="808" t="s">
        <v>1973</v>
      </c>
      <c r="N177" s="808" t="s">
        <v>1973</v>
      </c>
      <c r="O177" s="808" t="s">
        <v>2019</v>
      </c>
      <c r="P177" s="808" t="s">
        <v>2226</v>
      </c>
      <c r="Q177" s="808" t="s">
        <v>2020</v>
      </c>
    </row>
    <row r="178" spans="1:17" x14ac:dyDescent="0.25">
      <c r="A178" s="808" t="s">
        <v>1987</v>
      </c>
      <c r="B178" s="808" t="s">
        <v>2227</v>
      </c>
      <c r="C178" s="809">
        <v>63000000</v>
      </c>
      <c r="D178" s="808" t="s">
        <v>1749</v>
      </c>
      <c r="E178" s="808" t="s">
        <v>1749</v>
      </c>
      <c r="F178" s="808" t="s">
        <v>2004</v>
      </c>
      <c r="G178" s="808" t="s">
        <v>1990</v>
      </c>
      <c r="H178" s="808" t="s">
        <v>1991</v>
      </c>
      <c r="I178" s="808" t="s">
        <v>1992</v>
      </c>
      <c r="J178" s="810">
        <v>63000000</v>
      </c>
      <c r="K178" s="808" t="s">
        <v>1993</v>
      </c>
      <c r="L178" s="808" t="s">
        <v>1177</v>
      </c>
      <c r="M178" s="808" t="s">
        <v>1973</v>
      </c>
      <c r="N178" s="808" t="s">
        <v>1973</v>
      </c>
      <c r="O178" s="808" t="s">
        <v>2019</v>
      </c>
      <c r="P178" s="808" t="s">
        <v>2228</v>
      </c>
      <c r="Q178" s="808" t="s">
        <v>2020</v>
      </c>
    </row>
    <row r="179" spans="1:17" x14ac:dyDescent="0.25">
      <c r="A179" s="808" t="s">
        <v>1987</v>
      </c>
      <c r="B179" s="808" t="s">
        <v>2229</v>
      </c>
      <c r="C179" s="809">
        <v>53148771</v>
      </c>
      <c r="D179" s="808" t="s">
        <v>1749</v>
      </c>
      <c r="E179" s="808" t="s">
        <v>1749</v>
      </c>
      <c r="F179" s="808" t="s">
        <v>2004</v>
      </c>
      <c r="G179" s="808" t="s">
        <v>1990</v>
      </c>
      <c r="H179" s="808" t="s">
        <v>1991</v>
      </c>
      <c r="I179" s="808" t="s">
        <v>1992</v>
      </c>
      <c r="J179" s="810">
        <v>53148771</v>
      </c>
      <c r="K179" s="808" t="s">
        <v>1993</v>
      </c>
      <c r="L179" s="808" t="s">
        <v>1177</v>
      </c>
      <c r="M179" s="808" t="s">
        <v>1973</v>
      </c>
      <c r="N179" s="808" t="s">
        <v>1973</v>
      </c>
      <c r="O179" s="808" t="s">
        <v>2019</v>
      </c>
      <c r="P179" s="808" t="s">
        <v>1995</v>
      </c>
      <c r="Q179" s="808" t="s">
        <v>2020</v>
      </c>
    </row>
    <row r="180" spans="1:17" x14ac:dyDescent="0.25">
      <c r="A180" s="808" t="s">
        <v>1987</v>
      </c>
      <c r="B180" s="808" t="s">
        <v>2230</v>
      </c>
      <c r="C180" s="809">
        <v>55800000</v>
      </c>
      <c r="D180" s="808" t="s">
        <v>1749</v>
      </c>
      <c r="E180" s="808" t="s">
        <v>1749</v>
      </c>
      <c r="F180" s="808" t="s">
        <v>2004</v>
      </c>
      <c r="G180" s="808" t="s">
        <v>1990</v>
      </c>
      <c r="H180" s="808" t="s">
        <v>1991</v>
      </c>
      <c r="I180" s="808" t="s">
        <v>1992</v>
      </c>
      <c r="J180" s="810">
        <v>55800000</v>
      </c>
      <c r="K180" s="808" t="s">
        <v>1993</v>
      </c>
      <c r="L180" s="808" t="s">
        <v>1177</v>
      </c>
      <c r="M180" s="808" t="s">
        <v>1973</v>
      </c>
      <c r="N180" s="808" t="s">
        <v>1973</v>
      </c>
      <c r="O180" s="808" t="s">
        <v>2019</v>
      </c>
      <c r="P180" s="808" t="s">
        <v>1995</v>
      </c>
      <c r="Q180" s="808" t="s">
        <v>2020</v>
      </c>
    </row>
    <row r="181" spans="1:17" x14ac:dyDescent="0.25">
      <c r="A181" s="808" t="s">
        <v>1987</v>
      </c>
      <c r="B181" s="808" t="s">
        <v>2231</v>
      </c>
      <c r="C181" s="809">
        <v>60300000</v>
      </c>
      <c r="D181" s="808" t="s">
        <v>1749</v>
      </c>
      <c r="E181" s="808" t="s">
        <v>1749</v>
      </c>
      <c r="F181" s="808" t="s">
        <v>2004</v>
      </c>
      <c r="G181" s="808" t="s">
        <v>1990</v>
      </c>
      <c r="H181" s="808" t="s">
        <v>1991</v>
      </c>
      <c r="I181" s="808" t="s">
        <v>1992</v>
      </c>
      <c r="J181" s="810">
        <v>60300000</v>
      </c>
      <c r="K181" s="808" t="s">
        <v>1993</v>
      </c>
      <c r="L181" s="808" t="s">
        <v>1177</v>
      </c>
      <c r="M181" s="808" t="s">
        <v>1973</v>
      </c>
      <c r="N181" s="808" t="s">
        <v>1973</v>
      </c>
      <c r="O181" s="808" t="s">
        <v>2019</v>
      </c>
      <c r="P181" s="808" t="s">
        <v>1995</v>
      </c>
      <c r="Q181" s="808" t="s">
        <v>2020</v>
      </c>
    </row>
    <row r="182" spans="1:17" x14ac:dyDescent="0.25">
      <c r="A182" s="808" t="s">
        <v>1987</v>
      </c>
      <c r="B182" s="808" t="s">
        <v>2232</v>
      </c>
      <c r="C182" s="809">
        <v>45500000</v>
      </c>
      <c r="D182" s="808" t="s">
        <v>1757</v>
      </c>
      <c r="E182" s="808" t="s">
        <v>1757</v>
      </c>
      <c r="F182" s="808" t="s">
        <v>2036</v>
      </c>
      <c r="G182" s="808" t="s">
        <v>1990</v>
      </c>
      <c r="H182" s="808" t="s">
        <v>1991</v>
      </c>
      <c r="I182" s="808" t="s">
        <v>1992</v>
      </c>
      <c r="J182" s="810">
        <v>45500000</v>
      </c>
      <c r="K182" s="808" t="s">
        <v>1993</v>
      </c>
      <c r="L182" s="808" t="s">
        <v>1177</v>
      </c>
      <c r="M182" s="808" t="s">
        <v>1973</v>
      </c>
      <c r="N182" s="808" t="s">
        <v>1973</v>
      </c>
      <c r="O182" s="808" t="s">
        <v>2019</v>
      </c>
      <c r="P182" s="808" t="s">
        <v>1995</v>
      </c>
      <c r="Q182" s="808" t="s">
        <v>2020</v>
      </c>
    </row>
    <row r="183" spans="1:17" x14ac:dyDescent="0.25">
      <c r="A183" s="808" t="s">
        <v>1987</v>
      </c>
      <c r="B183" s="808" t="s">
        <v>2233</v>
      </c>
      <c r="C183" s="809">
        <v>31798410</v>
      </c>
      <c r="D183" s="808" t="s">
        <v>1749</v>
      </c>
      <c r="E183" s="808" t="s">
        <v>1749</v>
      </c>
      <c r="F183" s="808" t="s">
        <v>2023</v>
      </c>
      <c r="G183" s="808" t="s">
        <v>1990</v>
      </c>
      <c r="H183" s="808" t="s">
        <v>1991</v>
      </c>
      <c r="I183" s="808" t="s">
        <v>1992</v>
      </c>
      <c r="J183" s="810">
        <v>31798410</v>
      </c>
      <c r="K183" s="808" t="s">
        <v>1993</v>
      </c>
      <c r="L183" s="808" t="s">
        <v>1177</v>
      </c>
      <c r="M183" s="808" t="s">
        <v>1973</v>
      </c>
      <c r="N183" s="808" t="s">
        <v>1973</v>
      </c>
      <c r="O183" s="808" t="s">
        <v>2183</v>
      </c>
      <c r="P183" s="808" t="s">
        <v>1995</v>
      </c>
      <c r="Q183" s="808" t="s">
        <v>2048</v>
      </c>
    </row>
    <row r="184" spans="1:17" x14ac:dyDescent="0.25">
      <c r="A184" s="808" t="s">
        <v>1987</v>
      </c>
      <c r="B184" s="808" t="s">
        <v>2234</v>
      </c>
      <c r="C184" s="809">
        <v>89035548</v>
      </c>
      <c r="D184" s="808" t="s">
        <v>1749</v>
      </c>
      <c r="E184" s="808" t="s">
        <v>1749</v>
      </c>
      <c r="F184" s="808" t="s">
        <v>2023</v>
      </c>
      <c r="G184" s="808" t="s">
        <v>1990</v>
      </c>
      <c r="H184" s="808" t="s">
        <v>1991</v>
      </c>
      <c r="I184" s="808" t="s">
        <v>1992</v>
      </c>
      <c r="J184" s="810">
        <v>89035548</v>
      </c>
      <c r="K184" s="808" t="s">
        <v>1993</v>
      </c>
      <c r="L184" s="808" t="s">
        <v>1177</v>
      </c>
      <c r="M184" s="808" t="s">
        <v>1973</v>
      </c>
      <c r="N184" s="808" t="s">
        <v>1973</v>
      </c>
      <c r="O184" s="808" t="s">
        <v>2183</v>
      </c>
      <c r="P184" s="808" t="s">
        <v>1995</v>
      </c>
      <c r="Q184" s="808" t="s">
        <v>2048</v>
      </c>
    </row>
    <row r="185" spans="1:17" x14ac:dyDescent="0.25">
      <c r="A185" s="808" t="s">
        <v>1987</v>
      </c>
      <c r="B185" s="808" t="s">
        <v>2235</v>
      </c>
      <c r="C185" s="809">
        <v>63000000</v>
      </c>
      <c r="D185" s="808" t="s">
        <v>1866</v>
      </c>
      <c r="E185" s="808" t="s">
        <v>1866</v>
      </c>
      <c r="F185" s="808" t="s">
        <v>2004</v>
      </c>
      <c r="G185" s="808" t="s">
        <v>1990</v>
      </c>
      <c r="H185" s="808" t="s">
        <v>1991</v>
      </c>
      <c r="I185" s="808" t="s">
        <v>1992</v>
      </c>
      <c r="J185" s="810">
        <v>63000000</v>
      </c>
      <c r="K185" s="808" t="s">
        <v>1993</v>
      </c>
      <c r="L185" s="808" t="s">
        <v>1177</v>
      </c>
      <c r="M185" s="808" t="s">
        <v>1973</v>
      </c>
      <c r="N185" s="808" t="s">
        <v>1973</v>
      </c>
      <c r="O185" s="808" t="s">
        <v>2183</v>
      </c>
      <c r="P185" s="808" t="s">
        <v>1995</v>
      </c>
      <c r="Q185" s="808" t="s">
        <v>2048</v>
      </c>
    </row>
    <row r="186" spans="1:17" x14ac:dyDescent="0.25">
      <c r="A186" s="808" t="s">
        <v>1987</v>
      </c>
      <c r="B186" s="808" t="s">
        <v>2236</v>
      </c>
      <c r="C186" s="809">
        <v>40883670</v>
      </c>
      <c r="D186" s="808" t="s">
        <v>1749</v>
      </c>
      <c r="E186" s="808" t="s">
        <v>1749</v>
      </c>
      <c r="F186" s="808" t="s">
        <v>2023</v>
      </c>
      <c r="G186" s="808" t="s">
        <v>1990</v>
      </c>
      <c r="H186" s="808" t="s">
        <v>1991</v>
      </c>
      <c r="I186" s="808" t="s">
        <v>1992</v>
      </c>
      <c r="J186" s="810">
        <v>40883670</v>
      </c>
      <c r="K186" s="808" t="s">
        <v>1993</v>
      </c>
      <c r="L186" s="808" t="s">
        <v>1177</v>
      </c>
      <c r="M186" s="808" t="s">
        <v>1973</v>
      </c>
      <c r="N186" s="808" t="s">
        <v>1973</v>
      </c>
      <c r="O186" s="808" t="s">
        <v>2183</v>
      </c>
      <c r="P186" s="808" t="s">
        <v>1995</v>
      </c>
      <c r="Q186" s="808" t="s">
        <v>2048</v>
      </c>
    </row>
    <row r="187" spans="1:17" x14ac:dyDescent="0.25">
      <c r="A187" s="808" t="s">
        <v>1987</v>
      </c>
      <c r="B187" s="808" t="s">
        <v>2237</v>
      </c>
      <c r="C187" s="809">
        <v>49060404</v>
      </c>
      <c r="D187" s="808" t="s">
        <v>1749</v>
      </c>
      <c r="E187" s="808" t="s">
        <v>1749</v>
      </c>
      <c r="F187" s="808" t="s">
        <v>2023</v>
      </c>
      <c r="G187" s="808" t="s">
        <v>1990</v>
      </c>
      <c r="H187" s="808" t="s">
        <v>1991</v>
      </c>
      <c r="I187" s="808" t="s">
        <v>1992</v>
      </c>
      <c r="J187" s="810">
        <v>49060404</v>
      </c>
      <c r="K187" s="808" t="s">
        <v>1993</v>
      </c>
      <c r="L187" s="808" t="s">
        <v>1177</v>
      </c>
      <c r="M187" s="808" t="s">
        <v>1973</v>
      </c>
      <c r="N187" s="808" t="s">
        <v>1973</v>
      </c>
      <c r="O187" s="808" t="s">
        <v>2183</v>
      </c>
      <c r="P187" s="808" t="s">
        <v>1995</v>
      </c>
      <c r="Q187" s="808" t="s">
        <v>2048</v>
      </c>
    </row>
    <row r="188" spans="1:17" x14ac:dyDescent="0.25">
      <c r="A188" s="808" t="s">
        <v>1987</v>
      </c>
      <c r="B188" s="808" t="s">
        <v>2238</v>
      </c>
      <c r="C188" s="809">
        <v>22713150</v>
      </c>
      <c r="D188" s="808" t="s">
        <v>1749</v>
      </c>
      <c r="E188" s="808" t="s">
        <v>1749</v>
      </c>
      <c r="F188" s="808" t="s">
        <v>2023</v>
      </c>
      <c r="G188" s="808" t="s">
        <v>1990</v>
      </c>
      <c r="H188" s="808" t="s">
        <v>1991</v>
      </c>
      <c r="I188" s="808" t="s">
        <v>1992</v>
      </c>
      <c r="J188" s="810">
        <v>22713150</v>
      </c>
      <c r="K188" s="808" t="s">
        <v>1993</v>
      </c>
      <c r="L188" s="808" t="s">
        <v>1177</v>
      </c>
      <c r="M188" s="808" t="s">
        <v>1973</v>
      </c>
      <c r="N188" s="808" t="s">
        <v>1973</v>
      </c>
      <c r="O188" s="808" t="s">
        <v>2183</v>
      </c>
      <c r="P188" s="808" t="s">
        <v>1995</v>
      </c>
      <c r="Q188" s="808" t="s">
        <v>2048</v>
      </c>
    </row>
    <row r="189" spans="1:17" x14ac:dyDescent="0.25">
      <c r="A189" s="808" t="s">
        <v>2239</v>
      </c>
      <c r="B189" s="808" t="s">
        <v>2240</v>
      </c>
      <c r="C189" s="809">
        <v>59000000</v>
      </c>
      <c r="D189" s="808" t="s">
        <v>1866</v>
      </c>
      <c r="E189" s="808" t="s">
        <v>1866</v>
      </c>
      <c r="F189" s="808" t="s">
        <v>2056</v>
      </c>
      <c r="G189" s="808" t="s">
        <v>1990</v>
      </c>
      <c r="H189" s="808" t="s">
        <v>1905</v>
      </c>
      <c r="I189" s="808" t="s">
        <v>1992</v>
      </c>
      <c r="J189" s="810">
        <v>59000000</v>
      </c>
      <c r="K189" s="808" t="s">
        <v>1993</v>
      </c>
      <c r="L189" s="808" t="s">
        <v>1177</v>
      </c>
      <c r="M189" s="808" t="s">
        <v>1973</v>
      </c>
      <c r="N189" s="808" t="s">
        <v>1973</v>
      </c>
      <c r="O189" s="808" t="s">
        <v>2183</v>
      </c>
      <c r="P189" s="808" t="s">
        <v>1995</v>
      </c>
      <c r="Q189" s="808" t="s">
        <v>2048</v>
      </c>
    </row>
    <row r="190" spans="1:17" x14ac:dyDescent="0.25">
      <c r="A190" s="808" t="s">
        <v>1987</v>
      </c>
      <c r="B190" s="808" t="s">
        <v>2241</v>
      </c>
      <c r="C190" s="809">
        <v>28618569</v>
      </c>
      <c r="D190" s="808" t="s">
        <v>1866</v>
      </c>
      <c r="E190" s="808" t="s">
        <v>1866</v>
      </c>
      <c r="F190" s="808" t="s">
        <v>2004</v>
      </c>
      <c r="G190" s="808" t="s">
        <v>1990</v>
      </c>
      <c r="H190" s="808" t="s">
        <v>1991</v>
      </c>
      <c r="I190" s="808" t="s">
        <v>1992</v>
      </c>
      <c r="J190" s="810">
        <v>28618569</v>
      </c>
      <c r="K190" s="808" t="s">
        <v>1993</v>
      </c>
      <c r="L190" s="808" t="s">
        <v>1177</v>
      </c>
      <c r="M190" s="808" t="s">
        <v>1973</v>
      </c>
      <c r="N190" s="808" t="s">
        <v>1973</v>
      </c>
      <c r="O190" s="808" t="s">
        <v>2183</v>
      </c>
      <c r="P190" s="808" t="s">
        <v>1995</v>
      </c>
      <c r="Q190" s="808" t="s">
        <v>2048</v>
      </c>
    </row>
    <row r="191" spans="1:17" x14ac:dyDescent="0.25">
      <c r="A191" s="808" t="s">
        <v>1987</v>
      </c>
      <c r="B191" s="808" t="s">
        <v>2242</v>
      </c>
      <c r="C191" s="809">
        <v>32706936</v>
      </c>
      <c r="D191" s="808" t="s">
        <v>1866</v>
      </c>
      <c r="E191" s="808" t="s">
        <v>1866</v>
      </c>
      <c r="F191" s="808" t="s">
        <v>2004</v>
      </c>
      <c r="G191" s="808" t="s">
        <v>1990</v>
      </c>
      <c r="H191" s="808" t="s">
        <v>1991</v>
      </c>
      <c r="I191" s="808" t="s">
        <v>1992</v>
      </c>
      <c r="J191" s="810">
        <v>32706936</v>
      </c>
      <c r="K191" s="808" t="s">
        <v>1993</v>
      </c>
      <c r="L191" s="808" t="s">
        <v>1177</v>
      </c>
      <c r="M191" s="808" t="s">
        <v>1973</v>
      </c>
      <c r="N191" s="808" t="s">
        <v>1973</v>
      </c>
      <c r="O191" s="808" t="s">
        <v>2183</v>
      </c>
      <c r="P191" s="808" t="s">
        <v>1995</v>
      </c>
      <c r="Q191" s="808" t="s">
        <v>2048</v>
      </c>
    </row>
    <row r="192" spans="1:17" x14ac:dyDescent="0.25">
      <c r="A192" s="808" t="s">
        <v>1987</v>
      </c>
      <c r="B192" s="808" t="s">
        <v>2243</v>
      </c>
      <c r="C192" s="809">
        <v>36795303</v>
      </c>
      <c r="D192" s="808" t="s">
        <v>1866</v>
      </c>
      <c r="E192" s="808" t="s">
        <v>1866</v>
      </c>
      <c r="F192" s="808" t="s">
        <v>2004</v>
      </c>
      <c r="G192" s="808" t="s">
        <v>1990</v>
      </c>
      <c r="H192" s="808" t="s">
        <v>1991</v>
      </c>
      <c r="I192" s="808" t="s">
        <v>1992</v>
      </c>
      <c r="J192" s="810">
        <v>36795303</v>
      </c>
      <c r="K192" s="808" t="s">
        <v>1993</v>
      </c>
      <c r="L192" s="808" t="s">
        <v>1177</v>
      </c>
      <c r="M192" s="808" t="s">
        <v>1973</v>
      </c>
      <c r="N192" s="808" t="s">
        <v>1973</v>
      </c>
      <c r="O192" s="808" t="s">
        <v>2183</v>
      </c>
      <c r="P192" s="808" t="s">
        <v>1995</v>
      </c>
      <c r="Q192" s="808" t="s">
        <v>2048</v>
      </c>
    </row>
    <row r="193" spans="1:17" x14ac:dyDescent="0.25">
      <c r="A193" s="808" t="s">
        <v>1987</v>
      </c>
      <c r="B193" s="808" t="s">
        <v>2244</v>
      </c>
      <c r="C193" s="809">
        <v>32706936</v>
      </c>
      <c r="D193" s="808" t="s">
        <v>1866</v>
      </c>
      <c r="E193" s="808" t="s">
        <v>1866</v>
      </c>
      <c r="F193" s="808" t="s">
        <v>2004</v>
      </c>
      <c r="G193" s="808" t="s">
        <v>1990</v>
      </c>
      <c r="H193" s="808" t="s">
        <v>1991</v>
      </c>
      <c r="I193" s="808" t="s">
        <v>1992</v>
      </c>
      <c r="J193" s="810">
        <v>32706936</v>
      </c>
      <c r="K193" s="808" t="s">
        <v>1993</v>
      </c>
      <c r="L193" s="808" t="s">
        <v>1177</v>
      </c>
      <c r="M193" s="808" t="s">
        <v>1973</v>
      </c>
      <c r="N193" s="808" t="s">
        <v>1973</v>
      </c>
      <c r="O193" s="808" t="s">
        <v>2183</v>
      </c>
      <c r="P193" s="808" t="s">
        <v>1995</v>
      </c>
      <c r="Q193" s="808" t="s">
        <v>2048</v>
      </c>
    </row>
    <row r="194" spans="1:17" x14ac:dyDescent="0.25">
      <c r="A194" s="808" t="s">
        <v>1987</v>
      </c>
      <c r="B194" s="808" t="s">
        <v>2245</v>
      </c>
      <c r="C194" s="809">
        <v>36795303</v>
      </c>
      <c r="D194" s="808" t="s">
        <v>1866</v>
      </c>
      <c r="E194" s="808" t="s">
        <v>1866</v>
      </c>
      <c r="F194" s="808" t="s">
        <v>2004</v>
      </c>
      <c r="G194" s="808" t="s">
        <v>1990</v>
      </c>
      <c r="H194" s="808" t="s">
        <v>1991</v>
      </c>
      <c r="I194" s="808" t="s">
        <v>1992</v>
      </c>
      <c r="J194" s="810">
        <v>36795303</v>
      </c>
      <c r="K194" s="808" t="s">
        <v>1993</v>
      </c>
      <c r="L194" s="808" t="s">
        <v>1177</v>
      </c>
      <c r="M194" s="808" t="s">
        <v>1973</v>
      </c>
      <c r="N194" s="808" t="s">
        <v>1973</v>
      </c>
      <c r="O194" s="808" t="s">
        <v>2183</v>
      </c>
      <c r="P194" s="808" t="s">
        <v>1995</v>
      </c>
      <c r="Q194" s="808" t="s">
        <v>2048</v>
      </c>
    </row>
    <row r="195" spans="1:17" x14ac:dyDescent="0.25">
      <c r="A195" s="808" t="s">
        <v>1987</v>
      </c>
      <c r="B195" s="808" t="s">
        <v>2246</v>
      </c>
      <c r="C195" s="809">
        <v>53148771</v>
      </c>
      <c r="D195" s="808" t="s">
        <v>1866</v>
      </c>
      <c r="E195" s="808" t="s">
        <v>1866</v>
      </c>
      <c r="F195" s="808" t="s">
        <v>2004</v>
      </c>
      <c r="G195" s="808" t="s">
        <v>1990</v>
      </c>
      <c r="H195" s="808" t="s">
        <v>1991</v>
      </c>
      <c r="I195" s="808" t="s">
        <v>1992</v>
      </c>
      <c r="J195" s="810">
        <v>53148771</v>
      </c>
      <c r="K195" s="808" t="s">
        <v>1993</v>
      </c>
      <c r="L195" s="808" t="s">
        <v>1177</v>
      </c>
      <c r="M195" s="808" t="s">
        <v>1973</v>
      </c>
      <c r="N195" s="808" t="s">
        <v>1973</v>
      </c>
      <c r="O195" s="808" t="s">
        <v>2183</v>
      </c>
      <c r="P195" s="808" t="s">
        <v>1995</v>
      </c>
      <c r="Q195" s="808" t="s">
        <v>2048</v>
      </c>
    </row>
    <row r="196" spans="1:17" x14ac:dyDescent="0.25">
      <c r="A196" s="808" t="s">
        <v>1987</v>
      </c>
      <c r="B196" s="808" t="s">
        <v>2247</v>
      </c>
      <c r="C196" s="809">
        <v>36795303</v>
      </c>
      <c r="D196" s="808" t="s">
        <v>1866</v>
      </c>
      <c r="E196" s="808" t="s">
        <v>1866</v>
      </c>
      <c r="F196" s="808" t="s">
        <v>2004</v>
      </c>
      <c r="G196" s="808" t="s">
        <v>1990</v>
      </c>
      <c r="H196" s="808" t="s">
        <v>1991</v>
      </c>
      <c r="I196" s="808" t="s">
        <v>1992</v>
      </c>
      <c r="J196" s="810">
        <v>36795303</v>
      </c>
      <c r="K196" s="808" t="s">
        <v>1993</v>
      </c>
      <c r="L196" s="808" t="s">
        <v>1177</v>
      </c>
      <c r="M196" s="808" t="s">
        <v>1973</v>
      </c>
      <c r="N196" s="808" t="s">
        <v>1973</v>
      </c>
      <c r="O196" s="808" t="s">
        <v>2183</v>
      </c>
      <c r="P196" s="808" t="s">
        <v>1995</v>
      </c>
      <c r="Q196" s="808" t="s">
        <v>2048</v>
      </c>
    </row>
    <row r="197" spans="1:17" x14ac:dyDescent="0.25">
      <c r="A197" s="808" t="s">
        <v>1987</v>
      </c>
      <c r="B197" s="808" t="s">
        <v>2248</v>
      </c>
      <c r="C197" s="809">
        <v>28618569</v>
      </c>
      <c r="D197" s="808" t="s">
        <v>1866</v>
      </c>
      <c r="E197" s="808" t="s">
        <v>1866</v>
      </c>
      <c r="F197" s="808" t="s">
        <v>2004</v>
      </c>
      <c r="G197" s="808" t="s">
        <v>1990</v>
      </c>
      <c r="H197" s="808" t="s">
        <v>1991</v>
      </c>
      <c r="I197" s="808" t="s">
        <v>1992</v>
      </c>
      <c r="J197" s="810">
        <v>28618569</v>
      </c>
      <c r="K197" s="808" t="s">
        <v>1993</v>
      </c>
      <c r="L197" s="808" t="s">
        <v>1177</v>
      </c>
      <c r="M197" s="808" t="s">
        <v>1973</v>
      </c>
      <c r="N197" s="808" t="s">
        <v>1973</v>
      </c>
      <c r="O197" s="808" t="s">
        <v>2183</v>
      </c>
      <c r="P197" s="808" t="s">
        <v>1995</v>
      </c>
      <c r="Q197" s="808" t="s">
        <v>2048</v>
      </c>
    </row>
    <row r="198" spans="1:17" x14ac:dyDescent="0.25">
      <c r="A198" s="808" t="s">
        <v>1987</v>
      </c>
      <c r="B198" s="808" t="s">
        <v>2249</v>
      </c>
      <c r="C198" s="809">
        <v>24530202</v>
      </c>
      <c r="D198" s="808" t="s">
        <v>1866</v>
      </c>
      <c r="E198" s="808" t="s">
        <v>1866</v>
      </c>
      <c r="F198" s="808" t="s">
        <v>2004</v>
      </c>
      <c r="G198" s="808" t="s">
        <v>1990</v>
      </c>
      <c r="H198" s="808" t="s">
        <v>1991</v>
      </c>
      <c r="I198" s="808" t="s">
        <v>1992</v>
      </c>
      <c r="J198" s="810">
        <v>24530202</v>
      </c>
      <c r="K198" s="808" t="s">
        <v>1993</v>
      </c>
      <c r="L198" s="808" t="s">
        <v>1177</v>
      </c>
      <c r="M198" s="808" t="s">
        <v>1973</v>
      </c>
      <c r="N198" s="808" t="s">
        <v>1973</v>
      </c>
      <c r="O198" s="808" t="s">
        <v>2183</v>
      </c>
      <c r="P198" s="808" t="s">
        <v>1995</v>
      </c>
      <c r="Q198" s="808" t="s">
        <v>2048</v>
      </c>
    </row>
    <row r="199" spans="1:17" x14ac:dyDescent="0.25">
      <c r="A199" s="808" t="s">
        <v>1987</v>
      </c>
      <c r="B199" s="808" t="s">
        <v>2250</v>
      </c>
      <c r="C199" s="809">
        <v>73590606</v>
      </c>
      <c r="D199" s="808" t="s">
        <v>1866</v>
      </c>
      <c r="E199" s="808" t="s">
        <v>1866</v>
      </c>
      <c r="F199" s="808" t="s">
        <v>2004</v>
      </c>
      <c r="G199" s="808" t="s">
        <v>1990</v>
      </c>
      <c r="H199" s="808" t="s">
        <v>1991</v>
      </c>
      <c r="I199" s="808" t="s">
        <v>1992</v>
      </c>
      <c r="J199" s="810">
        <v>73590606</v>
      </c>
      <c r="K199" s="808" t="s">
        <v>1993</v>
      </c>
      <c r="L199" s="808" t="s">
        <v>1177</v>
      </c>
      <c r="M199" s="808" t="s">
        <v>1973</v>
      </c>
      <c r="N199" s="808" t="s">
        <v>1973</v>
      </c>
      <c r="O199" s="808" t="s">
        <v>2183</v>
      </c>
      <c r="P199" s="808" t="s">
        <v>1995</v>
      </c>
      <c r="Q199" s="808" t="s">
        <v>2048</v>
      </c>
    </row>
    <row r="200" spans="1:17" x14ac:dyDescent="0.25">
      <c r="A200" s="808" t="s">
        <v>2251</v>
      </c>
      <c r="B200" s="808" t="s">
        <v>2252</v>
      </c>
      <c r="C200" s="809">
        <v>21000000</v>
      </c>
      <c r="D200" s="808" t="s">
        <v>1753</v>
      </c>
      <c r="E200" s="808" t="s">
        <v>1753</v>
      </c>
      <c r="F200" s="808" t="s">
        <v>2027</v>
      </c>
      <c r="G200" s="808" t="s">
        <v>1990</v>
      </c>
      <c r="H200" s="808" t="s">
        <v>1905</v>
      </c>
      <c r="I200" s="808" t="s">
        <v>1992</v>
      </c>
      <c r="J200" s="810">
        <v>21000000</v>
      </c>
      <c r="K200" s="808" t="s">
        <v>1993</v>
      </c>
      <c r="L200" s="808" t="s">
        <v>1177</v>
      </c>
      <c r="M200" s="808" t="s">
        <v>1973</v>
      </c>
      <c r="N200" s="808" t="s">
        <v>1973</v>
      </c>
      <c r="O200" s="808" t="s">
        <v>2183</v>
      </c>
      <c r="P200" s="808" t="s">
        <v>1995</v>
      </c>
      <c r="Q200" s="808" t="s">
        <v>2048</v>
      </c>
    </row>
    <row r="201" spans="1:17" x14ac:dyDescent="0.25">
      <c r="A201" s="808" t="s">
        <v>1987</v>
      </c>
      <c r="B201" s="808" t="s">
        <v>2253</v>
      </c>
      <c r="C201" s="809">
        <v>85847040</v>
      </c>
      <c r="D201" s="808" t="s">
        <v>1749</v>
      </c>
      <c r="E201" s="808" t="s">
        <v>1749</v>
      </c>
      <c r="F201" s="808" t="s">
        <v>2004</v>
      </c>
      <c r="G201" s="808" t="s">
        <v>1990</v>
      </c>
      <c r="H201" s="808" t="s">
        <v>1991</v>
      </c>
      <c r="I201" s="808" t="s">
        <v>1992</v>
      </c>
      <c r="J201" s="810">
        <v>85847040</v>
      </c>
      <c r="K201" s="808" t="s">
        <v>1993</v>
      </c>
      <c r="L201" s="808" t="s">
        <v>1177</v>
      </c>
      <c r="M201" s="808" t="s">
        <v>1973</v>
      </c>
      <c r="N201" s="808" t="s">
        <v>1973</v>
      </c>
      <c r="O201" s="808" t="s">
        <v>2019</v>
      </c>
      <c r="P201" s="808" t="s">
        <v>1995</v>
      </c>
      <c r="Q201" s="808" t="s">
        <v>2020</v>
      </c>
    </row>
    <row r="202" spans="1:17" x14ac:dyDescent="0.25">
      <c r="A202" s="808" t="s">
        <v>1987</v>
      </c>
      <c r="B202" s="808" t="s">
        <v>2254</v>
      </c>
      <c r="C202" s="809">
        <v>65205000</v>
      </c>
      <c r="D202" s="808" t="s">
        <v>1749</v>
      </c>
      <c r="E202" s="808" t="s">
        <v>1749</v>
      </c>
      <c r="F202" s="808" t="s">
        <v>2004</v>
      </c>
      <c r="G202" s="808" t="s">
        <v>1990</v>
      </c>
      <c r="H202" s="808" t="s">
        <v>1991</v>
      </c>
      <c r="I202" s="808" t="s">
        <v>1992</v>
      </c>
      <c r="J202" s="810">
        <v>65205000</v>
      </c>
      <c r="K202" s="808" t="s">
        <v>1993</v>
      </c>
      <c r="L202" s="808" t="s">
        <v>1177</v>
      </c>
      <c r="M202" s="808" t="s">
        <v>1973</v>
      </c>
      <c r="N202" s="808" t="s">
        <v>1973</v>
      </c>
      <c r="O202" s="808" t="s">
        <v>2019</v>
      </c>
      <c r="P202" s="808" t="s">
        <v>1995</v>
      </c>
      <c r="Q202" s="808" t="s">
        <v>2020</v>
      </c>
    </row>
    <row r="203" spans="1:17" x14ac:dyDescent="0.25">
      <c r="A203" s="808" t="s">
        <v>1987</v>
      </c>
      <c r="B203" s="808" t="s">
        <v>2255</v>
      </c>
      <c r="C203" s="809">
        <v>44574000</v>
      </c>
      <c r="D203" s="808" t="s">
        <v>1749</v>
      </c>
      <c r="E203" s="808" t="s">
        <v>1749</v>
      </c>
      <c r="F203" s="808" t="s">
        <v>2004</v>
      </c>
      <c r="G203" s="808" t="s">
        <v>1990</v>
      </c>
      <c r="H203" s="808" t="s">
        <v>1991</v>
      </c>
      <c r="I203" s="808" t="s">
        <v>1992</v>
      </c>
      <c r="J203" s="810">
        <v>44574000</v>
      </c>
      <c r="K203" s="808" t="s">
        <v>1993</v>
      </c>
      <c r="L203" s="808" t="s">
        <v>1177</v>
      </c>
      <c r="M203" s="808" t="s">
        <v>1973</v>
      </c>
      <c r="N203" s="808" t="s">
        <v>1973</v>
      </c>
      <c r="O203" s="808" t="s">
        <v>2005</v>
      </c>
      <c r="P203" s="808" t="s">
        <v>1995</v>
      </c>
      <c r="Q203" s="808" t="s">
        <v>2006</v>
      </c>
    </row>
    <row r="204" spans="1:17" x14ac:dyDescent="0.25">
      <c r="A204" s="808" t="s">
        <v>2256</v>
      </c>
      <c r="B204" s="808" t="s">
        <v>2257</v>
      </c>
      <c r="C204" s="809">
        <v>494703848</v>
      </c>
      <c r="D204" s="808" t="s">
        <v>1750</v>
      </c>
      <c r="E204" s="808" t="s">
        <v>1750</v>
      </c>
      <c r="F204" s="808" t="s">
        <v>2036</v>
      </c>
      <c r="G204" s="808" t="s">
        <v>1990</v>
      </c>
      <c r="H204" s="808" t="s">
        <v>1991</v>
      </c>
      <c r="I204" s="808" t="s">
        <v>1992</v>
      </c>
      <c r="J204" s="810">
        <v>494703848</v>
      </c>
      <c r="K204" s="808" t="s">
        <v>1993</v>
      </c>
      <c r="L204" s="808" t="s">
        <v>1177</v>
      </c>
      <c r="M204" s="808" t="s">
        <v>1973</v>
      </c>
      <c r="N204" s="808" t="s">
        <v>1973</v>
      </c>
      <c r="O204" s="808" t="s">
        <v>2005</v>
      </c>
      <c r="P204" s="808" t="s">
        <v>1995</v>
      </c>
      <c r="Q204" s="808" t="s">
        <v>2006</v>
      </c>
    </row>
    <row r="205" spans="1:17" x14ac:dyDescent="0.25">
      <c r="A205" s="808" t="s">
        <v>1987</v>
      </c>
      <c r="B205" s="808" t="s">
        <v>2258</v>
      </c>
      <c r="C205" s="809">
        <v>99000000</v>
      </c>
      <c r="D205" s="808" t="s">
        <v>1753</v>
      </c>
      <c r="E205" s="808" t="s">
        <v>1753</v>
      </c>
      <c r="F205" s="808" t="s">
        <v>2027</v>
      </c>
      <c r="G205" s="808" t="s">
        <v>1990</v>
      </c>
      <c r="H205" s="808" t="s">
        <v>1991</v>
      </c>
      <c r="I205" s="808" t="s">
        <v>1992</v>
      </c>
      <c r="J205" s="810">
        <v>99000000</v>
      </c>
      <c r="K205" s="808" t="s">
        <v>1993</v>
      </c>
      <c r="L205" s="808" t="s">
        <v>1177</v>
      </c>
      <c r="M205" s="808" t="s">
        <v>1973</v>
      </c>
      <c r="N205" s="808" t="s">
        <v>1973</v>
      </c>
      <c r="O205" s="808" t="s">
        <v>2005</v>
      </c>
      <c r="P205" s="808" t="s">
        <v>1995</v>
      </c>
      <c r="Q205" s="808" t="s">
        <v>2006</v>
      </c>
    </row>
    <row r="206" spans="1:17" x14ac:dyDescent="0.25">
      <c r="A206" s="808" t="s">
        <v>1987</v>
      </c>
      <c r="B206" s="808" t="s">
        <v>2259</v>
      </c>
      <c r="C206" s="809">
        <v>44319000</v>
      </c>
      <c r="D206" s="808" t="s">
        <v>1753</v>
      </c>
      <c r="E206" s="808" t="s">
        <v>1753</v>
      </c>
      <c r="F206" s="808" t="s">
        <v>2027</v>
      </c>
      <c r="G206" s="808" t="s">
        <v>1990</v>
      </c>
      <c r="H206" s="808" t="s">
        <v>1991</v>
      </c>
      <c r="I206" s="808" t="s">
        <v>1992</v>
      </c>
      <c r="J206" s="810">
        <v>44319000</v>
      </c>
      <c r="K206" s="808" t="s">
        <v>1993</v>
      </c>
      <c r="L206" s="808" t="s">
        <v>1177</v>
      </c>
      <c r="M206" s="808" t="s">
        <v>1973</v>
      </c>
      <c r="N206" s="808" t="s">
        <v>1973</v>
      </c>
      <c r="O206" s="808" t="s">
        <v>2005</v>
      </c>
      <c r="P206" s="808" t="s">
        <v>1995</v>
      </c>
      <c r="Q206" s="808" t="s">
        <v>2006</v>
      </c>
    </row>
    <row r="207" spans="1:17" x14ac:dyDescent="0.25">
      <c r="A207" s="808" t="s">
        <v>1987</v>
      </c>
      <c r="B207" s="808" t="s">
        <v>2260</v>
      </c>
      <c r="C207" s="809">
        <v>36950520</v>
      </c>
      <c r="D207" s="808" t="s">
        <v>1743</v>
      </c>
      <c r="E207" s="808" t="s">
        <v>1743</v>
      </c>
      <c r="F207" s="808" t="s">
        <v>2010</v>
      </c>
      <c r="G207" s="808" t="s">
        <v>1990</v>
      </c>
      <c r="H207" s="808" t="s">
        <v>1991</v>
      </c>
      <c r="I207" s="808" t="s">
        <v>1992</v>
      </c>
      <c r="J207" s="810">
        <v>36950520</v>
      </c>
      <c r="K207" s="808" t="s">
        <v>1993</v>
      </c>
      <c r="L207" s="808" t="s">
        <v>1177</v>
      </c>
      <c r="M207" s="808" t="s">
        <v>1973</v>
      </c>
      <c r="N207" s="808" t="s">
        <v>1973</v>
      </c>
      <c r="O207" s="808" t="s">
        <v>2005</v>
      </c>
      <c r="P207" s="808" t="s">
        <v>1995</v>
      </c>
      <c r="Q207" s="808" t="s">
        <v>2006</v>
      </c>
    </row>
    <row r="208" spans="1:17" x14ac:dyDescent="0.25">
      <c r="A208" s="808" t="s">
        <v>1987</v>
      </c>
      <c r="B208" s="808" t="s">
        <v>2261</v>
      </c>
      <c r="C208" s="809">
        <v>24050000</v>
      </c>
      <c r="D208" s="808" t="s">
        <v>1758</v>
      </c>
      <c r="E208" s="808" t="s">
        <v>1758</v>
      </c>
      <c r="F208" s="808" t="s">
        <v>2077</v>
      </c>
      <c r="G208" s="808" t="s">
        <v>1990</v>
      </c>
      <c r="H208" s="808" t="s">
        <v>1991</v>
      </c>
      <c r="I208" s="808" t="s">
        <v>1992</v>
      </c>
      <c r="J208" s="810">
        <v>24050000</v>
      </c>
      <c r="K208" s="808" t="s">
        <v>1993</v>
      </c>
      <c r="L208" s="808" t="s">
        <v>1177</v>
      </c>
      <c r="M208" s="808" t="s">
        <v>1973</v>
      </c>
      <c r="N208" s="808" t="s">
        <v>1973</v>
      </c>
      <c r="O208" s="808" t="s">
        <v>2005</v>
      </c>
      <c r="P208" s="808" t="s">
        <v>1995</v>
      </c>
      <c r="Q208" s="808" t="s">
        <v>2006</v>
      </c>
    </row>
    <row r="209" spans="1:17" x14ac:dyDescent="0.25">
      <c r="A209" s="808" t="s">
        <v>1987</v>
      </c>
      <c r="B209" s="808" t="s">
        <v>2262</v>
      </c>
      <c r="C209" s="809">
        <v>45000000</v>
      </c>
      <c r="D209" s="808" t="s">
        <v>1758</v>
      </c>
      <c r="E209" s="808" t="s">
        <v>1758</v>
      </c>
      <c r="F209" s="808" t="s">
        <v>2000</v>
      </c>
      <c r="G209" s="808" t="s">
        <v>1990</v>
      </c>
      <c r="H209" s="808" t="s">
        <v>1991</v>
      </c>
      <c r="I209" s="808" t="s">
        <v>1992</v>
      </c>
      <c r="J209" s="810">
        <v>45000000</v>
      </c>
      <c r="K209" s="808" t="s">
        <v>1993</v>
      </c>
      <c r="L209" s="808" t="s">
        <v>1177</v>
      </c>
      <c r="M209" s="808" t="s">
        <v>1973</v>
      </c>
      <c r="N209" s="808" t="s">
        <v>1973</v>
      </c>
      <c r="O209" s="808" t="s">
        <v>214</v>
      </c>
      <c r="P209" s="808" t="s">
        <v>1995</v>
      </c>
      <c r="Q209" s="808" t="s">
        <v>2020</v>
      </c>
    </row>
    <row r="210" spans="1:17" x14ac:dyDescent="0.25">
      <c r="A210" s="808" t="s">
        <v>2263</v>
      </c>
      <c r="B210" s="808" t="s">
        <v>2264</v>
      </c>
      <c r="C210" s="809">
        <v>40000000</v>
      </c>
      <c r="D210" s="808" t="s">
        <v>1758</v>
      </c>
      <c r="E210" s="808" t="s">
        <v>1758</v>
      </c>
      <c r="F210" s="808" t="s">
        <v>2054</v>
      </c>
      <c r="G210" s="808" t="s">
        <v>1990</v>
      </c>
      <c r="H210" s="808" t="s">
        <v>1905</v>
      </c>
      <c r="I210" s="808" t="s">
        <v>1992</v>
      </c>
      <c r="J210" s="810">
        <v>40000000</v>
      </c>
      <c r="K210" s="808" t="s">
        <v>1993</v>
      </c>
      <c r="L210" s="808" t="s">
        <v>1177</v>
      </c>
      <c r="M210" s="808" t="s">
        <v>1973</v>
      </c>
      <c r="N210" s="808" t="s">
        <v>1973</v>
      </c>
      <c r="O210" s="808" t="s">
        <v>2115</v>
      </c>
      <c r="P210" s="808" t="s">
        <v>1995</v>
      </c>
      <c r="Q210" s="808" t="s">
        <v>1996</v>
      </c>
    </row>
    <row r="211" spans="1:17" x14ac:dyDescent="0.25">
      <c r="A211" s="808" t="s">
        <v>1987</v>
      </c>
      <c r="B211" s="808" t="s">
        <v>2265</v>
      </c>
      <c r="C211" s="809">
        <v>19987572</v>
      </c>
      <c r="D211" s="808" t="s">
        <v>1753</v>
      </c>
      <c r="E211" s="808" t="s">
        <v>1753</v>
      </c>
      <c r="F211" s="808" t="s">
        <v>2027</v>
      </c>
      <c r="G211" s="808" t="s">
        <v>1990</v>
      </c>
      <c r="H211" s="808" t="s">
        <v>1991</v>
      </c>
      <c r="I211" s="808" t="s">
        <v>1992</v>
      </c>
      <c r="J211" s="810">
        <v>19987572</v>
      </c>
      <c r="K211" s="808" t="s">
        <v>1993</v>
      </c>
      <c r="L211" s="808" t="s">
        <v>1177</v>
      </c>
      <c r="M211" s="808" t="s">
        <v>1973</v>
      </c>
      <c r="N211" s="808" t="s">
        <v>1973</v>
      </c>
      <c r="O211" s="808" t="s">
        <v>2183</v>
      </c>
      <c r="P211" s="808" t="s">
        <v>1995</v>
      </c>
      <c r="Q211" s="808" t="s">
        <v>2048</v>
      </c>
    </row>
    <row r="212" spans="1:17" x14ac:dyDescent="0.25">
      <c r="A212" s="808" t="s">
        <v>1987</v>
      </c>
      <c r="B212" s="808" t="s">
        <v>2266</v>
      </c>
      <c r="C212" s="809">
        <v>44972037</v>
      </c>
      <c r="D212" s="808" t="s">
        <v>1753</v>
      </c>
      <c r="E212" s="808" t="s">
        <v>1753</v>
      </c>
      <c r="F212" s="808" t="s">
        <v>2027</v>
      </c>
      <c r="G212" s="808" t="s">
        <v>1990</v>
      </c>
      <c r="H212" s="808" t="s">
        <v>1991</v>
      </c>
      <c r="I212" s="808" t="s">
        <v>1992</v>
      </c>
      <c r="J212" s="810">
        <v>44972037</v>
      </c>
      <c r="K212" s="808" t="s">
        <v>1993</v>
      </c>
      <c r="L212" s="808" t="s">
        <v>1177</v>
      </c>
      <c r="M212" s="808" t="s">
        <v>1973</v>
      </c>
      <c r="N212" s="808" t="s">
        <v>1973</v>
      </c>
      <c r="O212" s="808" t="s">
        <v>2183</v>
      </c>
      <c r="P212" s="808" t="s">
        <v>1995</v>
      </c>
      <c r="Q212" s="808" t="s">
        <v>2048</v>
      </c>
    </row>
    <row r="213" spans="1:17" x14ac:dyDescent="0.25">
      <c r="A213" s="808" t="s">
        <v>1987</v>
      </c>
      <c r="B213" s="808" t="s">
        <v>2267</v>
      </c>
      <c r="C213" s="809">
        <v>39975144</v>
      </c>
      <c r="D213" s="808" t="s">
        <v>1753</v>
      </c>
      <c r="E213" s="808" t="s">
        <v>1753</v>
      </c>
      <c r="F213" s="808" t="s">
        <v>2027</v>
      </c>
      <c r="G213" s="808" t="s">
        <v>1990</v>
      </c>
      <c r="H213" s="808" t="s">
        <v>1991</v>
      </c>
      <c r="I213" s="808" t="s">
        <v>1992</v>
      </c>
      <c r="J213" s="810">
        <v>39975144</v>
      </c>
      <c r="K213" s="808" t="s">
        <v>1993</v>
      </c>
      <c r="L213" s="808" t="s">
        <v>1177</v>
      </c>
      <c r="M213" s="808" t="s">
        <v>1973</v>
      </c>
      <c r="N213" s="808" t="s">
        <v>1973</v>
      </c>
      <c r="O213" s="808" t="s">
        <v>2183</v>
      </c>
      <c r="P213" s="808" t="s">
        <v>1995</v>
      </c>
      <c r="Q213" s="808" t="s">
        <v>2048</v>
      </c>
    </row>
    <row r="214" spans="1:17" x14ac:dyDescent="0.25">
      <c r="A214" s="808" t="s">
        <v>1987</v>
      </c>
      <c r="B214" s="808" t="s">
        <v>2268</v>
      </c>
      <c r="C214" s="809">
        <v>29981358</v>
      </c>
      <c r="D214" s="808" t="s">
        <v>1753</v>
      </c>
      <c r="E214" s="808" t="s">
        <v>1753</v>
      </c>
      <c r="F214" s="808" t="s">
        <v>2027</v>
      </c>
      <c r="G214" s="808" t="s">
        <v>1990</v>
      </c>
      <c r="H214" s="808" t="s">
        <v>1991</v>
      </c>
      <c r="I214" s="808" t="s">
        <v>1992</v>
      </c>
      <c r="J214" s="810">
        <v>29981358</v>
      </c>
      <c r="K214" s="808" t="s">
        <v>1993</v>
      </c>
      <c r="L214" s="808" t="s">
        <v>1177</v>
      </c>
      <c r="M214" s="808" t="s">
        <v>1973</v>
      </c>
      <c r="N214" s="808" t="s">
        <v>1973</v>
      </c>
      <c r="O214" s="808" t="s">
        <v>2183</v>
      </c>
      <c r="P214" s="808" t="s">
        <v>1995</v>
      </c>
      <c r="Q214" s="808" t="s">
        <v>2048</v>
      </c>
    </row>
    <row r="215" spans="1:17" x14ac:dyDescent="0.25">
      <c r="A215" s="808" t="s">
        <v>1987</v>
      </c>
      <c r="B215" s="808" t="s">
        <v>2269</v>
      </c>
      <c r="C215" s="809">
        <v>29981358</v>
      </c>
      <c r="D215" s="808" t="s">
        <v>1753</v>
      </c>
      <c r="E215" s="808" t="s">
        <v>1753</v>
      </c>
      <c r="F215" s="808" t="s">
        <v>2027</v>
      </c>
      <c r="G215" s="808" t="s">
        <v>1990</v>
      </c>
      <c r="H215" s="808" t="s">
        <v>1991</v>
      </c>
      <c r="I215" s="808" t="s">
        <v>1992</v>
      </c>
      <c r="J215" s="810">
        <v>29981358</v>
      </c>
      <c r="K215" s="808" t="s">
        <v>1993</v>
      </c>
      <c r="L215" s="808" t="s">
        <v>1177</v>
      </c>
      <c r="M215" s="808" t="s">
        <v>1973</v>
      </c>
      <c r="N215" s="808" t="s">
        <v>1973</v>
      </c>
      <c r="O215" s="808" t="s">
        <v>2183</v>
      </c>
      <c r="P215" s="808" t="s">
        <v>1995</v>
      </c>
      <c r="Q215" s="808" t="s">
        <v>2048</v>
      </c>
    </row>
    <row r="216" spans="1:17" x14ac:dyDescent="0.25">
      <c r="A216" s="808" t="s">
        <v>1987</v>
      </c>
      <c r="B216" s="808" t="s">
        <v>2270</v>
      </c>
      <c r="C216" s="809">
        <v>53148771</v>
      </c>
      <c r="D216" s="808" t="s">
        <v>1753</v>
      </c>
      <c r="E216" s="808" t="s">
        <v>1753</v>
      </c>
      <c r="F216" s="808" t="s">
        <v>2004</v>
      </c>
      <c r="G216" s="808" t="s">
        <v>1990</v>
      </c>
      <c r="H216" s="808" t="s">
        <v>1991</v>
      </c>
      <c r="I216" s="808" t="s">
        <v>1992</v>
      </c>
      <c r="J216" s="810">
        <v>53148771</v>
      </c>
      <c r="K216" s="808" t="s">
        <v>1993</v>
      </c>
      <c r="L216" s="808" t="s">
        <v>1177</v>
      </c>
      <c r="M216" s="808" t="s">
        <v>1973</v>
      </c>
      <c r="N216" s="808" t="s">
        <v>1973</v>
      </c>
      <c r="O216" s="808" t="s">
        <v>2183</v>
      </c>
      <c r="P216" s="808" t="s">
        <v>1995</v>
      </c>
      <c r="Q216" s="808" t="s">
        <v>2048</v>
      </c>
    </row>
    <row r="217" spans="1:17" x14ac:dyDescent="0.25">
      <c r="A217" s="808" t="s">
        <v>1987</v>
      </c>
      <c r="B217" s="808" t="s">
        <v>2271</v>
      </c>
      <c r="C217" s="809">
        <v>34978251</v>
      </c>
      <c r="D217" s="808" t="s">
        <v>1753</v>
      </c>
      <c r="E217" s="808" t="s">
        <v>1753</v>
      </c>
      <c r="F217" s="808" t="s">
        <v>2027</v>
      </c>
      <c r="G217" s="808" t="s">
        <v>1990</v>
      </c>
      <c r="H217" s="808" t="s">
        <v>1991</v>
      </c>
      <c r="I217" s="808" t="s">
        <v>1992</v>
      </c>
      <c r="J217" s="810">
        <v>34978251</v>
      </c>
      <c r="K217" s="808" t="s">
        <v>1993</v>
      </c>
      <c r="L217" s="808" t="s">
        <v>1177</v>
      </c>
      <c r="M217" s="808" t="s">
        <v>1973</v>
      </c>
      <c r="N217" s="808" t="s">
        <v>1973</v>
      </c>
      <c r="O217" s="808" t="s">
        <v>2183</v>
      </c>
      <c r="P217" s="808" t="s">
        <v>1995</v>
      </c>
      <c r="Q217" s="808" t="s">
        <v>2048</v>
      </c>
    </row>
    <row r="218" spans="1:17" x14ac:dyDescent="0.25">
      <c r="A218" s="808" t="s">
        <v>1987</v>
      </c>
      <c r="B218" s="808" t="s">
        <v>2272</v>
      </c>
      <c r="C218" s="809">
        <v>34978251</v>
      </c>
      <c r="D218" s="808" t="s">
        <v>1753</v>
      </c>
      <c r="E218" s="808" t="s">
        <v>1753</v>
      </c>
      <c r="F218" s="808" t="s">
        <v>2027</v>
      </c>
      <c r="G218" s="808" t="s">
        <v>1990</v>
      </c>
      <c r="H218" s="808" t="s">
        <v>1991</v>
      </c>
      <c r="I218" s="808" t="s">
        <v>1992</v>
      </c>
      <c r="J218" s="810">
        <v>34978251</v>
      </c>
      <c r="K218" s="808" t="s">
        <v>1993</v>
      </c>
      <c r="L218" s="808" t="s">
        <v>1177</v>
      </c>
      <c r="M218" s="808" t="s">
        <v>1973</v>
      </c>
      <c r="N218" s="808" t="s">
        <v>1973</v>
      </c>
      <c r="O218" s="808" t="s">
        <v>2183</v>
      </c>
      <c r="P218" s="808" t="s">
        <v>1995</v>
      </c>
      <c r="Q218" s="808" t="s">
        <v>2048</v>
      </c>
    </row>
    <row r="219" spans="1:17" x14ac:dyDescent="0.25">
      <c r="A219" s="808" t="s">
        <v>1987</v>
      </c>
      <c r="B219" s="808" t="s">
        <v>2273</v>
      </c>
      <c r="C219" s="809">
        <v>29981358</v>
      </c>
      <c r="D219" s="808" t="s">
        <v>1753</v>
      </c>
      <c r="E219" s="808" t="s">
        <v>1753</v>
      </c>
      <c r="F219" s="808" t="s">
        <v>2027</v>
      </c>
      <c r="G219" s="808" t="s">
        <v>1990</v>
      </c>
      <c r="H219" s="808" t="s">
        <v>1991</v>
      </c>
      <c r="I219" s="808" t="s">
        <v>1992</v>
      </c>
      <c r="J219" s="810">
        <v>29981358</v>
      </c>
      <c r="K219" s="808" t="s">
        <v>1993</v>
      </c>
      <c r="L219" s="808" t="s">
        <v>1177</v>
      </c>
      <c r="M219" s="808" t="s">
        <v>1973</v>
      </c>
      <c r="N219" s="808" t="s">
        <v>1973</v>
      </c>
      <c r="O219" s="808" t="s">
        <v>2183</v>
      </c>
      <c r="P219" s="808" t="s">
        <v>1995</v>
      </c>
      <c r="Q219" s="808" t="s">
        <v>2048</v>
      </c>
    </row>
    <row r="220" spans="1:17" x14ac:dyDescent="0.25">
      <c r="A220" s="808" t="s">
        <v>1987</v>
      </c>
      <c r="B220" s="808" t="s">
        <v>2274</v>
      </c>
      <c r="C220" s="809">
        <v>28800000</v>
      </c>
      <c r="D220" s="808" t="s">
        <v>1866</v>
      </c>
      <c r="E220" s="808" t="s">
        <v>1866</v>
      </c>
      <c r="F220" s="808" t="s">
        <v>1989</v>
      </c>
      <c r="G220" s="808" t="s">
        <v>1990</v>
      </c>
      <c r="H220" s="808" t="s">
        <v>1991</v>
      </c>
      <c r="I220" s="808" t="s">
        <v>1992</v>
      </c>
      <c r="J220" s="810">
        <v>28800000</v>
      </c>
      <c r="K220" s="808" t="s">
        <v>1993</v>
      </c>
      <c r="L220" s="808" t="s">
        <v>1177</v>
      </c>
      <c r="M220" s="808" t="s">
        <v>1973</v>
      </c>
      <c r="N220" s="808" t="s">
        <v>1973</v>
      </c>
      <c r="O220" s="808" t="s">
        <v>1994</v>
      </c>
      <c r="P220" s="808" t="s">
        <v>1995</v>
      </c>
      <c r="Q220" s="808" t="s">
        <v>1996</v>
      </c>
    </row>
    <row r="221" spans="1:17" x14ac:dyDescent="0.25">
      <c r="A221" s="808" t="s">
        <v>1987</v>
      </c>
      <c r="B221" s="808" t="s">
        <v>2275</v>
      </c>
      <c r="C221" s="809">
        <v>24530202</v>
      </c>
      <c r="D221" s="808" t="s">
        <v>1866</v>
      </c>
      <c r="E221" s="808" t="s">
        <v>1866</v>
      </c>
      <c r="F221" s="808" t="s">
        <v>2004</v>
      </c>
      <c r="G221" s="808" t="s">
        <v>1990</v>
      </c>
      <c r="H221" s="808" t="s">
        <v>1991</v>
      </c>
      <c r="I221" s="808" t="s">
        <v>1992</v>
      </c>
      <c r="J221" s="810">
        <v>24530202</v>
      </c>
      <c r="K221" s="808" t="s">
        <v>1993</v>
      </c>
      <c r="L221" s="808" t="s">
        <v>1177</v>
      </c>
      <c r="M221" s="808" t="s">
        <v>1973</v>
      </c>
      <c r="N221" s="808" t="s">
        <v>1973</v>
      </c>
      <c r="O221" s="808" t="s">
        <v>2183</v>
      </c>
      <c r="P221" s="808" t="s">
        <v>1995</v>
      </c>
      <c r="Q221" s="808" t="s">
        <v>2048</v>
      </c>
    </row>
    <row r="222" spans="1:17" x14ac:dyDescent="0.25">
      <c r="A222" s="808" t="s">
        <v>1987</v>
      </c>
      <c r="B222" s="808" t="s">
        <v>2276</v>
      </c>
      <c r="C222" s="809">
        <v>24530202</v>
      </c>
      <c r="D222" s="808" t="s">
        <v>1866</v>
      </c>
      <c r="E222" s="808" t="s">
        <v>1866</v>
      </c>
      <c r="F222" s="808" t="s">
        <v>2004</v>
      </c>
      <c r="G222" s="808" t="s">
        <v>1990</v>
      </c>
      <c r="H222" s="808" t="s">
        <v>1991</v>
      </c>
      <c r="I222" s="808" t="s">
        <v>1992</v>
      </c>
      <c r="J222" s="810">
        <v>24530202</v>
      </c>
      <c r="K222" s="808" t="s">
        <v>1993</v>
      </c>
      <c r="L222" s="808" t="s">
        <v>1177</v>
      </c>
      <c r="M222" s="808" t="s">
        <v>1973</v>
      </c>
      <c r="N222" s="808" t="s">
        <v>1973</v>
      </c>
      <c r="O222" s="808" t="s">
        <v>2183</v>
      </c>
      <c r="P222" s="808" t="s">
        <v>1995</v>
      </c>
      <c r="Q222" s="808" t="s">
        <v>2048</v>
      </c>
    </row>
    <row r="223" spans="1:17" x14ac:dyDescent="0.25">
      <c r="A223" s="808" t="s">
        <v>1987</v>
      </c>
      <c r="B223" s="808" t="s">
        <v>2277</v>
      </c>
      <c r="C223" s="809">
        <v>53148771</v>
      </c>
      <c r="D223" s="808" t="s">
        <v>1866</v>
      </c>
      <c r="E223" s="808" t="s">
        <v>1866</v>
      </c>
      <c r="F223" s="808" t="s">
        <v>2004</v>
      </c>
      <c r="G223" s="808" t="s">
        <v>1990</v>
      </c>
      <c r="H223" s="808" t="s">
        <v>1991</v>
      </c>
      <c r="I223" s="808" t="s">
        <v>1992</v>
      </c>
      <c r="J223" s="810">
        <v>53148771</v>
      </c>
      <c r="K223" s="808" t="s">
        <v>1993</v>
      </c>
      <c r="L223" s="808" t="s">
        <v>1177</v>
      </c>
      <c r="M223" s="808" t="s">
        <v>1973</v>
      </c>
      <c r="N223" s="808" t="s">
        <v>1973</v>
      </c>
      <c r="O223" s="808" t="s">
        <v>2183</v>
      </c>
      <c r="P223" s="808" t="s">
        <v>1995</v>
      </c>
      <c r="Q223" s="808" t="s">
        <v>2048</v>
      </c>
    </row>
    <row r="224" spans="1:17" x14ac:dyDescent="0.25">
      <c r="A224" s="808" t="s">
        <v>1987</v>
      </c>
      <c r="B224" s="808" t="s">
        <v>2278</v>
      </c>
      <c r="C224" s="809">
        <v>53148771</v>
      </c>
      <c r="D224" s="808" t="s">
        <v>1866</v>
      </c>
      <c r="E224" s="808" t="s">
        <v>1866</v>
      </c>
      <c r="F224" s="808" t="s">
        <v>2004</v>
      </c>
      <c r="G224" s="808" t="s">
        <v>1990</v>
      </c>
      <c r="H224" s="808" t="s">
        <v>1991</v>
      </c>
      <c r="I224" s="808" t="s">
        <v>1992</v>
      </c>
      <c r="J224" s="810">
        <v>53148771</v>
      </c>
      <c r="K224" s="808" t="s">
        <v>1993</v>
      </c>
      <c r="L224" s="808" t="s">
        <v>1177</v>
      </c>
      <c r="M224" s="808" t="s">
        <v>1973</v>
      </c>
      <c r="N224" s="808" t="s">
        <v>1973</v>
      </c>
      <c r="O224" s="808" t="s">
        <v>2183</v>
      </c>
      <c r="P224" s="808" t="s">
        <v>1995</v>
      </c>
      <c r="Q224" s="808" t="s">
        <v>2048</v>
      </c>
    </row>
    <row r="225" spans="1:17" x14ac:dyDescent="0.25">
      <c r="A225" s="808" t="s">
        <v>1987</v>
      </c>
      <c r="B225" s="808" t="s">
        <v>2279</v>
      </c>
      <c r="C225" s="809">
        <v>36795303</v>
      </c>
      <c r="D225" s="808" t="s">
        <v>1866</v>
      </c>
      <c r="E225" s="808" t="s">
        <v>1866</v>
      </c>
      <c r="F225" s="808" t="s">
        <v>2004</v>
      </c>
      <c r="G225" s="808" t="s">
        <v>1990</v>
      </c>
      <c r="H225" s="808" t="s">
        <v>1991</v>
      </c>
      <c r="I225" s="808" t="s">
        <v>1992</v>
      </c>
      <c r="J225" s="810">
        <v>36795303</v>
      </c>
      <c r="K225" s="808" t="s">
        <v>1993</v>
      </c>
      <c r="L225" s="808" t="s">
        <v>1177</v>
      </c>
      <c r="M225" s="808" t="s">
        <v>1973</v>
      </c>
      <c r="N225" s="808" t="s">
        <v>1973</v>
      </c>
      <c r="O225" s="808" t="s">
        <v>2183</v>
      </c>
      <c r="P225" s="808" t="s">
        <v>1995</v>
      </c>
      <c r="Q225" s="808" t="s">
        <v>2048</v>
      </c>
    </row>
    <row r="226" spans="1:17" x14ac:dyDescent="0.25">
      <c r="A226" s="808" t="s">
        <v>1987</v>
      </c>
      <c r="B226" s="808" t="s">
        <v>2280</v>
      </c>
      <c r="C226" s="809">
        <v>24530202</v>
      </c>
      <c r="D226" s="808" t="s">
        <v>1866</v>
      </c>
      <c r="E226" s="808" t="s">
        <v>1866</v>
      </c>
      <c r="F226" s="808" t="s">
        <v>2004</v>
      </c>
      <c r="G226" s="808" t="s">
        <v>1990</v>
      </c>
      <c r="H226" s="808" t="s">
        <v>1991</v>
      </c>
      <c r="I226" s="808" t="s">
        <v>1992</v>
      </c>
      <c r="J226" s="810">
        <v>24530202</v>
      </c>
      <c r="K226" s="808" t="s">
        <v>1993</v>
      </c>
      <c r="L226" s="808" t="s">
        <v>1177</v>
      </c>
      <c r="M226" s="808" t="s">
        <v>1973</v>
      </c>
      <c r="N226" s="808" t="s">
        <v>1973</v>
      </c>
      <c r="O226" s="808" t="s">
        <v>2183</v>
      </c>
      <c r="P226" s="808" t="s">
        <v>1995</v>
      </c>
      <c r="Q226" s="808" t="s">
        <v>2048</v>
      </c>
    </row>
    <row r="227" spans="1:17" x14ac:dyDescent="0.25">
      <c r="A227" s="808" t="s">
        <v>1987</v>
      </c>
      <c r="B227" s="808" t="s">
        <v>2281</v>
      </c>
      <c r="C227" s="809">
        <v>32706936</v>
      </c>
      <c r="D227" s="808" t="s">
        <v>1866</v>
      </c>
      <c r="E227" s="808" t="s">
        <v>1866</v>
      </c>
      <c r="F227" s="808" t="s">
        <v>2004</v>
      </c>
      <c r="G227" s="808" t="s">
        <v>1990</v>
      </c>
      <c r="H227" s="808" t="s">
        <v>1991</v>
      </c>
      <c r="I227" s="808" t="s">
        <v>1992</v>
      </c>
      <c r="J227" s="810">
        <v>32706936</v>
      </c>
      <c r="K227" s="808" t="s">
        <v>1993</v>
      </c>
      <c r="L227" s="808" t="s">
        <v>1177</v>
      </c>
      <c r="M227" s="808" t="s">
        <v>1973</v>
      </c>
      <c r="N227" s="808" t="s">
        <v>1973</v>
      </c>
      <c r="O227" s="808" t="s">
        <v>2183</v>
      </c>
      <c r="P227" s="808" t="s">
        <v>1995</v>
      </c>
      <c r="Q227" s="808" t="s">
        <v>2048</v>
      </c>
    </row>
    <row r="228" spans="1:17" x14ac:dyDescent="0.25">
      <c r="A228" s="808" t="s">
        <v>2282</v>
      </c>
      <c r="B228" s="808" t="s">
        <v>2283</v>
      </c>
      <c r="C228" s="809">
        <v>70000000</v>
      </c>
      <c r="D228" s="808" t="s">
        <v>1866</v>
      </c>
      <c r="E228" s="808" t="s">
        <v>1866</v>
      </c>
      <c r="F228" s="808" t="s">
        <v>2004</v>
      </c>
      <c r="G228" s="808" t="s">
        <v>1990</v>
      </c>
      <c r="H228" s="808" t="s">
        <v>2128</v>
      </c>
      <c r="I228" s="808" t="s">
        <v>1992</v>
      </c>
      <c r="J228" s="810">
        <v>70000000</v>
      </c>
      <c r="K228" s="808" t="s">
        <v>1993</v>
      </c>
      <c r="L228" s="808" t="s">
        <v>1177</v>
      </c>
      <c r="M228" s="808" t="s">
        <v>1973</v>
      </c>
      <c r="N228" s="808" t="s">
        <v>1973</v>
      </c>
      <c r="O228" s="808" t="s">
        <v>2183</v>
      </c>
      <c r="P228" s="808" t="s">
        <v>1995</v>
      </c>
      <c r="Q228" s="808" t="s">
        <v>2048</v>
      </c>
    </row>
    <row r="229" spans="1:17" x14ac:dyDescent="0.25">
      <c r="A229" s="808" t="s">
        <v>2282</v>
      </c>
      <c r="B229" s="808" t="s">
        <v>2284</v>
      </c>
      <c r="C229" s="809">
        <v>20000000</v>
      </c>
      <c r="D229" s="808" t="s">
        <v>1866</v>
      </c>
      <c r="E229" s="808" t="s">
        <v>1866</v>
      </c>
      <c r="F229" s="808" t="s">
        <v>2004</v>
      </c>
      <c r="G229" s="808" t="s">
        <v>1990</v>
      </c>
      <c r="H229" s="808" t="s">
        <v>2128</v>
      </c>
      <c r="I229" s="808" t="s">
        <v>1992</v>
      </c>
      <c r="J229" s="810">
        <v>20000000</v>
      </c>
      <c r="K229" s="808" t="s">
        <v>1993</v>
      </c>
      <c r="L229" s="808" t="s">
        <v>1177</v>
      </c>
      <c r="M229" s="808" t="s">
        <v>1973</v>
      </c>
      <c r="N229" s="808" t="s">
        <v>1973</v>
      </c>
      <c r="O229" s="808" t="s">
        <v>2183</v>
      </c>
      <c r="P229" s="808" t="s">
        <v>1995</v>
      </c>
      <c r="Q229" s="808" t="s">
        <v>2048</v>
      </c>
    </row>
    <row r="230" spans="1:17" x14ac:dyDescent="0.25">
      <c r="A230" s="808" t="s">
        <v>2285</v>
      </c>
      <c r="B230" s="808" t="s">
        <v>2286</v>
      </c>
      <c r="C230" s="809">
        <v>120000000</v>
      </c>
      <c r="D230" s="808" t="s">
        <v>1866</v>
      </c>
      <c r="E230" s="808" t="s">
        <v>1866</v>
      </c>
      <c r="F230" s="808" t="s">
        <v>2004</v>
      </c>
      <c r="G230" s="808" t="s">
        <v>1990</v>
      </c>
      <c r="H230" s="808" t="s">
        <v>1991</v>
      </c>
      <c r="I230" s="808" t="s">
        <v>1992</v>
      </c>
      <c r="J230" s="810">
        <v>120000000</v>
      </c>
      <c r="K230" s="808" t="s">
        <v>1993</v>
      </c>
      <c r="L230" s="808" t="s">
        <v>1177</v>
      </c>
      <c r="M230" s="808" t="s">
        <v>1973</v>
      </c>
      <c r="N230" s="808" t="s">
        <v>1973</v>
      </c>
      <c r="O230" s="808" t="s">
        <v>2183</v>
      </c>
      <c r="P230" s="808" t="s">
        <v>1995</v>
      </c>
      <c r="Q230" s="808" t="s">
        <v>2048</v>
      </c>
    </row>
    <row r="231" spans="1:17" x14ac:dyDescent="0.25">
      <c r="A231" s="808" t="s">
        <v>2287</v>
      </c>
      <c r="B231" s="808" t="s">
        <v>2288</v>
      </c>
      <c r="C231" s="809">
        <v>88000000</v>
      </c>
      <c r="D231" s="808" t="s">
        <v>1866</v>
      </c>
      <c r="E231" s="808" t="s">
        <v>1866</v>
      </c>
      <c r="F231" s="808" t="s">
        <v>2056</v>
      </c>
      <c r="G231" s="808" t="s">
        <v>1990</v>
      </c>
      <c r="H231" s="808" t="s">
        <v>2128</v>
      </c>
      <c r="I231" s="808" t="s">
        <v>1992</v>
      </c>
      <c r="J231" s="810">
        <v>88000000</v>
      </c>
      <c r="K231" s="808" t="s">
        <v>1993</v>
      </c>
      <c r="L231" s="808" t="s">
        <v>1177</v>
      </c>
      <c r="M231" s="808" t="s">
        <v>1973</v>
      </c>
      <c r="N231" s="808" t="s">
        <v>1973</v>
      </c>
      <c r="O231" s="808" t="s">
        <v>2183</v>
      </c>
      <c r="P231" s="808" t="s">
        <v>1995</v>
      </c>
      <c r="Q231" s="808" t="s">
        <v>2048</v>
      </c>
    </row>
    <row r="232" spans="1:17" x14ac:dyDescent="0.25">
      <c r="A232" s="808" t="s">
        <v>2287</v>
      </c>
      <c r="B232" s="808" t="s">
        <v>2289</v>
      </c>
      <c r="C232" s="809">
        <v>30000000</v>
      </c>
      <c r="D232" s="808" t="s">
        <v>1866</v>
      </c>
      <c r="E232" s="808" t="s">
        <v>1866</v>
      </c>
      <c r="F232" s="808" t="s">
        <v>2056</v>
      </c>
      <c r="G232" s="808" t="s">
        <v>1990</v>
      </c>
      <c r="H232" s="808" t="s">
        <v>1905</v>
      </c>
      <c r="I232" s="808" t="s">
        <v>1992</v>
      </c>
      <c r="J232" s="810">
        <v>30000000</v>
      </c>
      <c r="K232" s="808" t="s">
        <v>1993</v>
      </c>
      <c r="L232" s="808" t="s">
        <v>1177</v>
      </c>
      <c r="M232" s="808" t="s">
        <v>1973</v>
      </c>
      <c r="N232" s="808" t="s">
        <v>1973</v>
      </c>
      <c r="O232" s="808" t="s">
        <v>2183</v>
      </c>
      <c r="P232" s="808" t="s">
        <v>1995</v>
      </c>
      <c r="Q232" s="808" t="s">
        <v>2048</v>
      </c>
    </row>
    <row r="233" spans="1:17" x14ac:dyDescent="0.25">
      <c r="A233" s="808" t="s">
        <v>1987</v>
      </c>
      <c r="B233" s="808" t="s">
        <v>2290</v>
      </c>
      <c r="C233" s="809">
        <v>58872500</v>
      </c>
      <c r="D233" s="808" t="s">
        <v>1866</v>
      </c>
      <c r="E233" s="808" t="s">
        <v>1866</v>
      </c>
      <c r="F233" s="808" t="s">
        <v>1989</v>
      </c>
      <c r="G233" s="808" t="s">
        <v>1990</v>
      </c>
      <c r="H233" s="808" t="s">
        <v>1991</v>
      </c>
      <c r="I233" s="808" t="s">
        <v>1992</v>
      </c>
      <c r="J233" s="810">
        <v>58872500</v>
      </c>
      <c r="K233" s="808" t="s">
        <v>1993</v>
      </c>
      <c r="L233" s="808" t="s">
        <v>1177</v>
      </c>
      <c r="M233" s="808" t="s">
        <v>1973</v>
      </c>
      <c r="N233" s="808" t="s">
        <v>1973</v>
      </c>
      <c r="O233" s="808" t="s">
        <v>2183</v>
      </c>
      <c r="P233" s="808" t="s">
        <v>1995</v>
      </c>
      <c r="Q233" s="808" t="s">
        <v>2048</v>
      </c>
    </row>
    <row r="234" spans="1:17" x14ac:dyDescent="0.25">
      <c r="A234" s="808" t="s">
        <v>2291</v>
      </c>
      <c r="B234" s="808" t="s">
        <v>2292</v>
      </c>
      <c r="C234" s="809">
        <v>1530501871</v>
      </c>
      <c r="D234" s="808" t="s">
        <v>1758</v>
      </c>
      <c r="E234" s="808" t="s">
        <v>1758</v>
      </c>
      <c r="F234" s="808" t="s">
        <v>2000</v>
      </c>
      <c r="G234" s="808" t="s">
        <v>1990</v>
      </c>
      <c r="H234" s="808" t="s">
        <v>1991</v>
      </c>
      <c r="I234" s="808" t="s">
        <v>1992</v>
      </c>
      <c r="J234" s="810">
        <v>1530501871</v>
      </c>
      <c r="K234" s="808" t="s">
        <v>1993</v>
      </c>
      <c r="L234" s="808" t="s">
        <v>1177</v>
      </c>
      <c r="M234" s="808" t="s">
        <v>1973</v>
      </c>
      <c r="N234" s="808" t="s">
        <v>1973</v>
      </c>
      <c r="O234" s="808" t="s">
        <v>2183</v>
      </c>
      <c r="P234" s="808" t="s">
        <v>1995</v>
      </c>
      <c r="Q234" s="808" t="s">
        <v>2048</v>
      </c>
    </row>
    <row r="235" spans="1:17" x14ac:dyDescent="0.25">
      <c r="A235" s="808" t="s">
        <v>1987</v>
      </c>
      <c r="B235" s="808" t="s">
        <v>2293</v>
      </c>
      <c r="C235" s="809">
        <v>44000000</v>
      </c>
      <c r="D235" s="808" t="s">
        <v>1749</v>
      </c>
      <c r="E235" s="808" t="s">
        <v>1749</v>
      </c>
      <c r="F235" s="808" t="s">
        <v>2004</v>
      </c>
      <c r="G235" s="808" t="s">
        <v>1990</v>
      </c>
      <c r="H235" s="808" t="s">
        <v>1991</v>
      </c>
      <c r="I235" s="808" t="s">
        <v>1992</v>
      </c>
      <c r="J235" s="810">
        <v>44000000</v>
      </c>
      <c r="K235" s="808" t="s">
        <v>1993</v>
      </c>
      <c r="L235" s="808" t="s">
        <v>1177</v>
      </c>
      <c r="M235" s="808" t="s">
        <v>1973</v>
      </c>
      <c r="N235" s="808" t="s">
        <v>1973</v>
      </c>
      <c r="O235" s="808" t="s">
        <v>2024</v>
      </c>
      <c r="P235" s="808" t="s">
        <v>1995</v>
      </c>
      <c r="Q235" s="808" t="s">
        <v>1996</v>
      </c>
    </row>
    <row r="236" spans="1:17" x14ac:dyDescent="0.25">
      <c r="A236" s="808" t="s">
        <v>1987</v>
      </c>
      <c r="B236" s="808" t="s">
        <v>2294</v>
      </c>
      <c r="C236" s="809">
        <v>50150000</v>
      </c>
      <c r="D236" s="808" t="s">
        <v>1866</v>
      </c>
      <c r="E236" s="808" t="s">
        <v>1866</v>
      </c>
      <c r="F236" s="808" t="s">
        <v>1989</v>
      </c>
      <c r="G236" s="808" t="s">
        <v>1990</v>
      </c>
      <c r="H236" s="808" t="s">
        <v>1991</v>
      </c>
      <c r="I236" s="808" t="s">
        <v>1992</v>
      </c>
      <c r="J236" s="810">
        <v>50150000</v>
      </c>
      <c r="K236" s="808" t="s">
        <v>1993</v>
      </c>
      <c r="L236" s="808" t="s">
        <v>1177</v>
      </c>
      <c r="M236" s="808" t="s">
        <v>1973</v>
      </c>
      <c r="N236" s="808" t="s">
        <v>1973</v>
      </c>
      <c r="O236" s="808" t="s">
        <v>2024</v>
      </c>
      <c r="P236" s="808" t="s">
        <v>1995</v>
      </c>
      <c r="Q236" s="808" t="s">
        <v>1996</v>
      </c>
    </row>
    <row r="237" spans="1:17" x14ac:dyDescent="0.25">
      <c r="A237" s="808" t="s">
        <v>1987</v>
      </c>
      <c r="B237" s="808" t="s">
        <v>2295</v>
      </c>
      <c r="C237" s="809">
        <v>34100000</v>
      </c>
      <c r="D237" s="808" t="s">
        <v>1749</v>
      </c>
      <c r="E237" s="808" t="s">
        <v>1749</v>
      </c>
      <c r="F237" s="808" t="s">
        <v>2004</v>
      </c>
      <c r="G237" s="808" t="s">
        <v>1990</v>
      </c>
      <c r="H237" s="808" t="s">
        <v>1991</v>
      </c>
      <c r="I237" s="808" t="s">
        <v>1992</v>
      </c>
      <c r="J237" s="810">
        <v>34100000</v>
      </c>
      <c r="K237" s="808" t="s">
        <v>1993</v>
      </c>
      <c r="L237" s="808" t="s">
        <v>1177</v>
      </c>
      <c r="M237" s="808" t="s">
        <v>1973</v>
      </c>
      <c r="N237" s="808" t="s">
        <v>1973</v>
      </c>
      <c r="O237" s="808" t="s">
        <v>2024</v>
      </c>
      <c r="P237" s="808" t="s">
        <v>1995</v>
      </c>
      <c r="Q237" s="808" t="s">
        <v>1996</v>
      </c>
    </row>
    <row r="238" spans="1:17" x14ac:dyDescent="0.25">
      <c r="A238" s="808" t="s">
        <v>1987</v>
      </c>
      <c r="B238" s="808" t="s">
        <v>2296</v>
      </c>
      <c r="C238" s="809">
        <v>33000000</v>
      </c>
      <c r="D238" s="808" t="s">
        <v>1749</v>
      </c>
      <c r="E238" s="808" t="s">
        <v>1749</v>
      </c>
      <c r="F238" s="808" t="s">
        <v>2004</v>
      </c>
      <c r="G238" s="808" t="s">
        <v>1990</v>
      </c>
      <c r="H238" s="808" t="s">
        <v>1991</v>
      </c>
      <c r="I238" s="808" t="s">
        <v>1992</v>
      </c>
      <c r="J238" s="810">
        <v>33000000</v>
      </c>
      <c r="K238" s="808" t="s">
        <v>1993</v>
      </c>
      <c r="L238" s="808" t="s">
        <v>1177</v>
      </c>
      <c r="M238" s="808" t="s">
        <v>1973</v>
      </c>
      <c r="N238" s="808" t="s">
        <v>1973</v>
      </c>
      <c r="O238" s="808" t="s">
        <v>2024</v>
      </c>
      <c r="P238" s="808" t="s">
        <v>1995</v>
      </c>
      <c r="Q238" s="808" t="s">
        <v>1996</v>
      </c>
    </row>
    <row r="239" spans="1:17" x14ac:dyDescent="0.25">
      <c r="A239" s="808" t="s">
        <v>1987</v>
      </c>
      <c r="B239" s="808" t="s">
        <v>2297</v>
      </c>
      <c r="C239" s="809">
        <v>34100000</v>
      </c>
      <c r="D239" s="808" t="s">
        <v>1749</v>
      </c>
      <c r="E239" s="808" t="s">
        <v>1749</v>
      </c>
      <c r="F239" s="808" t="s">
        <v>2004</v>
      </c>
      <c r="G239" s="808" t="s">
        <v>1990</v>
      </c>
      <c r="H239" s="808" t="s">
        <v>1991</v>
      </c>
      <c r="I239" s="808" t="s">
        <v>1992</v>
      </c>
      <c r="J239" s="810">
        <v>34100000</v>
      </c>
      <c r="K239" s="808" t="s">
        <v>1993</v>
      </c>
      <c r="L239" s="808" t="s">
        <v>1177</v>
      </c>
      <c r="M239" s="808" t="s">
        <v>1973</v>
      </c>
      <c r="N239" s="808" t="s">
        <v>1973</v>
      </c>
      <c r="O239" s="808" t="s">
        <v>2024</v>
      </c>
      <c r="P239" s="808" t="s">
        <v>1995</v>
      </c>
      <c r="Q239" s="808" t="s">
        <v>1996</v>
      </c>
    </row>
    <row r="240" spans="1:17" x14ac:dyDescent="0.25">
      <c r="A240" s="808" t="s">
        <v>1987</v>
      </c>
      <c r="B240" s="808" t="s">
        <v>2298</v>
      </c>
      <c r="C240" s="809">
        <v>33000000</v>
      </c>
      <c r="D240" s="808" t="s">
        <v>1866</v>
      </c>
      <c r="E240" s="808" t="s">
        <v>1866</v>
      </c>
      <c r="F240" s="808" t="s">
        <v>1989</v>
      </c>
      <c r="G240" s="808" t="s">
        <v>1990</v>
      </c>
      <c r="H240" s="808" t="s">
        <v>1991</v>
      </c>
      <c r="I240" s="808" t="s">
        <v>1992</v>
      </c>
      <c r="J240" s="810">
        <v>33000000</v>
      </c>
      <c r="K240" s="808" t="s">
        <v>1993</v>
      </c>
      <c r="L240" s="808" t="s">
        <v>1177</v>
      </c>
      <c r="M240" s="808" t="s">
        <v>1973</v>
      </c>
      <c r="N240" s="808" t="s">
        <v>1973</v>
      </c>
      <c r="O240" s="808" t="s">
        <v>2024</v>
      </c>
      <c r="P240" s="808" t="s">
        <v>1995</v>
      </c>
      <c r="Q240" s="808" t="s">
        <v>1996</v>
      </c>
    </row>
    <row r="241" spans="1:17" x14ac:dyDescent="0.25">
      <c r="A241" s="808" t="s">
        <v>1987</v>
      </c>
      <c r="B241" s="808" t="s">
        <v>2299</v>
      </c>
      <c r="C241" s="809">
        <v>42400000</v>
      </c>
      <c r="D241" s="808" t="s">
        <v>1866</v>
      </c>
      <c r="E241" s="808" t="s">
        <v>1866</v>
      </c>
      <c r="F241" s="808" t="s">
        <v>1989</v>
      </c>
      <c r="G241" s="808" t="s">
        <v>1990</v>
      </c>
      <c r="H241" s="808" t="s">
        <v>1991</v>
      </c>
      <c r="I241" s="808" t="s">
        <v>1992</v>
      </c>
      <c r="J241" s="810">
        <v>42400000</v>
      </c>
      <c r="K241" s="808" t="s">
        <v>1993</v>
      </c>
      <c r="L241" s="808" t="s">
        <v>1177</v>
      </c>
      <c r="M241" s="808" t="s">
        <v>1973</v>
      </c>
      <c r="N241" s="808" t="s">
        <v>1973</v>
      </c>
      <c r="O241" s="808" t="s">
        <v>2024</v>
      </c>
      <c r="P241" s="808" t="s">
        <v>1995</v>
      </c>
      <c r="Q241" s="808" t="s">
        <v>1996</v>
      </c>
    </row>
    <row r="242" spans="1:17" x14ac:dyDescent="0.25">
      <c r="A242" s="808" t="s">
        <v>1987</v>
      </c>
      <c r="B242" s="808" t="s">
        <v>2300</v>
      </c>
      <c r="C242" s="809">
        <v>33000000</v>
      </c>
      <c r="D242" s="808" t="s">
        <v>1866</v>
      </c>
      <c r="E242" s="808" t="s">
        <v>1866</v>
      </c>
      <c r="F242" s="808" t="s">
        <v>2027</v>
      </c>
      <c r="G242" s="808" t="s">
        <v>1990</v>
      </c>
      <c r="H242" s="808" t="s">
        <v>1991</v>
      </c>
      <c r="I242" s="808" t="s">
        <v>1992</v>
      </c>
      <c r="J242" s="810">
        <v>33000000</v>
      </c>
      <c r="K242" s="808" t="s">
        <v>1993</v>
      </c>
      <c r="L242" s="808" t="s">
        <v>1177</v>
      </c>
      <c r="M242" s="808" t="s">
        <v>1973</v>
      </c>
      <c r="N242" s="808" t="s">
        <v>1973</v>
      </c>
      <c r="O242" s="808" t="s">
        <v>2024</v>
      </c>
      <c r="P242" s="808" t="s">
        <v>1995</v>
      </c>
      <c r="Q242" s="808" t="s">
        <v>1996</v>
      </c>
    </row>
    <row r="243" spans="1:17" x14ac:dyDescent="0.25">
      <c r="A243" s="808" t="s">
        <v>2301</v>
      </c>
      <c r="B243" s="808" t="s">
        <v>2302</v>
      </c>
      <c r="C243" s="809">
        <v>200000000</v>
      </c>
      <c r="D243" s="808" t="s">
        <v>1757</v>
      </c>
      <c r="E243" s="808" t="s">
        <v>1757</v>
      </c>
      <c r="F243" s="808" t="s">
        <v>2000</v>
      </c>
      <c r="G243" s="808" t="s">
        <v>1990</v>
      </c>
      <c r="H243" s="808" t="s">
        <v>2128</v>
      </c>
      <c r="I243" s="808" t="s">
        <v>1992</v>
      </c>
      <c r="J243" s="810">
        <v>200000000</v>
      </c>
      <c r="K243" s="808" t="s">
        <v>1993</v>
      </c>
      <c r="L243" s="808" t="s">
        <v>1177</v>
      </c>
      <c r="M243" s="808" t="s">
        <v>1973</v>
      </c>
      <c r="N243" s="808" t="s">
        <v>1973</v>
      </c>
      <c r="O243" s="808" t="s">
        <v>2183</v>
      </c>
      <c r="P243" s="808" t="s">
        <v>1995</v>
      </c>
      <c r="Q243" s="808" t="s">
        <v>2048</v>
      </c>
    </row>
    <row r="244" spans="1:17" x14ac:dyDescent="0.25">
      <c r="A244" s="808" t="s">
        <v>2303</v>
      </c>
      <c r="B244" s="808" t="s">
        <v>2304</v>
      </c>
      <c r="C244" s="809">
        <v>20000000</v>
      </c>
      <c r="D244" s="808" t="s">
        <v>1757</v>
      </c>
      <c r="E244" s="808" t="s">
        <v>1757</v>
      </c>
      <c r="F244" s="808" t="s">
        <v>2000</v>
      </c>
      <c r="G244" s="808" t="s">
        <v>1990</v>
      </c>
      <c r="H244" s="808" t="s">
        <v>1905</v>
      </c>
      <c r="I244" s="808" t="s">
        <v>1992</v>
      </c>
      <c r="J244" s="810">
        <v>20000000</v>
      </c>
      <c r="K244" s="808" t="s">
        <v>1993</v>
      </c>
      <c r="L244" s="808" t="s">
        <v>1177</v>
      </c>
      <c r="M244" s="808" t="s">
        <v>1973</v>
      </c>
      <c r="N244" s="808" t="s">
        <v>1973</v>
      </c>
      <c r="O244" s="808" t="s">
        <v>2183</v>
      </c>
      <c r="P244" s="808" t="s">
        <v>1995</v>
      </c>
      <c r="Q244" s="808" t="s">
        <v>2048</v>
      </c>
    </row>
    <row r="245" spans="1:17" x14ac:dyDescent="0.25">
      <c r="A245" s="808" t="s">
        <v>2305</v>
      </c>
      <c r="B245" s="808" t="s">
        <v>2306</v>
      </c>
      <c r="C245" s="809">
        <v>450000000</v>
      </c>
      <c r="D245" s="808" t="s">
        <v>1757</v>
      </c>
      <c r="E245" s="808" t="s">
        <v>1758</v>
      </c>
      <c r="F245" s="808" t="s">
        <v>2056</v>
      </c>
      <c r="G245" s="808" t="s">
        <v>1990</v>
      </c>
      <c r="H245" s="808" t="s">
        <v>2122</v>
      </c>
      <c r="I245" s="808" t="s">
        <v>1992</v>
      </c>
      <c r="J245" s="810">
        <v>450000000</v>
      </c>
      <c r="K245" s="808" t="s">
        <v>1993</v>
      </c>
      <c r="L245" s="808" t="s">
        <v>1177</v>
      </c>
      <c r="M245" s="808" t="s">
        <v>1973</v>
      </c>
      <c r="N245" s="808" t="s">
        <v>1973</v>
      </c>
      <c r="O245" s="808" t="s">
        <v>2183</v>
      </c>
      <c r="P245" s="808" t="s">
        <v>1995</v>
      </c>
      <c r="Q245" s="808" t="s">
        <v>2048</v>
      </c>
    </row>
    <row r="246" spans="1:17" x14ac:dyDescent="0.25">
      <c r="A246" s="808" t="s">
        <v>2305</v>
      </c>
      <c r="B246" s="808" t="s">
        <v>2306</v>
      </c>
      <c r="C246" s="809">
        <v>250710000</v>
      </c>
      <c r="D246" s="808" t="s">
        <v>1757</v>
      </c>
      <c r="E246" s="808" t="s">
        <v>1758</v>
      </c>
      <c r="F246" s="808" t="s">
        <v>2056</v>
      </c>
      <c r="G246" s="808" t="s">
        <v>1990</v>
      </c>
      <c r="H246" s="808" t="s">
        <v>2122</v>
      </c>
      <c r="I246" s="808" t="s">
        <v>1992</v>
      </c>
      <c r="J246" s="810">
        <v>250710000</v>
      </c>
      <c r="K246" s="808" t="s">
        <v>1993</v>
      </c>
      <c r="L246" s="808" t="s">
        <v>1177</v>
      </c>
      <c r="M246" s="808" t="s">
        <v>1973</v>
      </c>
      <c r="N246" s="808" t="s">
        <v>1973</v>
      </c>
      <c r="O246" s="808" t="s">
        <v>2183</v>
      </c>
      <c r="P246" s="808" t="s">
        <v>1995</v>
      </c>
      <c r="Q246" s="808" t="s">
        <v>2048</v>
      </c>
    </row>
    <row r="247" spans="1:17" x14ac:dyDescent="0.25">
      <c r="A247" s="808" t="s">
        <v>2307</v>
      </c>
      <c r="B247" s="808" t="s">
        <v>2308</v>
      </c>
      <c r="C247" s="809">
        <v>30000000</v>
      </c>
      <c r="D247" s="808" t="s">
        <v>1773</v>
      </c>
      <c r="E247" s="808" t="s">
        <v>1773</v>
      </c>
      <c r="F247" s="808" t="s">
        <v>2077</v>
      </c>
      <c r="G247" s="808" t="s">
        <v>1990</v>
      </c>
      <c r="H247" s="808" t="s">
        <v>1905</v>
      </c>
      <c r="I247" s="808" t="s">
        <v>1992</v>
      </c>
      <c r="J247" s="810">
        <v>30000000</v>
      </c>
      <c r="K247" s="808" t="s">
        <v>1993</v>
      </c>
      <c r="L247" s="808" t="s">
        <v>1177</v>
      </c>
      <c r="M247" s="808" t="s">
        <v>1973</v>
      </c>
      <c r="N247" s="808" t="s">
        <v>1973</v>
      </c>
      <c r="O247" s="808" t="s">
        <v>2183</v>
      </c>
      <c r="P247" s="808" t="s">
        <v>1995</v>
      </c>
      <c r="Q247" s="808" t="s">
        <v>2048</v>
      </c>
    </row>
    <row r="248" spans="1:17" x14ac:dyDescent="0.25">
      <c r="A248" s="808" t="s">
        <v>2309</v>
      </c>
      <c r="B248" s="808" t="s">
        <v>2310</v>
      </c>
      <c r="C248" s="809">
        <v>1300000000</v>
      </c>
      <c r="D248" s="808" t="s">
        <v>1866</v>
      </c>
      <c r="E248" s="808" t="s">
        <v>1750</v>
      </c>
      <c r="F248" s="808" t="s">
        <v>2027</v>
      </c>
      <c r="G248" s="808" t="s">
        <v>1990</v>
      </c>
      <c r="H248" s="808" t="s">
        <v>2122</v>
      </c>
      <c r="I248" s="808" t="s">
        <v>1992</v>
      </c>
      <c r="J248" s="810">
        <v>1300000000</v>
      </c>
      <c r="K248" s="808" t="s">
        <v>1993</v>
      </c>
      <c r="L248" s="808" t="s">
        <v>1177</v>
      </c>
      <c r="M248" s="808" t="s">
        <v>1973</v>
      </c>
      <c r="N248" s="808" t="s">
        <v>1973</v>
      </c>
      <c r="O248" s="808" t="s">
        <v>2183</v>
      </c>
      <c r="P248" s="808" t="s">
        <v>1995</v>
      </c>
      <c r="Q248" s="808" t="s">
        <v>2048</v>
      </c>
    </row>
    <row r="249" spans="1:17" x14ac:dyDescent="0.25">
      <c r="A249" s="808" t="s">
        <v>2311</v>
      </c>
      <c r="B249" s="808" t="s">
        <v>2312</v>
      </c>
      <c r="C249" s="809">
        <v>57000000</v>
      </c>
      <c r="D249" s="808" t="s">
        <v>1743</v>
      </c>
      <c r="E249" s="808" t="s">
        <v>1743</v>
      </c>
      <c r="F249" s="808" t="s">
        <v>2054</v>
      </c>
      <c r="G249" s="808" t="s">
        <v>1990</v>
      </c>
      <c r="H249" s="808" t="s">
        <v>2066</v>
      </c>
      <c r="I249" s="808" t="s">
        <v>1992</v>
      </c>
      <c r="J249" s="810">
        <v>57000000</v>
      </c>
      <c r="K249" s="808" t="s">
        <v>1993</v>
      </c>
      <c r="L249" s="808" t="s">
        <v>1177</v>
      </c>
      <c r="M249" s="808" t="s">
        <v>1973</v>
      </c>
      <c r="N249" s="808" t="s">
        <v>1973</v>
      </c>
      <c r="O249" s="808" t="s">
        <v>2024</v>
      </c>
      <c r="P249" s="808" t="s">
        <v>1995</v>
      </c>
      <c r="Q249" s="808" t="s">
        <v>1996</v>
      </c>
    </row>
    <row r="250" spans="1:17" x14ac:dyDescent="0.25">
      <c r="A250" s="808" t="s">
        <v>1987</v>
      </c>
      <c r="B250" s="808" t="s">
        <v>2313</v>
      </c>
      <c r="C250" s="809">
        <v>34000000</v>
      </c>
      <c r="D250" s="808" t="s">
        <v>1753</v>
      </c>
      <c r="E250" s="808" t="s">
        <v>1753</v>
      </c>
      <c r="F250" s="808" t="s">
        <v>2010</v>
      </c>
      <c r="G250" s="808" t="s">
        <v>1990</v>
      </c>
      <c r="H250" s="808" t="s">
        <v>1991</v>
      </c>
      <c r="I250" s="808" t="s">
        <v>1992</v>
      </c>
      <c r="J250" s="810">
        <v>34000000</v>
      </c>
      <c r="K250" s="808" t="s">
        <v>1993</v>
      </c>
      <c r="L250" s="808" t="s">
        <v>1177</v>
      </c>
      <c r="M250" s="808" t="s">
        <v>1973</v>
      </c>
      <c r="N250" s="808" t="s">
        <v>1973</v>
      </c>
      <c r="O250" s="808" t="s">
        <v>2024</v>
      </c>
      <c r="P250" s="808" t="s">
        <v>1995</v>
      </c>
      <c r="Q250" s="808" t="s">
        <v>1996</v>
      </c>
    </row>
    <row r="251" spans="1:17" x14ac:dyDescent="0.25">
      <c r="A251" s="808" t="s">
        <v>1987</v>
      </c>
      <c r="B251" s="808" t="s">
        <v>2314</v>
      </c>
      <c r="C251" s="809">
        <v>44000000</v>
      </c>
      <c r="D251" s="808" t="s">
        <v>1753</v>
      </c>
      <c r="E251" s="808" t="s">
        <v>1753</v>
      </c>
      <c r="F251" s="808" t="s">
        <v>1989</v>
      </c>
      <c r="G251" s="808" t="s">
        <v>1990</v>
      </c>
      <c r="H251" s="808" t="s">
        <v>1991</v>
      </c>
      <c r="I251" s="808" t="s">
        <v>1992</v>
      </c>
      <c r="J251" s="810">
        <v>44000000</v>
      </c>
      <c r="K251" s="808" t="s">
        <v>1993</v>
      </c>
      <c r="L251" s="808" t="s">
        <v>1177</v>
      </c>
      <c r="M251" s="808" t="s">
        <v>1973</v>
      </c>
      <c r="N251" s="808" t="s">
        <v>1973</v>
      </c>
      <c r="O251" s="808" t="s">
        <v>2024</v>
      </c>
      <c r="P251" s="808" t="s">
        <v>1995</v>
      </c>
      <c r="Q251" s="808" t="s">
        <v>1996</v>
      </c>
    </row>
    <row r="252" spans="1:17" x14ac:dyDescent="0.25">
      <c r="A252" s="808" t="s">
        <v>1987</v>
      </c>
      <c r="B252" s="808" t="s">
        <v>2174</v>
      </c>
      <c r="C252" s="809">
        <v>48348000</v>
      </c>
      <c r="D252" s="808" t="s">
        <v>1753</v>
      </c>
      <c r="E252" s="808" t="s">
        <v>1753</v>
      </c>
      <c r="F252" s="808" t="s">
        <v>2010</v>
      </c>
      <c r="G252" s="808" t="s">
        <v>1990</v>
      </c>
      <c r="H252" s="808" t="s">
        <v>1991</v>
      </c>
      <c r="I252" s="808" t="s">
        <v>1992</v>
      </c>
      <c r="J252" s="810">
        <v>48348000</v>
      </c>
      <c r="K252" s="808" t="s">
        <v>1993</v>
      </c>
      <c r="L252" s="808" t="s">
        <v>1177</v>
      </c>
      <c r="M252" s="808" t="s">
        <v>1973</v>
      </c>
      <c r="N252" s="808" t="s">
        <v>1973</v>
      </c>
      <c r="O252" s="808" t="s">
        <v>2024</v>
      </c>
      <c r="P252" s="808" t="s">
        <v>1995</v>
      </c>
      <c r="Q252" s="808" t="s">
        <v>1996</v>
      </c>
    </row>
    <row r="253" spans="1:17" x14ac:dyDescent="0.25">
      <c r="A253" s="808" t="s">
        <v>1987</v>
      </c>
      <c r="B253" s="808" t="s">
        <v>2315</v>
      </c>
      <c r="C253" s="809">
        <v>112560000</v>
      </c>
      <c r="D253" s="808" t="s">
        <v>1753</v>
      </c>
      <c r="E253" s="808" t="s">
        <v>1753</v>
      </c>
      <c r="F253" s="808" t="s">
        <v>2010</v>
      </c>
      <c r="G253" s="808" t="s">
        <v>1990</v>
      </c>
      <c r="H253" s="808" t="s">
        <v>1991</v>
      </c>
      <c r="I253" s="808" t="s">
        <v>1992</v>
      </c>
      <c r="J253" s="810">
        <v>112560000</v>
      </c>
      <c r="K253" s="808" t="s">
        <v>1993</v>
      </c>
      <c r="L253" s="808" t="s">
        <v>1177</v>
      </c>
      <c r="M253" s="808" t="s">
        <v>1973</v>
      </c>
      <c r="N253" s="808" t="s">
        <v>1973</v>
      </c>
      <c r="O253" s="808" t="s">
        <v>2024</v>
      </c>
      <c r="P253" s="808" t="s">
        <v>1995</v>
      </c>
      <c r="Q253" s="808" t="s">
        <v>1996</v>
      </c>
    </row>
    <row r="254" spans="1:17" x14ac:dyDescent="0.25">
      <c r="A254" s="808" t="s">
        <v>1987</v>
      </c>
      <c r="B254" s="808" t="s">
        <v>2316</v>
      </c>
      <c r="C254" s="809">
        <v>44319000</v>
      </c>
      <c r="D254" s="808" t="s">
        <v>1743</v>
      </c>
      <c r="E254" s="808" t="s">
        <v>1743</v>
      </c>
      <c r="F254" s="808" t="s">
        <v>2027</v>
      </c>
      <c r="G254" s="808" t="s">
        <v>1990</v>
      </c>
      <c r="H254" s="808" t="s">
        <v>1991</v>
      </c>
      <c r="I254" s="808" t="s">
        <v>1992</v>
      </c>
      <c r="J254" s="810">
        <v>44319000</v>
      </c>
      <c r="K254" s="808" t="s">
        <v>1993</v>
      </c>
      <c r="L254" s="808" t="s">
        <v>1177</v>
      </c>
      <c r="M254" s="808" t="s">
        <v>1973</v>
      </c>
      <c r="N254" s="808" t="s">
        <v>1973</v>
      </c>
      <c r="O254" s="808" t="s">
        <v>2024</v>
      </c>
      <c r="P254" s="808" t="s">
        <v>1995</v>
      </c>
      <c r="Q254" s="808" t="s">
        <v>1996</v>
      </c>
    </row>
    <row r="255" spans="1:17" x14ac:dyDescent="0.25">
      <c r="A255" s="808" t="s">
        <v>1987</v>
      </c>
      <c r="B255" s="808" t="s">
        <v>2316</v>
      </c>
      <c r="C255" s="809">
        <v>64900000</v>
      </c>
      <c r="D255" s="808" t="s">
        <v>1753</v>
      </c>
      <c r="E255" s="808" t="s">
        <v>1753</v>
      </c>
      <c r="F255" s="808" t="s">
        <v>2027</v>
      </c>
      <c r="G255" s="808" t="s">
        <v>1990</v>
      </c>
      <c r="H255" s="808" t="s">
        <v>1991</v>
      </c>
      <c r="I255" s="808" t="s">
        <v>1992</v>
      </c>
      <c r="J255" s="810">
        <v>64900000</v>
      </c>
      <c r="K255" s="808" t="s">
        <v>1993</v>
      </c>
      <c r="L255" s="808" t="s">
        <v>1177</v>
      </c>
      <c r="M255" s="808" t="s">
        <v>1973</v>
      </c>
      <c r="N255" s="808" t="s">
        <v>1973</v>
      </c>
      <c r="O255" s="808" t="s">
        <v>2024</v>
      </c>
      <c r="P255" s="808" t="s">
        <v>1995</v>
      </c>
      <c r="Q255" s="808" t="s">
        <v>1996</v>
      </c>
    </row>
    <row r="256" spans="1:17" x14ac:dyDescent="0.25">
      <c r="A256" s="808" t="s">
        <v>1987</v>
      </c>
      <c r="B256" s="808" t="s">
        <v>2317</v>
      </c>
      <c r="C256" s="809">
        <v>26572000</v>
      </c>
      <c r="D256" s="808" t="s">
        <v>1757</v>
      </c>
      <c r="E256" s="808" t="s">
        <v>1757</v>
      </c>
      <c r="F256" s="808" t="s">
        <v>2036</v>
      </c>
      <c r="G256" s="808" t="s">
        <v>1990</v>
      </c>
      <c r="H256" s="808" t="s">
        <v>1991</v>
      </c>
      <c r="I256" s="808" t="s">
        <v>1992</v>
      </c>
      <c r="J256" s="810">
        <v>26572000</v>
      </c>
      <c r="K256" s="808" t="s">
        <v>1993</v>
      </c>
      <c r="L256" s="808" t="s">
        <v>1177</v>
      </c>
      <c r="M256" s="808" t="s">
        <v>1973</v>
      </c>
      <c r="N256" s="808" t="s">
        <v>1973</v>
      </c>
      <c r="O256" s="808" t="s">
        <v>2005</v>
      </c>
      <c r="P256" s="808" t="s">
        <v>1995</v>
      </c>
      <c r="Q256" s="808" t="s">
        <v>2318</v>
      </c>
    </row>
    <row r="257" spans="1:17" x14ac:dyDescent="0.25">
      <c r="A257" s="808" t="s">
        <v>1987</v>
      </c>
      <c r="B257" s="808" t="s">
        <v>2319</v>
      </c>
      <c r="C257" s="809">
        <v>24528000</v>
      </c>
      <c r="D257" s="808" t="s">
        <v>1757</v>
      </c>
      <c r="E257" s="808" t="s">
        <v>1757</v>
      </c>
      <c r="F257" s="808" t="s">
        <v>2036</v>
      </c>
      <c r="G257" s="808" t="s">
        <v>1990</v>
      </c>
      <c r="H257" s="808" t="s">
        <v>1991</v>
      </c>
      <c r="I257" s="808" t="s">
        <v>1992</v>
      </c>
      <c r="J257" s="810">
        <v>24528000</v>
      </c>
      <c r="K257" s="808" t="s">
        <v>1993</v>
      </c>
      <c r="L257" s="808" t="s">
        <v>1177</v>
      </c>
      <c r="M257" s="808" t="s">
        <v>1973</v>
      </c>
      <c r="N257" s="808" t="s">
        <v>1973</v>
      </c>
      <c r="O257" s="808" t="s">
        <v>2005</v>
      </c>
      <c r="P257" s="808" t="s">
        <v>1995</v>
      </c>
      <c r="Q257" s="808" t="s">
        <v>2006</v>
      </c>
    </row>
    <row r="258" spans="1:17" x14ac:dyDescent="0.25">
      <c r="A258" s="808" t="s">
        <v>1987</v>
      </c>
      <c r="B258" s="808" t="s">
        <v>2320</v>
      </c>
      <c r="C258" s="809">
        <v>46410000</v>
      </c>
      <c r="D258" s="808" t="s">
        <v>1757</v>
      </c>
      <c r="E258" s="808" t="s">
        <v>1757</v>
      </c>
      <c r="F258" s="808" t="s">
        <v>2036</v>
      </c>
      <c r="G258" s="808" t="s">
        <v>1990</v>
      </c>
      <c r="H258" s="808" t="s">
        <v>1991</v>
      </c>
      <c r="I258" s="808" t="s">
        <v>1992</v>
      </c>
      <c r="J258" s="810">
        <v>46410000</v>
      </c>
      <c r="K258" s="808" t="s">
        <v>1993</v>
      </c>
      <c r="L258" s="808" t="s">
        <v>1177</v>
      </c>
      <c r="M258" s="808" t="s">
        <v>1973</v>
      </c>
      <c r="N258" s="808" t="s">
        <v>1973</v>
      </c>
      <c r="O258" s="808" t="s">
        <v>2005</v>
      </c>
      <c r="P258" s="808" t="s">
        <v>1995</v>
      </c>
      <c r="Q258" s="808" t="s">
        <v>2006</v>
      </c>
    </row>
    <row r="259" spans="1:17" x14ac:dyDescent="0.25">
      <c r="A259" s="808" t="s">
        <v>1987</v>
      </c>
      <c r="B259" s="808" t="s">
        <v>2321</v>
      </c>
      <c r="C259" s="809">
        <v>12000000</v>
      </c>
      <c r="D259" s="808" t="s">
        <v>1758</v>
      </c>
      <c r="E259" s="808" t="s">
        <v>1758</v>
      </c>
      <c r="F259" s="808" t="s">
        <v>2000</v>
      </c>
      <c r="G259" s="808" t="s">
        <v>1990</v>
      </c>
      <c r="H259" s="808" t="s">
        <v>1991</v>
      </c>
      <c r="I259" s="808" t="s">
        <v>1992</v>
      </c>
      <c r="J259" s="810">
        <v>12000000</v>
      </c>
      <c r="K259" s="808" t="s">
        <v>1993</v>
      </c>
      <c r="L259" s="808" t="s">
        <v>1177</v>
      </c>
      <c r="M259" s="808" t="s">
        <v>1973</v>
      </c>
      <c r="N259" s="808" t="s">
        <v>1973</v>
      </c>
      <c r="O259" s="808" t="s">
        <v>2047</v>
      </c>
      <c r="P259" s="808" t="s">
        <v>1995</v>
      </c>
      <c r="Q259" s="808" t="s">
        <v>2048</v>
      </c>
    </row>
    <row r="260" spans="1:17" x14ac:dyDescent="0.25">
      <c r="A260" s="808" t="s">
        <v>1987</v>
      </c>
      <c r="B260" s="808" t="s">
        <v>2322</v>
      </c>
      <c r="C260" s="809">
        <v>12000000</v>
      </c>
      <c r="D260" s="808" t="s">
        <v>1758</v>
      </c>
      <c r="E260" s="808" t="s">
        <v>1758</v>
      </c>
      <c r="F260" s="808" t="s">
        <v>2000</v>
      </c>
      <c r="G260" s="808" t="s">
        <v>1990</v>
      </c>
      <c r="H260" s="808" t="s">
        <v>1991</v>
      </c>
      <c r="I260" s="808" t="s">
        <v>1992</v>
      </c>
      <c r="J260" s="810">
        <v>12000000</v>
      </c>
      <c r="K260" s="808" t="s">
        <v>1993</v>
      </c>
      <c r="L260" s="808" t="s">
        <v>1177</v>
      </c>
      <c r="M260" s="808" t="s">
        <v>1973</v>
      </c>
      <c r="N260" s="808" t="s">
        <v>1973</v>
      </c>
      <c r="O260" s="808" t="s">
        <v>2047</v>
      </c>
      <c r="P260" s="808" t="s">
        <v>1995</v>
      </c>
      <c r="Q260" s="808" t="s">
        <v>2048</v>
      </c>
    </row>
    <row r="261" spans="1:17" x14ac:dyDescent="0.25">
      <c r="A261" s="808" t="s">
        <v>1987</v>
      </c>
      <c r="B261" s="808" t="s">
        <v>2323</v>
      </c>
      <c r="C261" s="809">
        <v>24000000</v>
      </c>
      <c r="D261" s="808" t="s">
        <v>1749</v>
      </c>
      <c r="E261" s="808" t="s">
        <v>1749</v>
      </c>
      <c r="F261" s="808" t="s">
        <v>2000</v>
      </c>
      <c r="G261" s="808" t="s">
        <v>1990</v>
      </c>
      <c r="H261" s="808" t="s">
        <v>1991</v>
      </c>
      <c r="I261" s="808" t="s">
        <v>1992</v>
      </c>
      <c r="J261" s="810">
        <v>24000000</v>
      </c>
      <c r="K261" s="808" t="s">
        <v>1993</v>
      </c>
      <c r="L261" s="808" t="s">
        <v>1177</v>
      </c>
      <c r="M261" s="808" t="s">
        <v>1973</v>
      </c>
      <c r="N261" s="808" t="s">
        <v>1973</v>
      </c>
      <c r="O261" s="808" t="s">
        <v>2067</v>
      </c>
      <c r="P261" s="808" t="s">
        <v>1995</v>
      </c>
      <c r="Q261" s="808" t="s">
        <v>2002</v>
      </c>
    </row>
    <row r="262" spans="1:17" x14ac:dyDescent="0.25">
      <c r="A262" s="808" t="s">
        <v>2324</v>
      </c>
      <c r="B262" s="808" t="s">
        <v>2325</v>
      </c>
      <c r="C262" s="809">
        <v>2300000000</v>
      </c>
      <c r="D262" s="808" t="s">
        <v>1773</v>
      </c>
      <c r="E262" s="808" t="s">
        <v>1773</v>
      </c>
      <c r="F262" s="808" t="s">
        <v>2000</v>
      </c>
      <c r="G262" s="808" t="s">
        <v>1990</v>
      </c>
      <c r="H262" s="808" t="s">
        <v>1991</v>
      </c>
      <c r="I262" s="808" t="s">
        <v>1992</v>
      </c>
      <c r="J262" s="810">
        <v>2300000000</v>
      </c>
      <c r="K262" s="808" t="s">
        <v>1993</v>
      </c>
      <c r="L262" s="808" t="s">
        <v>1177</v>
      </c>
      <c r="M262" s="808" t="s">
        <v>1973</v>
      </c>
      <c r="N262" s="808" t="s">
        <v>1973</v>
      </c>
      <c r="O262" s="808" t="s">
        <v>2067</v>
      </c>
      <c r="P262" s="808" t="s">
        <v>1995</v>
      </c>
      <c r="Q262" s="808" t="s">
        <v>2002</v>
      </c>
    </row>
    <row r="263" spans="1:17" x14ac:dyDescent="0.25">
      <c r="A263" s="808" t="s">
        <v>2073</v>
      </c>
      <c r="B263" s="808" t="s">
        <v>2326</v>
      </c>
      <c r="C263" s="809">
        <v>6300000000</v>
      </c>
      <c r="D263" s="808" t="s">
        <v>1773</v>
      </c>
      <c r="E263" s="808" t="s">
        <v>1773</v>
      </c>
      <c r="F263" s="808" t="s">
        <v>2000</v>
      </c>
      <c r="G263" s="808" t="s">
        <v>1990</v>
      </c>
      <c r="H263" s="808" t="s">
        <v>1991</v>
      </c>
      <c r="I263" s="808" t="s">
        <v>1992</v>
      </c>
      <c r="J263" s="810">
        <v>6300000000</v>
      </c>
      <c r="K263" s="808" t="s">
        <v>1993</v>
      </c>
      <c r="L263" s="808" t="s">
        <v>1177</v>
      </c>
      <c r="M263" s="808" t="s">
        <v>1973</v>
      </c>
      <c r="N263" s="808" t="s">
        <v>1973</v>
      </c>
      <c r="O263" s="808" t="s">
        <v>2067</v>
      </c>
      <c r="P263" s="808" t="s">
        <v>1995</v>
      </c>
      <c r="Q263" s="808" t="s">
        <v>2002</v>
      </c>
    </row>
    <row r="264" spans="1:17" x14ac:dyDescent="0.25">
      <c r="A264" s="808" t="s">
        <v>1987</v>
      </c>
      <c r="B264" s="808" t="s">
        <v>2327</v>
      </c>
      <c r="C264" s="809">
        <v>34850000</v>
      </c>
      <c r="D264" s="808" t="s">
        <v>1866</v>
      </c>
      <c r="E264" s="808" t="s">
        <v>1866</v>
      </c>
      <c r="F264" s="808" t="s">
        <v>2004</v>
      </c>
      <c r="G264" s="808" t="s">
        <v>1990</v>
      </c>
      <c r="H264" s="808" t="s">
        <v>1991</v>
      </c>
      <c r="I264" s="808" t="s">
        <v>1992</v>
      </c>
      <c r="J264" s="810">
        <v>34850000</v>
      </c>
      <c r="K264" s="808" t="s">
        <v>1993</v>
      </c>
      <c r="L264" s="808" t="s">
        <v>1177</v>
      </c>
      <c r="M264" s="808" t="s">
        <v>1973</v>
      </c>
      <c r="N264" s="808" t="s">
        <v>1973</v>
      </c>
      <c r="O264" s="808" t="s">
        <v>2005</v>
      </c>
      <c r="P264" s="808" t="s">
        <v>1995</v>
      </c>
      <c r="Q264" s="808" t="s">
        <v>2006</v>
      </c>
    </row>
    <row r="265" spans="1:17" x14ac:dyDescent="0.25">
      <c r="A265" s="808" t="s">
        <v>1987</v>
      </c>
      <c r="B265" s="808" t="s">
        <v>2328</v>
      </c>
      <c r="C265" s="809">
        <v>24530202</v>
      </c>
      <c r="D265" s="808" t="s">
        <v>1866</v>
      </c>
      <c r="E265" s="808" t="s">
        <v>1866</v>
      </c>
      <c r="F265" s="808" t="s">
        <v>2004</v>
      </c>
      <c r="G265" s="808" t="s">
        <v>1990</v>
      </c>
      <c r="H265" s="808" t="s">
        <v>1991</v>
      </c>
      <c r="I265" s="808" t="s">
        <v>1992</v>
      </c>
      <c r="J265" s="810">
        <v>24530202</v>
      </c>
      <c r="K265" s="808" t="s">
        <v>1993</v>
      </c>
      <c r="L265" s="808" t="s">
        <v>1177</v>
      </c>
      <c r="M265" s="808" t="s">
        <v>1973</v>
      </c>
      <c r="N265" s="808" t="s">
        <v>1973</v>
      </c>
      <c r="O265" s="808" t="s">
        <v>2183</v>
      </c>
      <c r="P265" s="808" t="s">
        <v>1995</v>
      </c>
      <c r="Q265" s="808" t="s">
        <v>2048</v>
      </c>
    </row>
    <row r="266" spans="1:17" x14ac:dyDescent="0.25">
      <c r="A266" s="808" t="s">
        <v>1987</v>
      </c>
      <c r="B266" s="808" t="s">
        <v>2329</v>
      </c>
      <c r="C266" s="809">
        <v>24530202</v>
      </c>
      <c r="D266" s="808" t="s">
        <v>1866</v>
      </c>
      <c r="E266" s="808" t="s">
        <v>1866</v>
      </c>
      <c r="F266" s="808" t="s">
        <v>2004</v>
      </c>
      <c r="G266" s="808" t="s">
        <v>1990</v>
      </c>
      <c r="H266" s="808" t="s">
        <v>1991</v>
      </c>
      <c r="I266" s="808" t="s">
        <v>1992</v>
      </c>
      <c r="J266" s="810">
        <v>24530202</v>
      </c>
      <c r="K266" s="808" t="s">
        <v>1993</v>
      </c>
      <c r="L266" s="808" t="s">
        <v>1177</v>
      </c>
      <c r="M266" s="808" t="s">
        <v>1973</v>
      </c>
      <c r="N266" s="808" t="s">
        <v>1973</v>
      </c>
      <c r="O266" s="808" t="s">
        <v>2183</v>
      </c>
      <c r="P266" s="808" t="s">
        <v>1995</v>
      </c>
      <c r="Q266" s="808" t="s">
        <v>2048</v>
      </c>
    </row>
    <row r="267" spans="1:17" x14ac:dyDescent="0.25">
      <c r="A267" s="808" t="s">
        <v>1987</v>
      </c>
      <c r="B267" s="808" t="s">
        <v>2330</v>
      </c>
      <c r="C267" s="809">
        <v>73590606</v>
      </c>
      <c r="D267" s="808" t="s">
        <v>1866</v>
      </c>
      <c r="E267" s="808" t="s">
        <v>1866</v>
      </c>
      <c r="F267" s="808" t="s">
        <v>2004</v>
      </c>
      <c r="G267" s="808" t="s">
        <v>1990</v>
      </c>
      <c r="H267" s="808" t="s">
        <v>1991</v>
      </c>
      <c r="I267" s="808" t="s">
        <v>1992</v>
      </c>
      <c r="J267" s="810">
        <v>73590606</v>
      </c>
      <c r="K267" s="808" t="s">
        <v>1993</v>
      </c>
      <c r="L267" s="808" t="s">
        <v>1177</v>
      </c>
      <c r="M267" s="808" t="s">
        <v>1973</v>
      </c>
      <c r="N267" s="808" t="s">
        <v>1973</v>
      </c>
      <c r="O267" s="808" t="s">
        <v>2183</v>
      </c>
      <c r="P267" s="808" t="s">
        <v>1995</v>
      </c>
      <c r="Q267" s="808" t="s">
        <v>2048</v>
      </c>
    </row>
    <row r="268" spans="1:17" x14ac:dyDescent="0.25">
      <c r="A268" s="808" t="s">
        <v>1987</v>
      </c>
      <c r="B268" s="808" t="s">
        <v>2331</v>
      </c>
      <c r="C268" s="809">
        <v>57000000</v>
      </c>
      <c r="D268" s="808" t="s">
        <v>1866</v>
      </c>
      <c r="E268" s="808" t="s">
        <v>1866</v>
      </c>
      <c r="F268" s="808" t="s">
        <v>2004</v>
      </c>
      <c r="G268" s="808" t="s">
        <v>1990</v>
      </c>
      <c r="H268" s="808" t="s">
        <v>1991</v>
      </c>
      <c r="I268" s="808" t="s">
        <v>1992</v>
      </c>
      <c r="J268" s="810">
        <v>57000000</v>
      </c>
      <c r="K268" s="808" t="s">
        <v>1993</v>
      </c>
      <c r="L268" s="808" t="s">
        <v>1177</v>
      </c>
      <c r="M268" s="808" t="s">
        <v>1973</v>
      </c>
      <c r="N268" s="808" t="s">
        <v>1973</v>
      </c>
      <c r="O268" s="808" t="s">
        <v>2183</v>
      </c>
      <c r="P268" s="808" t="s">
        <v>1995</v>
      </c>
      <c r="Q268" s="808" t="s">
        <v>2048</v>
      </c>
    </row>
    <row r="269" spans="1:17" x14ac:dyDescent="0.25">
      <c r="A269" s="808" t="s">
        <v>1987</v>
      </c>
      <c r="B269" s="808" t="s">
        <v>2332</v>
      </c>
      <c r="C269" s="809">
        <v>36795303</v>
      </c>
      <c r="D269" s="808" t="s">
        <v>1866</v>
      </c>
      <c r="E269" s="808" t="s">
        <v>1866</v>
      </c>
      <c r="F269" s="808" t="s">
        <v>2004</v>
      </c>
      <c r="G269" s="808" t="s">
        <v>1990</v>
      </c>
      <c r="H269" s="808" t="s">
        <v>1991</v>
      </c>
      <c r="I269" s="808" t="s">
        <v>1992</v>
      </c>
      <c r="J269" s="810">
        <v>36795303</v>
      </c>
      <c r="K269" s="808" t="s">
        <v>1993</v>
      </c>
      <c r="L269" s="808" t="s">
        <v>1177</v>
      </c>
      <c r="M269" s="808" t="s">
        <v>1973</v>
      </c>
      <c r="N269" s="808" t="s">
        <v>1973</v>
      </c>
      <c r="O269" s="808" t="s">
        <v>2183</v>
      </c>
      <c r="P269" s="808" t="s">
        <v>1995</v>
      </c>
      <c r="Q269" s="808" t="s">
        <v>2048</v>
      </c>
    </row>
    <row r="270" spans="1:17" x14ac:dyDescent="0.25">
      <c r="A270" s="808" t="s">
        <v>1987</v>
      </c>
      <c r="B270" s="808" t="s">
        <v>2333</v>
      </c>
      <c r="C270" s="809">
        <v>27800895</v>
      </c>
      <c r="D270" s="808" t="s">
        <v>1866</v>
      </c>
      <c r="E270" s="808" t="s">
        <v>1866</v>
      </c>
      <c r="F270" s="808" t="s">
        <v>2004</v>
      </c>
      <c r="G270" s="808" t="s">
        <v>1990</v>
      </c>
      <c r="H270" s="808" t="s">
        <v>1991</v>
      </c>
      <c r="I270" s="808" t="s">
        <v>1992</v>
      </c>
      <c r="J270" s="810">
        <v>27800895</v>
      </c>
      <c r="K270" s="808" t="s">
        <v>1993</v>
      </c>
      <c r="L270" s="808" t="s">
        <v>1177</v>
      </c>
      <c r="M270" s="808" t="s">
        <v>1973</v>
      </c>
      <c r="N270" s="808" t="s">
        <v>1973</v>
      </c>
      <c r="O270" s="808" t="s">
        <v>2183</v>
      </c>
      <c r="P270" s="808" t="s">
        <v>1995</v>
      </c>
      <c r="Q270" s="808" t="s">
        <v>2048</v>
      </c>
    </row>
    <row r="271" spans="1:17" x14ac:dyDescent="0.25">
      <c r="A271" s="808" t="s">
        <v>1987</v>
      </c>
      <c r="B271" s="808" t="s">
        <v>2334</v>
      </c>
      <c r="C271" s="809">
        <v>16000000</v>
      </c>
      <c r="D271" s="808" t="s">
        <v>1866</v>
      </c>
      <c r="E271" s="808" t="s">
        <v>1866</v>
      </c>
      <c r="F271" s="808" t="s">
        <v>2054</v>
      </c>
      <c r="G271" s="808" t="s">
        <v>1990</v>
      </c>
      <c r="H271" s="808" t="s">
        <v>1991</v>
      </c>
      <c r="I271" s="808" t="s">
        <v>1992</v>
      </c>
      <c r="J271" s="810">
        <v>16000000</v>
      </c>
      <c r="K271" s="808" t="s">
        <v>1993</v>
      </c>
      <c r="L271" s="808" t="s">
        <v>1177</v>
      </c>
      <c r="M271" s="808" t="s">
        <v>1973</v>
      </c>
      <c r="N271" s="808" t="s">
        <v>1973</v>
      </c>
      <c r="O271" s="808" t="s">
        <v>2131</v>
      </c>
      <c r="P271" s="808" t="s">
        <v>1995</v>
      </c>
      <c r="Q271" s="808" t="s">
        <v>2048</v>
      </c>
    </row>
    <row r="272" spans="1:17" x14ac:dyDescent="0.25">
      <c r="A272" s="808" t="s">
        <v>2335</v>
      </c>
      <c r="B272" s="808" t="s">
        <v>2336</v>
      </c>
      <c r="C272" s="809">
        <v>59000000</v>
      </c>
      <c r="D272" s="808" t="s">
        <v>1758</v>
      </c>
      <c r="E272" s="808" t="s">
        <v>1758</v>
      </c>
      <c r="F272" s="808" t="s">
        <v>2337</v>
      </c>
      <c r="G272" s="808" t="s">
        <v>1990</v>
      </c>
      <c r="H272" s="808" t="s">
        <v>1905</v>
      </c>
      <c r="I272" s="808" t="s">
        <v>1992</v>
      </c>
      <c r="J272" s="810">
        <v>59000000</v>
      </c>
      <c r="K272" s="808" t="s">
        <v>1993</v>
      </c>
      <c r="L272" s="808" t="s">
        <v>1177</v>
      </c>
      <c r="M272" s="808" t="s">
        <v>1973</v>
      </c>
      <c r="N272" s="808" t="s">
        <v>1973</v>
      </c>
      <c r="O272" s="808" t="s">
        <v>1994</v>
      </c>
      <c r="P272" s="808" t="s">
        <v>1995</v>
      </c>
      <c r="Q272" s="808" t="s">
        <v>1996</v>
      </c>
    </row>
    <row r="273" spans="1:17" x14ac:dyDescent="0.25">
      <c r="A273" s="808" t="s">
        <v>1987</v>
      </c>
      <c r="B273" s="808" t="s">
        <v>2338</v>
      </c>
      <c r="C273" s="809">
        <v>33000000</v>
      </c>
      <c r="D273" s="808" t="s">
        <v>1866</v>
      </c>
      <c r="E273" s="808" t="s">
        <v>1866</v>
      </c>
      <c r="F273" s="808" t="s">
        <v>1989</v>
      </c>
      <c r="G273" s="808" t="s">
        <v>1990</v>
      </c>
      <c r="H273" s="808" t="s">
        <v>1991</v>
      </c>
      <c r="I273" s="808" t="s">
        <v>1992</v>
      </c>
      <c r="J273" s="810">
        <v>33000000</v>
      </c>
      <c r="K273" s="808" t="s">
        <v>1993</v>
      </c>
      <c r="L273" s="808" t="s">
        <v>1177</v>
      </c>
      <c r="M273" s="808" t="s">
        <v>1973</v>
      </c>
      <c r="N273" s="808" t="s">
        <v>1973</v>
      </c>
      <c r="O273" s="808" t="s">
        <v>2024</v>
      </c>
      <c r="P273" s="808" t="s">
        <v>1995</v>
      </c>
      <c r="Q273" s="808" t="s">
        <v>1996</v>
      </c>
    </row>
    <row r="274" spans="1:17" x14ac:dyDescent="0.25">
      <c r="A274" s="808" t="s">
        <v>1987</v>
      </c>
      <c r="B274" s="808" t="s">
        <v>2339</v>
      </c>
      <c r="C274" s="809">
        <v>34100000</v>
      </c>
      <c r="D274" s="808" t="s">
        <v>1866</v>
      </c>
      <c r="E274" s="808" t="s">
        <v>1866</v>
      </c>
      <c r="F274" s="808" t="s">
        <v>1989</v>
      </c>
      <c r="G274" s="808" t="s">
        <v>1990</v>
      </c>
      <c r="H274" s="808" t="s">
        <v>1991</v>
      </c>
      <c r="I274" s="808" t="s">
        <v>1992</v>
      </c>
      <c r="J274" s="810">
        <v>34100000</v>
      </c>
      <c r="K274" s="808" t="s">
        <v>1993</v>
      </c>
      <c r="L274" s="808" t="s">
        <v>1177</v>
      </c>
      <c r="M274" s="808" t="s">
        <v>1973</v>
      </c>
      <c r="N274" s="808" t="s">
        <v>1973</v>
      </c>
      <c r="O274" s="808" t="s">
        <v>2024</v>
      </c>
      <c r="P274" s="808" t="s">
        <v>1995</v>
      </c>
      <c r="Q274" s="808" t="s">
        <v>1996</v>
      </c>
    </row>
    <row r="275" spans="1:17" x14ac:dyDescent="0.25">
      <c r="A275" s="808" t="s">
        <v>1987</v>
      </c>
      <c r="B275" s="808" t="s">
        <v>2340</v>
      </c>
      <c r="C275" s="809">
        <v>29600000</v>
      </c>
      <c r="D275" s="808" t="s">
        <v>1866</v>
      </c>
      <c r="E275" s="808" t="s">
        <v>1866</v>
      </c>
      <c r="F275" s="808" t="s">
        <v>1989</v>
      </c>
      <c r="G275" s="808" t="s">
        <v>1990</v>
      </c>
      <c r="H275" s="808" t="s">
        <v>1991</v>
      </c>
      <c r="I275" s="808" t="s">
        <v>1992</v>
      </c>
      <c r="J275" s="810">
        <v>29600000</v>
      </c>
      <c r="K275" s="808" t="s">
        <v>1993</v>
      </c>
      <c r="L275" s="808" t="s">
        <v>1177</v>
      </c>
      <c r="M275" s="808" t="s">
        <v>1973</v>
      </c>
      <c r="N275" s="808" t="s">
        <v>1973</v>
      </c>
      <c r="O275" s="808" t="s">
        <v>1994</v>
      </c>
      <c r="P275" s="808" t="s">
        <v>1995</v>
      </c>
      <c r="Q275" s="808" t="s">
        <v>1996</v>
      </c>
    </row>
    <row r="276" spans="1:17" x14ac:dyDescent="0.25">
      <c r="A276" s="808" t="s">
        <v>1987</v>
      </c>
      <c r="B276" s="808" t="s">
        <v>2341</v>
      </c>
      <c r="C276" s="809">
        <v>28800000</v>
      </c>
      <c r="D276" s="808" t="s">
        <v>1866</v>
      </c>
      <c r="E276" s="808" t="s">
        <v>1866</v>
      </c>
      <c r="F276" s="808" t="s">
        <v>1989</v>
      </c>
      <c r="G276" s="808" t="s">
        <v>1990</v>
      </c>
      <c r="H276" s="808" t="s">
        <v>1991</v>
      </c>
      <c r="I276" s="808" t="s">
        <v>1992</v>
      </c>
      <c r="J276" s="810">
        <v>28800000</v>
      </c>
      <c r="K276" s="808" t="s">
        <v>1993</v>
      </c>
      <c r="L276" s="808" t="s">
        <v>1177</v>
      </c>
      <c r="M276" s="808" t="s">
        <v>1973</v>
      </c>
      <c r="N276" s="808" t="s">
        <v>1973</v>
      </c>
      <c r="O276" s="808" t="s">
        <v>1994</v>
      </c>
      <c r="P276" s="808" t="s">
        <v>1995</v>
      </c>
      <c r="Q276" s="808" t="s">
        <v>1996</v>
      </c>
    </row>
    <row r="277" spans="1:17" x14ac:dyDescent="0.25">
      <c r="A277" s="808" t="s">
        <v>1987</v>
      </c>
      <c r="B277" s="808" t="s">
        <v>2342</v>
      </c>
      <c r="C277" s="809">
        <v>28800000</v>
      </c>
      <c r="D277" s="808" t="s">
        <v>1866</v>
      </c>
      <c r="E277" s="808" t="s">
        <v>1866</v>
      </c>
      <c r="F277" s="808" t="s">
        <v>1989</v>
      </c>
      <c r="G277" s="808" t="s">
        <v>1990</v>
      </c>
      <c r="H277" s="808" t="s">
        <v>1991</v>
      </c>
      <c r="I277" s="808" t="s">
        <v>1992</v>
      </c>
      <c r="J277" s="810">
        <v>28800000</v>
      </c>
      <c r="K277" s="808" t="s">
        <v>1993</v>
      </c>
      <c r="L277" s="808" t="s">
        <v>1177</v>
      </c>
      <c r="M277" s="808" t="s">
        <v>1973</v>
      </c>
      <c r="N277" s="808" t="s">
        <v>1973</v>
      </c>
      <c r="O277" s="808" t="s">
        <v>1994</v>
      </c>
      <c r="P277" s="808" t="s">
        <v>1995</v>
      </c>
      <c r="Q277" s="808" t="s">
        <v>1996</v>
      </c>
    </row>
    <row r="278" spans="1:17" x14ac:dyDescent="0.25">
      <c r="A278" s="808" t="s">
        <v>1987</v>
      </c>
      <c r="B278" s="808" t="s">
        <v>2343</v>
      </c>
      <c r="C278" s="809">
        <v>28800000</v>
      </c>
      <c r="D278" s="808" t="s">
        <v>1866</v>
      </c>
      <c r="E278" s="808" t="s">
        <v>1866</v>
      </c>
      <c r="F278" s="808" t="s">
        <v>2077</v>
      </c>
      <c r="G278" s="808" t="s">
        <v>1990</v>
      </c>
      <c r="H278" s="808" t="s">
        <v>1991</v>
      </c>
      <c r="I278" s="808" t="s">
        <v>1992</v>
      </c>
      <c r="J278" s="810">
        <v>28800000</v>
      </c>
      <c r="K278" s="808" t="s">
        <v>1993</v>
      </c>
      <c r="L278" s="808" t="s">
        <v>1177</v>
      </c>
      <c r="M278" s="808" t="s">
        <v>1973</v>
      </c>
      <c r="N278" s="808" t="s">
        <v>1973</v>
      </c>
      <c r="O278" s="808" t="s">
        <v>1994</v>
      </c>
      <c r="P278" s="808" t="s">
        <v>1995</v>
      </c>
      <c r="Q278" s="808" t="s">
        <v>1996</v>
      </c>
    </row>
    <row r="279" spans="1:17" x14ac:dyDescent="0.25">
      <c r="A279" s="808" t="s">
        <v>1987</v>
      </c>
      <c r="B279" s="808" t="s">
        <v>2344</v>
      </c>
      <c r="C279" s="809">
        <v>16000000</v>
      </c>
      <c r="D279" s="808" t="s">
        <v>1866</v>
      </c>
      <c r="E279" s="808" t="s">
        <v>1866</v>
      </c>
      <c r="F279" s="808" t="s">
        <v>2056</v>
      </c>
      <c r="G279" s="808" t="s">
        <v>1990</v>
      </c>
      <c r="H279" s="808" t="s">
        <v>1991</v>
      </c>
      <c r="I279" s="808" t="s">
        <v>1992</v>
      </c>
      <c r="J279" s="810">
        <v>16000000</v>
      </c>
      <c r="K279" s="808" t="s">
        <v>1993</v>
      </c>
      <c r="L279" s="808" t="s">
        <v>1177</v>
      </c>
      <c r="M279" s="808" t="s">
        <v>1973</v>
      </c>
      <c r="N279" s="808" t="s">
        <v>1973</v>
      </c>
      <c r="O279" s="808" t="s">
        <v>2345</v>
      </c>
      <c r="P279" s="808" t="s">
        <v>1995</v>
      </c>
      <c r="Q279" s="808" t="s">
        <v>2318</v>
      </c>
    </row>
    <row r="280" spans="1:17" x14ac:dyDescent="0.25">
      <c r="A280" s="808" t="s">
        <v>1987</v>
      </c>
      <c r="B280" s="808" t="s">
        <v>2346</v>
      </c>
      <c r="C280" s="809">
        <v>36000000</v>
      </c>
      <c r="D280" s="808" t="s">
        <v>1866</v>
      </c>
      <c r="E280" s="808" t="s">
        <v>1866</v>
      </c>
      <c r="F280" s="808" t="s">
        <v>2000</v>
      </c>
      <c r="G280" s="808" t="s">
        <v>1990</v>
      </c>
      <c r="H280" s="808" t="s">
        <v>1991</v>
      </c>
      <c r="I280" s="808" t="s">
        <v>1992</v>
      </c>
      <c r="J280" s="810">
        <v>36000000</v>
      </c>
      <c r="K280" s="808" t="s">
        <v>1993</v>
      </c>
      <c r="L280" s="808" t="s">
        <v>1177</v>
      </c>
      <c r="M280" s="808" t="s">
        <v>1973</v>
      </c>
      <c r="N280" s="808" t="s">
        <v>1973</v>
      </c>
      <c r="O280" s="808" t="s">
        <v>2042</v>
      </c>
      <c r="P280" s="808" t="s">
        <v>1995</v>
      </c>
      <c r="Q280" s="808" t="s">
        <v>2043</v>
      </c>
    </row>
    <row r="281" spans="1:17" x14ac:dyDescent="0.25">
      <c r="A281" s="808" t="s">
        <v>1987</v>
      </c>
      <c r="B281" s="808" t="s">
        <v>2347</v>
      </c>
      <c r="C281" s="809">
        <v>48000000</v>
      </c>
      <c r="D281" s="808" t="s">
        <v>1749</v>
      </c>
      <c r="E281" s="808" t="s">
        <v>1749</v>
      </c>
      <c r="F281" s="808" t="s">
        <v>2000</v>
      </c>
      <c r="G281" s="808" t="s">
        <v>1990</v>
      </c>
      <c r="H281" s="808" t="s">
        <v>1991</v>
      </c>
      <c r="I281" s="808" t="s">
        <v>1992</v>
      </c>
      <c r="J281" s="810">
        <v>48000000</v>
      </c>
      <c r="K281" s="808" t="s">
        <v>1993</v>
      </c>
      <c r="L281" s="808" t="s">
        <v>1177</v>
      </c>
      <c r="M281" s="808" t="s">
        <v>1973</v>
      </c>
      <c r="N281" s="808" t="s">
        <v>1973</v>
      </c>
      <c r="O281" s="808" t="s">
        <v>2067</v>
      </c>
      <c r="P281" s="808" t="s">
        <v>1995</v>
      </c>
      <c r="Q281" s="808" t="s">
        <v>2002</v>
      </c>
    </row>
    <row r="282" spans="1:17" x14ac:dyDescent="0.25">
      <c r="A282" s="808" t="s">
        <v>1987</v>
      </c>
      <c r="B282" s="808" t="s">
        <v>2348</v>
      </c>
      <c r="C282" s="809">
        <v>24000000</v>
      </c>
      <c r="D282" s="808" t="s">
        <v>1749</v>
      </c>
      <c r="E282" s="808" t="s">
        <v>1749</v>
      </c>
      <c r="F282" s="808" t="s">
        <v>2000</v>
      </c>
      <c r="G282" s="808" t="s">
        <v>1990</v>
      </c>
      <c r="H282" s="808" t="s">
        <v>1991</v>
      </c>
      <c r="I282" s="808" t="s">
        <v>1992</v>
      </c>
      <c r="J282" s="810">
        <v>24000000</v>
      </c>
      <c r="K282" s="808" t="s">
        <v>1993</v>
      </c>
      <c r="L282" s="808" t="s">
        <v>1177</v>
      </c>
      <c r="M282" s="808" t="s">
        <v>1973</v>
      </c>
      <c r="N282" s="808" t="s">
        <v>1973</v>
      </c>
      <c r="O282" s="808" t="s">
        <v>2067</v>
      </c>
      <c r="P282" s="808" t="s">
        <v>1995</v>
      </c>
      <c r="Q282" s="808" t="s">
        <v>2002</v>
      </c>
    </row>
    <row r="283" spans="1:17" x14ac:dyDescent="0.25">
      <c r="A283" s="808" t="s">
        <v>1987</v>
      </c>
      <c r="B283" s="808" t="s">
        <v>2349</v>
      </c>
      <c r="C283" s="809">
        <v>24000000</v>
      </c>
      <c r="D283" s="808" t="s">
        <v>1749</v>
      </c>
      <c r="E283" s="808" t="s">
        <v>1749</v>
      </c>
      <c r="F283" s="808" t="s">
        <v>2000</v>
      </c>
      <c r="G283" s="808" t="s">
        <v>1990</v>
      </c>
      <c r="H283" s="808" t="s">
        <v>1991</v>
      </c>
      <c r="I283" s="808" t="s">
        <v>1992</v>
      </c>
      <c r="J283" s="810">
        <v>24000000</v>
      </c>
      <c r="K283" s="808" t="s">
        <v>1993</v>
      </c>
      <c r="L283" s="808" t="s">
        <v>1177</v>
      </c>
      <c r="M283" s="808" t="s">
        <v>1973</v>
      </c>
      <c r="N283" s="808" t="s">
        <v>1973</v>
      </c>
      <c r="O283" s="808" t="s">
        <v>2067</v>
      </c>
      <c r="P283" s="808" t="s">
        <v>1995</v>
      </c>
      <c r="Q283" s="808" t="s">
        <v>2002</v>
      </c>
    </row>
    <row r="284" spans="1:17" x14ac:dyDescent="0.25">
      <c r="A284" s="808" t="s">
        <v>1987</v>
      </c>
      <c r="B284" s="808" t="s">
        <v>2350</v>
      </c>
      <c r="C284" s="809">
        <v>24000000</v>
      </c>
      <c r="D284" s="808" t="s">
        <v>1749</v>
      </c>
      <c r="E284" s="808" t="s">
        <v>1749</v>
      </c>
      <c r="F284" s="808" t="s">
        <v>2000</v>
      </c>
      <c r="G284" s="808" t="s">
        <v>1990</v>
      </c>
      <c r="H284" s="808" t="s">
        <v>1991</v>
      </c>
      <c r="I284" s="808" t="s">
        <v>1992</v>
      </c>
      <c r="J284" s="810">
        <v>24000000</v>
      </c>
      <c r="K284" s="808" t="s">
        <v>1993</v>
      </c>
      <c r="L284" s="808" t="s">
        <v>1177</v>
      </c>
      <c r="M284" s="808" t="s">
        <v>1973</v>
      </c>
      <c r="N284" s="808" t="s">
        <v>1973</v>
      </c>
      <c r="O284" s="808" t="s">
        <v>2067</v>
      </c>
      <c r="P284" s="808" t="s">
        <v>1995</v>
      </c>
      <c r="Q284" s="808" t="s">
        <v>2002</v>
      </c>
    </row>
    <row r="285" spans="1:17" x14ac:dyDescent="0.25">
      <c r="A285" s="808" t="s">
        <v>1987</v>
      </c>
      <c r="B285" s="808" t="s">
        <v>2351</v>
      </c>
      <c r="C285" s="809">
        <v>34850000</v>
      </c>
      <c r="D285" s="808" t="s">
        <v>1866</v>
      </c>
      <c r="E285" s="808" t="s">
        <v>1866</v>
      </c>
      <c r="F285" s="808" t="s">
        <v>2004</v>
      </c>
      <c r="G285" s="808" t="s">
        <v>1990</v>
      </c>
      <c r="H285" s="808" t="s">
        <v>1991</v>
      </c>
      <c r="I285" s="808" t="s">
        <v>1992</v>
      </c>
      <c r="J285" s="810">
        <v>34850000</v>
      </c>
      <c r="K285" s="808" t="s">
        <v>1993</v>
      </c>
      <c r="L285" s="808" t="s">
        <v>1177</v>
      </c>
      <c r="M285" s="808" t="s">
        <v>1973</v>
      </c>
      <c r="N285" s="808" t="s">
        <v>1973</v>
      </c>
      <c r="O285" s="808" t="s">
        <v>2005</v>
      </c>
      <c r="P285" s="808" t="s">
        <v>1995</v>
      </c>
      <c r="Q285" s="808" t="s">
        <v>2006</v>
      </c>
    </row>
    <row r="286" spans="1:17" x14ac:dyDescent="0.25">
      <c r="A286" s="808" t="s">
        <v>1987</v>
      </c>
      <c r="B286" s="808" t="s">
        <v>2352</v>
      </c>
      <c r="C286" s="809">
        <v>34850000</v>
      </c>
      <c r="D286" s="808" t="s">
        <v>1866</v>
      </c>
      <c r="E286" s="808" t="s">
        <v>1866</v>
      </c>
      <c r="F286" s="808" t="s">
        <v>2004</v>
      </c>
      <c r="G286" s="808" t="s">
        <v>1990</v>
      </c>
      <c r="H286" s="808" t="s">
        <v>1991</v>
      </c>
      <c r="I286" s="808" t="s">
        <v>1992</v>
      </c>
      <c r="J286" s="810">
        <v>34850000</v>
      </c>
      <c r="K286" s="808" t="s">
        <v>1993</v>
      </c>
      <c r="L286" s="808" t="s">
        <v>1177</v>
      </c>
      <c r="M286" s="808" t="s">
        <v>1973</v>
      </c>
      <c r="N286" s="808" t="s">
        <v>1973</v>
      </c>
      <c r="O286" s="808" t="s">
        <v>2005</v>
      </c>
      <c r="P286" s="808" t="s">
        <v>1995</v>
      </c>
      <c r="Q286" s="808" t="s">
        <v>2006</v>
      </c>
    </row>
    <row r="287" spans="1:17" x14ac:dyDescent="0.25">
      <c r="A287" s="808" t="s">
        <v>1987</v>
      </c>
      <c r="B287" s="808" t="s">
        <v>2353</v>
      </c>
      <c r="C287" s="809">
        <v>58300000</v>
      </c>
      <c r="D287" s="808" t="s">
        <v>1753</v>
      </c>
      <c r="E287" s="808" t="s">
        <v>1753</v>
      </c>
      <c r="F287" s="808" t="s">
        <v>2027</v>
      </c>
      <c r="G287" s="808" t="s">
        <v>1990</v>
      </c>
      <c r="H287" s="808" t="s">
        <v>1991</v>
      </c>
      <c r="I287" s="808" t="s">
        <v>1992</v>
      </c>
      <c r="J287" s="810">
        <v>58300000</v>
      </c>
      <c r="K287" s="808" t="s">
        <v>1993</v>
      </c>
      <c r="L287" s="808" t="s">
        <v>1177</v>
      </c>
      <c r="M287" s="808" t="s">
        <v>1973</v>
      </c>
      <c r="N287" s="808" t="s">
        <v>1973</v>
      </c>
      <c r="O287" s="808" t="s">
        <v>2097</v>
      </c>
      <c r="P287" s="808" t="s">
        <v>2098</v>
      </c>
      <c r="Q287" s="808" t="s">
        <v>1996</v>
      </c>
    </row>
    <row r="288" spans="1:17" x14ac:dyDescent="0.25">
      <c r="A288" s="808" t="s">
        <v>1987</v>
      </c>
      <c r="B288" s="808" t="s">
        <v>2354</v>
      </c>
      <c r="C288" s="809">
        <v>64900000</v>
      </c>
      <c r="D288" s="808" t="s">
        <v>1753</v>
      </c>
      <c r="E288" s="808" t="s">
        <v>1753</v>
      </c>
      <c r="F288" s="808" t="s">
        <v>2027</v>
      </c>
      <c r="G288" s="808" t="s">
        <v>1990</v>
      </c>
      <c r="H288" s="808" t="s">
        <v>1991</v>
      </c>
      <c r="I288" s="808" t="s">
        <v>1992</v>
      </c>
      <c r="J288" s="810">
        <v>64900000</v>
      </c>
      <c r="K288" s="808" t="s">
        <v>1993</v>
      </c>
      <c r="L288" s="808" t="s">
        <v>1177</v>
      </c>
      <c r="M288" s="808" t="s">
        <v>1973</v>
      </c>
      <c r="N288" s="808" t="s">
        <v>1973</v>
      </c>
      <c r="O288" s="808" t="s">
        <v>2097</v>
      </c>
      <c r="P288" s="808" t="s">
        <v>2098</v>
      </c>
      <c r="Q288" s="808" t="s">
        <v>1996</v>
      </c>
    </row>
    <row r="289" spans="1:17" x14ac:dyDescent="0.25">
      <c r="A289" s="808" t="s">
        <v>1987</v>
      </c>
      <c r="B289" s="808" t="s">
        <v>2355</v>
      </c>
      <c r="C289" s="809">
        <v>44000000</v>
      </c>
      <c r="D289" s="808" t="s">
        <v>1753</v>
      </c>
      <c r="E289" s="808" t="s">
        <v>1753</v>
      </c>
      <c r="F289" s="808" t="s">
        <v>2027</v>
      </c>
      <c r="G289" s="808" t="s">
        <v>1990</v>
      </c>
      <c r="H289" s="808" t="s">
        <v>1991</v>
      </c>
      <c r="I289" s="808" t="s">
        <v>1992</v>
      </c>
      <c r="J289" s="810">
        <v>44000000</v>
      </c>
      <c r="K289" s="808" t="s">
        <v>1993</v>
      </c>
      <c r="L289" s="808" t="s">
        <v>1177</v>
      </c>
      <c r="M289" s="808" t="s">
        <v>1973</v>
      </c>
      <c r="N289" s="808" t="s">
        <v>1973</v>
      </c>
      <c r="O289" s="808" t="s">
        <v>2097</v>
      </c>
      <c r="P289" s="808" t="s">
        <v>2098</v>
      </c>
      <c r="Q289" s="808" t="s">
        <v>1996</v>
      </c>
    </row>
    <row r="290" spans="1:17" x14ac:dyDescent="0.25">
      <c r="A290" s="808" t="s">
        <v>1987</v>
      </c>
      <c r="B290" s="808" t="s">
        <v>2356</v>
      </c>
      <c r="C290" s="809">
        <v>64900000</v>
      </c>
      <c r="D290" s="808" t="s">
        <v>1753</v>
      </c>
      <c r="E290" s="808" t="s">
        <v>1753</v>
      </c>
      <c r="F290" s="808" t="s">
        <v>2027</v>
      </c>
      <c r="G290" s="808" t="s">
        <v>1990</v>
      </c>
      <c r="H290" s="808" t="s">
        <v>1991</v>
      </c>
      <c r="I290" s="808" t="s">
        <v>1992</v>
      </c>
      <c r="J290" s="810">
        <v>64900000</v>
      </c>
      <c r="K290" s="808" t="s">
        <v>1993</v>
      </c>
      <c r="L290" s="808" t="s">
        <v>1177</v>
      </c>
      <c r="M290" s="808" t="s">
        <v>1973</v>
      </c>
      <c r="N290" s="808" t="s">
        <v>1973</v>
      </c>
      <c r="O290" s="808" t="s">
        <v>2097</v>
      </c>
      <c r="P290" s="808" t="s">
        <v>2098</v>
      </c>
      <c r="Q290" s="808" t="s">
        <v>1996</v>
      </c>
    </row>
    <row r="291" spans="1:17" x14ac:dyDescent="0.25">
      <c r="A291" s="808" t="s">
        <v>1987</v>
      </c>
      <c r="B291" s="808" t="s">
        <v>2357</v>
      </c>
      <c r="C291" s="809">
        <v>64900000</v>
      </c>
      <c r="D291" s="808" t="s">
        <v>1753</v>
      </c>
      <c r="E291" s="808" t="s">
        <v>1753</v>
      </c>
      <c r="F291" s="808" t="s">
        <v>2027</v>
      </c>
      <c r="G291" s="808" t="s">
        <v>1990</v>
      </c>
      <c r="H291" s="808" t="s">
        <v>1991</v>
      </c>
      <c r="I291" s="808" t="s">
        <v>1992</v>
      </c>
      <c r="J291" s="810">
        <v>64900000</v>
      </c>
      <c r="K291" s="808" t="s">
        <v>1993</v>
      </c>
      <c r="L291" s="808" t="s">
        <v>1177</v>
      </c>
      <c r="M291" s="808" t="s">
        <v>1973</v>
      </c>
      <c r="N291" s="808" t="s">
        <v>1973</v>
      </c>
      <c r="O291" s="808" t="s">
        <v>2097</v>
      </c>
      <c r="P291" s="808" t="s">
        <v>2098</v>
      </c>
      <c r="Q291" s="808" t="s">
        <v>1996</v>
      </c>
    </row>
    <row r="292" spans="1:17" x14ac:dyDescent="0.25">
      <c r="A292" s="808" t="s">
        <v>1987</v>
      </c>
      <c r="B292" s="808" t="s">
        <v>2358</v>
      </c>
      <c r="C292" s="809">
        <v>70800000</v>
      </c>
      <c r="D292" s="808" t="s">
        <v>1743</v>
      </c>
      <c r="E292" s="808" t="s">
        <v>1743</v>
      </c>
      <c r="F292" s="808" t="s">
        <v>2010</v>
      </c>
      <c r="G292" s="808" t="s">
        <v>1990</v>
      </c>
      <c r="H292" s="808" t="s">
        <v>1991</v>
      </c>
      <c r="I292" s="808" t="s">
        <v>1992</v>
      </c>
      <c r="J292" s="810">
        <v>70800000</v>
      </c>
      <c r="K292" s="808" t="s">
        <v>1993</v>
      </c>
      <c r="L292" s="808" t="s">
        <v>1177</v>
      </c>
      <c r="M292" s="808" t="s">
        <v>1973</v>
      </c>
      <c r="N292" s="808" t="s">
        <v>1973</v>
      </c>
      <c r="O292" s="808" t="s">
        <v>2097</v>
      </c>
      <c r="P292" s="808" t="s">
        <v>2098</v>
      </c>
      <c r="Q292" s="808" t="s">
        <v>1996</v>
      </c>
    </row>
    <row r="293" spans="1:17" x14ac:dyDescent="0.25">
      <c r="A293" s="808" t="s">
        <v>1987</v>
      </c>
      <c r="B293" s="808" t="s">
        <v>2359</v>
      </c>
      <c r="C293" s="809">
        <v>28600000</v>
      </c>
      <c r="D293" s="808" t="s">
        <v>1753</v>
      </c>
      <c r="E293" s="808" t="s">
        <v>1753</v>
      </c>
      <c r="F293" s="808" t="s">
        <v>2027</v>
      </c>
      <c r="G293" s="808" t="s">
        <v>1990</v>
      </c>
      <c r="H293" s="808" t="s">
        <v>1991</v>
      </c>
      <c r="I293" s="808" t="s">
        <v>1992</v>
      </c>
      <c r="J293" s="810">
        <v>28600000</v>
      </c>
      <c r="K293" s="808" t="s">
        <v>1993</v>
      </c>
      <c r="L293" s="808" t="s">
        <v>1177</v>
      </c>
      <c r="M293" s="808" t="s">
        <v>1973</v>
      </c>
      <c r="N293" s="808" t="s">
        <v>1973</v>
      </c>
      <c r="O293" s="808" t="s">
        <v>2097</v>
      </c>
      <c r="P293" s="808" t="s">
        <v>2098</v>
      </c>
      <c r="Q293" s="808" t="s">
        <v>1996</v>
      </c>
    </row>
    <row r="294" spans="1:17" x14ac:dyDescent="0.25">
      <c r="A294" s="808" t="s">
        <v>1987</v>
      </c>
      <c r="B294" s="808" t="s">
        <v>2026</v>
      </c>
      <c r="C294" s="809">
        <v>44330000</v>
      </c>
      <c r="D294" s="808" t="s">
        <v>1753</v>
      </c>
      <c r="E294" s="808" t="s">
        <v>1753</v>
      </c>
      <c r="F294" s="808" t="s">
        <v>2010</v>
      </c>
      <c r="G294" s="808" t="s">
        <v>1990</v>
      </c>
      <c r="H294" s="808" t="s">
        <v>1991</v>
      </c>
      <c r="I294" s="808" t="s">
        <v>1992</v>
      </c>
      <c r="J294" s="810">
        <v>44330000</v>
      </c>
      <c r="K294" s="808" t="s">
        <v>1993</v>
      </c>
      <c r="L294" s="808" t="s">
        <v>1177</v>
      </c>
      <c r="M294" s="808" t="s">
        <v>1973</v>
      </c>
      <c r="N294" s="808" t="s">
        <v>1973</v>
      </c>
      <c r="O294" s="808" t="s">
        <v>2097</v>
      </c>
      <c r="P294" s="808" t="s">
        <v>2098</v>
      </c>
      <c r="Q294" s="808" t="s">
        <v>1996</v>
      </c>
    </row>
    <row r="295" spans="1:17" x14ac:dyDescent="0.25">
      <c r="A295" s="808" t="s">
        <v>1987</v>
      </c>
      <c r="B295" s="808" t="s">
        <v>2360</v>
      </c>
      <c r="C295" s="809">
        <v>77000000</v>
      </c>
      <c r="D295" s="808" t="s">
        <v>1753</v>
      </c>
      <c r="E295" s="808" t="s">
        <v>1753</v>
      </c>
      <c r="F295" s="808" t="s">
        <v>2027</v>
      </c>
      <c r="G295" s="808" t="s">
        <v>1990</v>
      </c>
      <c r="H295" s="808" t="s">
        <v>1991</v>
      </c>
      <c r="I295" s="808" t="s">
        <v>1992</v>
      </c>
      <c r="J295" s="810">
        <v>77000000</v>
      </c>
      <c r="K295" s="808" t="s">
        <v>1993</v>
      </c>
      <c r="L295" s="808" t="s">
        <v>1177</v>
      </c>
      <c r="M295" s="808" t="s">
        <v>1973</v>
      </c>
      <c r="N295" s="808" t="s">
        <v>1973</v>
      </c>
      <c r="O295" s="808" t="s">
        <v>2097</v>
      </c>
      <c r="P295" s="808" t="s">
        <v>2098</v>
      </c>
      <c r="Q295" s="808" t="s">
        <v>1996</v>
      </c>
    </row>
    <row r="296" spans="1:17" x14ac:dyDescent="0.25">
      <c r="A296" s="808" t="s">
        <v>1987</v>
      </c>
      <c r="B296" s="808" t="s">
        <v>2025</v>
      </c>
      <c r="C296" s="809">
        <v>58300000</v>
      </c>
      <c r="D296" s="808" t="s">
        <v>1753</v>
      </c>
      <c r="E296" s="808" t="s">
        <v>1753</v>
      </c>
      <c r="F296" s="808" t="s">
        <v>2010</v>
      </c>
      <c r="G296" s="808" t="s">
        <v>1990</v>
      </c>
      <c r="H296" s="808" t="s">
        <v>1991</v>
      </c>
      <c r="I296" s="808" t="s">
        <v>1992</v>
      </c>
      <c r="J296" s="810">
        <v>58300000</v>
      </c>
      <c r="K296" s="808" t="s">
        <v>1993</v>
      </c>
      <c r="L296" s="808" t="s">
        <v>1177</v>
      </c>
      <c r="M296" s="808" t="s">
        <v>1973</v>
      </c>
      <c r="N296" s="808" t="s">
        <v>1973</v>
      </c>
      <c r="O296" s="808" t="s">
        <v>2097</v>
      </c>
      <c r="P296" s="808" t="s">
        <v>2098</v>
      </c>
      <c r="Q296" s="808" t="s">
        <v>1996</v>
      </c>
    </row>
    <row r="297" spans="1:17" x14ac:dyDescent="0.25">
      <c r="A297" s="808" t="s">
        <v>1987</v>
      </c>
      <c r="B297" s="808" t="s">
        <v>2314</v>
      </c>
      <c r="C297" s="809">
        <v>44000000</v>
      </c>
      <c r="D297" s="808" t="s">
        <v>1753</v>
      </c>
      <c r="E297" s="808" t="s">
        <v>1753</v>
      </c>
      <c r="F297" s="808" t="s">
        <v>2010</v>
      </c>
      <c r="G297" s="808" t="s">
        <v>1990</v>
      </c>
      <c r="H297" s="808" t="s">
        <v>1991</v>
      </c>
      <c r="I297" s="808" t="s">
        <v>1992</v>
      </c>
      <c r="J297" s="810">
        <v>44000000</v>
      </c>
      <c r="K297" s="808" t="s">
        <v>1993</v>
      </c>
      <c r="L297" s="808" t="s">
        <v>1177</v>
      </c>
      <c r="M297" s="808" t="s">
        <v>1973</v>
      </c>
      <c r="N297" s="808" t="s">
        <v>1973</v>
      </c>
      <c r="O297" s="808" t="s">
        <v>2097</v>
      </c>
      <c r="P297" s="808" t="s">
        <v>2098</v>
      </c>
      <c r="Q297" s="808" t="s">
        <v>1996</v>
      </c>
    </row>
    <row r="298" spans="1:17" x14ac:dyDescent="0.25">
      <c r="A298" s="808" t="s">
        <v>1987</v>
      </c>
      <c r="B298" s="808" t="s">
        <v>2025</v>
      </c>
      <c r="C298" s="809">
        <v>43780000</v>
      </c>
      <c r="D298" s="808" t="s">
        <v>1753</v>
      </c>
      <c r="E298" s="808" t="s">
        <v>1753</v>
      </c>
      <c r="F298" s="808" t="s">
        <v>2010</v>
      </c>
      <c r="G298" s="808" t="s">
        <v>1990</v>
      </c>
      <c r="H298" s="808" t="s">
        <v>1991</v>
      </c>
      <c r="I298" s="808" t="s">
        <v>1992</v>
      </c>
      <c r="J298" s="810">
        <v>43780000</v>
      </c>
      <c r="K298" s="808" t="s">
        <v>1993</v>
      </c>
      <c r="L298" s="808" t="s">
        <v>1177</v>
      </c>
      <c r="M298" s="808" t="s">
        <v>1973</v>
      </c>
      <c r="N298" s="808" t="s">
        <v>1973</v>
      </c>
      <c r="O298" s="808" t="s">
        <v>2097</v>
      </c>
      <c r="P298" s="808" t="s">
        <v>2098</v>
      </c>
      <c r="Q298" s="808" t="s">
        <v>1996</v>
      </c>
    </row>
    <row r="299" spans="1:17" x14ac:dyDescent="0.25">
      <c r="A299" s="808" t="s">
        <v>1987</v>
      </c>
      <c r="B299" s="808" t="s">
        <v>2361</v>
      </c>
      <c r="C299" s="809">
        <v>64900000</v>
      </c>
      <c r="D299" s="808" t="s">
        <v>1753</v>
      </c>
      <c r="E299" s="808" t="s">
        <v>1753</v>
      </c>
      <c r="F299" s="808" t="s">
        <v>2010</v>
      </c>
      <c r="G299" s="808" t="s">
        <v>1990</v>
      </c>
      <c r="H299" s="808" t="s">
        <v>1991</v>
      </c>
      <c r="I299" s="808" t="s">
        <v>1992</v>
      </c>
      <c r="J299" s="810">
        <v>64900000</v>
      </c>
      <c r="K299" s="808" t="s">
        <v>1993</v>
      </c>
      <c r="L299" s="808" t="s">
        <v>1177</v>
      </c>
      <c r="M299" s="808" t="s">
        <v>1973</v>
      </c>
      <c r="N299" s="808" t="s">
        <v>1973</v>
      </c>
      <c r="O299" s="808" t="s">
        <v>2097</v>
      </c>
      <c r="P299" s="808" t="s">
        <v>2098</v>
      </c>
      <c r="Q299" s="808" t="s">
        <v>1996</v>
      </c>
    </row>
    <row r="300" spans="1:17" x14ac:dyDescent="0.25">
      <c r="A300" s="808" t="s">
        <v>1987</v>
      </c>
      <c r="B300" s="808" t="s">
        <v>2026</v>
      </c>
      <c r="C300" s="809">
        <v>58300000</v>
      </c>
      <c r="D300" s="808" t="s">
        <v>1753</v>
      </c>
      <c r="E300" s="808" t="s">
        <v>1753</v>
      </c>
      <c r="F300" s="808" t="s">
        <v>2027</v>
      </c>
      <c r="G300" s="808" t="s">
        <v>1990</v>
      </c>
      <c r="H300" s="808" t="s">
        <v>1991</v>
      </c>
      <c r="I300" s="808" t="s">
        <v>1992</v>
      </c>
      <c r="J300" s="810">
        <v>58300000</v>
      </c>
      <c r="K300" s="808" t="s">
        <v>1993</v>
      </c>
      <c r="L300" s="808" t="s">
        <v>1177</v>
      </c>
      <c r="M300" s="808" t="s">
        <v>1973</v>
      </c>
      <c r="N300" s="808" t="s">
        <v>1973</v>
      </c>
      <c r="O300" s="808" t="s">
        <v>2097</v>
      </c>
      <c r="P300" s="808" t="s">
        <v>2098</v>
      </c>
      <c r="Q300" s="808" t="s">
        <v>1996</v>
      </c>
    </row>
    <row r="301" spans="1:17" x14ac:dyDescent="0.25">
      <c r="A301" s="808" t="s">
        <v>1987</v>
      </c>
      <c r="B301" s="808" t="s">
        <v>2362</v>
      </c>
      <c r="C301" s="809">
        <v>88320000</v>
      </c>
      <c r="D301" s="808" t="s">
        <v>1753</v>
      </c>
      <c r="E301" s="808" t="s">
        <v>1753</v>
      </c>
      <c r="F301" s="808" t="s">
        <v>2027</v>
      </c>
      <c r="G301" s="808" t="s">
        <v>1990</v>
      </c>
      <c r="H301" s="808" t="s">
        <v>1991</v>
      </c>
      <c r="I301" s="808" t="s">
        <v>1992</v>
      </c>
      <c r="J301" s="810">
        <v>88320000</v>
      </c>
      <c r="K301" s="808" t="s">
        <v>1993</v>
      </c>
      <c r="L301" s="808" t="s">
        <v>1177</v>
      </c>
      <c r="M301" s="808" t="s">
        <v>1973</v>
      </c>
      <c r="N301" s="808" t="s">
        <v>1973</v>
      </c>
      <c r="O301" s="808" t="s">
        <v>2097</v>
      </c>
      <c r="P301" s="808" t="s">
        <v>2098</v>
      </c>
      <c r="Q301" s="808" t="s">
        <v>1996</v>
      </c>
    </row>
    <row r="302" spans="1:17" x14ac:dyDescent="0.25">
      <c r="A302" s="808" t="s">
        <v>1987</v>
      </c>
      <c r="B302" s="808" t="s">
        <v>2363</v>
      </c>
      <c r="C302" s="809">
        <v>33000000</v>
      </c>
      <c r="D302" s="808" t="s">
        <v>1749</v>
      </c>
      <c r="E302" s="808" t="s">
        <v>1749</v>
      </c>
      <c r="F302" s="808" t="s">
        <v>2027</v>
      </c>
      <c r="G302" s="808" t="s">
        <v>1990</v>
      </c>
      <c r="H302" s="808" t="s">
        <v>1991</v>
      </c>
      <c r="I302" s="808" t="s">
        <v>1992</v>
      </c>
      <c r="J302" s="810">
        <v>33000000</v>
      </c>
      <c r="K302" s="808" t="s">
        <v>1993</v>
      </c>
      <c r="L302" s="808" t="s">
        <v>1177</v>
      </c>
      <c r="M302" s="808" t="s">
        <v>1973</v>
      </c>
      <c r="N302" s="808" t="s">
        <v>1973</v>
      </c>
      <c r="O302" s="808" t="s">
        <v>2097</v>
      </c>
      <c r="P302" s="808" t="s">
        <v>2098</v>
      </c>
      <c r="Q302" s="808" t="s">
        <v>1996</v>
      </c>
    </row>
    <row r="303" spans="1:17" x14ac:dyDescent="0.25">
      <c r="A303" s="808" t="s">
        <v>1987</v>
      </c>
      <c r="B303" s="808" t="s">
        <v>2364</v>
      </c>
      <c r="C303" s="809">
        <v>33000000</v>
      </c>
      <c r="D303" s="808" t="s">
        <v>1749</v>
      </c>
      <c r="E303" s="808" t="s">
        <v>1749</v>
      </c>
      <c r="F303" s="808" t="s">
        <v>2027</v>
      </c>
      <c r="G303" s="808" t="s">
        <v>1990</v>
      </c>
      <c r="H303" s="808" t="s">
        <v>1991</v>
      </c>
      <c r="I303" s="808" t="s">
        <v>1992</v>
      </c>
      <c r="J303" s="810">
        <v>33000000</v>
      </c>
      <c r="K303" s="808" t="s">
        <v>1993</v>
      </c>
      <c r="L303" s="808" t="s">
        <v>1177</v>
      </c>
      <c r="M303" s="808" t="s">
        <v>1973</v>
      </c>
      <c r="N303" s="808" t="s">
        <v>1973</v>
      </c>
      <c r="O303" s="808" t="s">
        <v>2097</v>
      </c>
      <c r="P303" s="808" t="s">
        <v>2098</v>
      </c>
      <c r="Q303" s="808" t="s">
        <v>1996</v>
      </c>
    </row>
    <row r="304" spans="1:17" x14ac:dyDescent="0.25">
      <c r="A304" s="808" t="s">
        <v>1987</v>
      </c>
      <c r="B304" s="808" t="s">
        <v>2365</v>
      </c>
      <c r="C304" s="809">
        <v>33000000</v>
      </c>
      <c r="D304" s="808" t="s">
        <v>1749</v>
      </c>
      <c r="E304" s="808" t="s">
        <v>1749</v>
      </c>
      <c r="F304" s="808" t="s">
        <v>2027</v>
      </c>
      <c r="G304" s="808" t="s">
        <v>1990</v>
      </c>
      <c r="H304" s="808" t="s">
        <v>1991</v>
      </c>
      <c r="I304" s="808" t="s">
        <v>1992</v>
      </c>
      <c r="J304" s="810">
        <v>33000000</v>
      </c>
      <c r="K304" s="808" t="s">
        <v>1993</v>
      </c>
      <c r="L304" s="808" t="s">
        <v>1177</v>
      </c>
      <c r="M304" s="808" t="s">
        <v>1973</v>
      </c>
      <c r="N304" s="808" t="s">
        <v>1973</v>
      </c>
      <c r="O304" s="808" t="s">
        <v>2097</v>
      </c>
      <c r="P304" s="808" t="s">
        <v>2098</v>
      </c>
      <c r="Q304" s="808" t="s">
        <v>1996</v>
      </c>
    </row>
    <row r="305" spans="1:17" x14ac:dyDescent="0.25">
      <c r="A305" s="808" t="s">
        <v>1987</v>
      </c>
      <c r="B305" s="808" t="s">
        <v>2366</v>
      </c>
      <c r="C305" s="809">
        <v>33000000</v>
      </c>
      <c r="D305" s="808" t="s">
        <v>1749</v>
      </c>
      <c r="E305" s="808" t="s">
        <v>1749</v>
      </c>
      <c r="F305" s="808" t="s">
        <v>2027</v>
      </c>
      <c r="G305" s="808" t="s">
        <v>1990</v>
      </c>
      <c r="H305" s="808" t="s">
        <v>1991</v>
      </c>
      <c r="I305" s="808" t="s">
        <v>1992</v>
      </c>
      <c r="J305" s="810">
        <v>33000000</v>
      </c>
      <c r="K305" s="808" t="s">
        <v>1993</v>
      </c>
      <c r="L305" s="808" t="s">
        <v>1177</v>
      </c>
      <c r="M305" s="808" t="s">
        <v>1973</v>
      </c>
      <c r="N305" s="808" t="s">
        <v>1973</v>
      </c>
      <c r="O305" s="808" t="s">
        <v>2097</v>
      </c>
      <c r="P305" s="808" t="s">
        <v>2098</v>
      </c>
      <c r="Q305" s="808" t="s">
        <v>1996</v>
      </c>
    </row>
    <row r="306" spans="1:17" x14ac:dyDescent="0.25">
      <c r="A306" s="808" t="s">
        <v>1987</v>
      </c>
      <c r="B306" s="808" t="s">
        <v>2367</v>
      </c>
      <c r="C306" s="809">
        <v>42260948</v>
      </c>
      <c r="D306" s="808" t="s">
        <v>1743</v>
      </c>
      <c r="E306" s="808" t="s">
        <v>1743</v>
      </c>
      <c r="F306" s="808" t="s">
        <v>2010</v>
      </c>
      <c r="G306" s="808" t="s">
        <v>1990</v>
      </c>
      <c r="H306" s="808" t="s">
        <v>1991</v>
      </c>
      <c r="I306" s="808" t="s">
        <v>1992</v>
      </c>
      <c r="J306" s="810">
        <v>42260948</v>
      </c>
      <c r="K306" s="808" t="s">
        <v>1993</v>
      </c>
      <c r="L306" s="808" t="s">
        <v>1177</v>
      </c>
      <c r="M306" s="808" t="s">
        <v>1973</v>
      </c>
      <c r="N306" s="808" t="s">
        <v>1973</v>
      </c>
      <c r="O306" s="808" t="s">
        <v>2005</v>
      </c>
      <c r="P306" s="808" t="s">
        <v>1995</v>
      </c>
      <c r="Q306" s="808" t="s">
        <v>2006</v>
      </c>
    </row>
    <row r="307" spans="1:17" x14ac:dyDescent="0.25">
      <c r="A307" s="808" t="s">
        <v>1987</v>
      </c>
      <c r="B307" s="808" t="s">
        <v>2368</v>
      </c>
      <c r="C307" s="809">
        <v>39718800</v>
      </c>
      <c r="D307" s="808" t="s">
        <v>1743</v>
      </c>
      <c r="E307" s="808" t="s">
        <v>1743</v>
      </c>
      <c r="F307" s="808" t="s">
        <v>2010</v>
      </c>
      <c r="G307" s="808" t="s">
        <v>1990</v>
      </c>
      <c r="H307" s="808" t="s">
        <v>1991</v>
      </c>
      <c r="I307" s="808" t="s">
        <v>1992</v>
      </c>
      <c r="J307" s="810">
        <v>39718800</v>
      </c>
      <c r="K307" s="808" t="s">
        <v>1993</v>
      </c>
      <c r="L307" s="808" t="s">
        <v>1177</v>
      </c>
      <c r="M307" s="808" t="s">
        <v>1973</v>
      </c>
      <c r="N307" s="808" t="s">
        <v>1973</v>
      </c>
      <c r="O307" s="808" t="s">
        <v>2005</v>
      </c>
      <c r="P307" s="808" t="s">
        <v>1995</v>
      </c>
      <c r="Q307" s="808" t="s">
        <v>2006</v>
      </c>
    </row>
    <row r="308" spans="1:17" x14ac:dyDescent="0.25">
      <c r="A308" s="808" t="s">
        <v>1987</v>
      </c>
      <c r="B308" s="808" t="s">
        <v>2369</v>
      </c>
      <c r="C308" s="809">
        <v>39975144</v>
      </c>
      <c r="D308" s="808" t="s">
        <v>1753</v>
      </c>
      <c r="E308" s="808" t="s">
        <v>1753</v>
      </c>
      <c r="F308" s="808" t="s">
        <v>1989</v>
      </c>
      <c r="G308" s="808" t="s">
        <v>1990</v>
      </c>
      <c r="H308" s="808" t="s">
        <v>1991</v>
      </c>
      <c r="I308" s="808" t="s">
        <v>1992</v>
      </c>
      <c r="J308" s="810">
        <v>39975144</v>
      </c>
      <c r="K308" s="808" t="s">
        <v>1993</v>
      </c>
      <c r="L308" s="808" t="s">
        <v>1177</v>
      </c>
      <c r="M308" s="808" t="s">
        <v>1973</v>
      </c>
      <c r="N308" s="808" t="s">
        <v>1973</v>
      </c>
      <c r="O308" s="808" t="s">
        <v>2067</v>
      </c>
      <c r="P308" s="808" t="s">
        <v>1995</v>
      </c>
      <c r="Q308" s="808" t="s">
        <v>2002</v>
      </c>
    </row>
    <row r="309" spans="1:17" x14ac:dyDescent="0.25">
      <c r="A309" s="808" t="s">
        <v>1987</v>
      </c>
      <c r="B309" s="808" t="s">
        <v>2370</v>
      </c>
      <c r="C309" s="809">
        <v>40883670</v>
      </c>
      <c r="D309" s="808" t="s">
        <v>1753</v>
      </c>
      <c r="E309" s="808" t="s">
        <v>1753</v>
      </c>
      <c r="F309" s="808" t="s">
        <v>2023</v>
      </c>
      <c r="G309" s="808" t="s">
        <v>1990</v>
      </c>
      <c r="H309" s="808" t="s">
        <v>1991</v>
      </c>
      <c r="I309" s="808" t="s">
        <v>1992</v>
      </c>
      <c r="J309" s="810">
        <v>40883670</v>
      </c>
      <c r="K309" s="808" t="s">
        <v>1993</v>
      </c>
      <c r="L309" s="808" t="s">
        <v>1177</v>
      </c>
      <c r="M309" s="808" t="s">
        <v>1973</v>
      </c>
      <c r="N309" s="808" t="s">
        <v>1973</v>
      </c>
      <c r="O309" s="808" t="s">
        <v>2067</v>
      </c>
      <c r="P309" s="808" t="s">
        <v>1995</v>
      </c>
      <c r="Q309" s="808" t="s">
        <v>2002</v>
      </c>
    </row>
    <row r="310" spans="1:17" x14ac:dyDescent="0.25">
      <c r="A310" s="808" t="s">
        <v>1987</v>
      </c>
      <c r="B310" s="808" t="s">
        <v>2371</v>
      </c>
      <c r="C310" s="809">
        <v>68000000</v>
      </c>
      <c r="D310" s="808" t="s">
        <v>1753</v>
      </c>
      <c r="E310" s="808" t="s">
        <v>1753</v>
      </c>
      <c r="F310" s="808" t="s">
        <v>1989</v>
      </c>
      <c r="G310" s="808" t="s">
        <v>1990</v>
      </c>
      <c r="H310" s="808" t="s">
        <v>1991</v>
      </c>
      <c r="I310" s="808" t="s">
        <v>1992</v>
      </c>
      <c r="J310" s="810">
        <v>68000000</v>
      </c>
      <c r="K310" s="808" t="s">
        <v>1993</v>
      </c>
      <c r="L310" s="808" t="s">
        <v>1177</v>
      </c>
      <c r="M310" s="808" t="s">
        <v>1973</v>
      </c>
      <c r="N310" s="808" t="s">
        <v>1973</v>
      </c>
      <c r="O310" s="808" t="s">
        <v>2067</v>
      </c>
      <c r="P310" s="808" t="s">
        <v>1995</v>
      </c>
      <c r="Q310" s="808" t="s">
        <v>2002</v>
      </c>
    </row>
    <row r="311" spans="1:17" x14ac:dyDescent="0.25">
      <c r="A311" s="808" t="s">
        <v>1987</v>
      </c>
      <c r="B311" s="808" t="s">
        <v>2372</v>
      </c>
      <c r="C311" s="809">
        <v>18568000</v>
      </c>
      <c r="D311" s="808" t="s">
        <v>1753</v>
      </c>
      <c r="E311" s="808" t="s">
        <v>1753</v>
      </c>
      <c r="F311" s="808" t="s">
        <v>1989</v>
      </c>
      <c r="G311" s="808" t="s">
        <v>1990</v>
      </c>
      <c r="H311" s="808" t="s">
        <v>1991</v>
      </c>
      <c r="I311" s="808" t="s">
        <v>1992</v>
      </c>
      <c r="J311" s="810">
        <v>18568000</v>
      </c>
      <c r="K311" s="808" t="s">
        <v>1993</v>
      </c>
      <c r="L311" s="808" t="s">
        <v>1177</v>
      </c>
      <c r="M311" s="808" t="s">
        <v>1973</v>
      </c>
      <c r="N311" s="808" t="s">
        <v>1973</v>
      </c>
      <c r="O311" s="808" t="s">
        <v>2067</v>
      </c>
      <c r="P311" s="808" t="s">
        <v>1995</v>
      </c>
      <c r="Q311" s="808" t="s">
        <v>2002</v>
      </c>
    </row>
    <row r="312" spans="1:17" x14ac:dyDescent="0.25">
      <c r="A312" s="808" t="s">
        <v>1987</v>
      </c>
      <c r="B312" s="808" t="s">
        <v>2373</v>
      </c>
      <c r="C312" s="809">
        <v>62341552</v>
      </c>
      <c r="D312" s="808" t="s">
        <v>1743</v>
      </c>
      <c r="E312" s="808" t="s">
        <v>1753</v>
      </c>
      <c r="F312" s="808" t="s">
        <v>2036</v>
      </c>
      <c r="G312" s="808" t="s">
        <v>1990</v>
      </c>
      <c r="H312" s="808" t="s">
        <v>1991</v>
      </c>
      <c r="I312" s="808" t="s">
        <v>1992</v>
      </c>
      <c r="J312" s="810">
        <v>62341552</v>
      </c>
      <c r="K312" s="808" t="s">
        <v>1993</v>
      </c>
      <c r="L312" s="808" t="s">
        <v>1177</v>
      </c>
      <c r="M312" s="808" t="s">
        <v>1973</v>
      </c>
      <c r="N312" s="808" t="s">
        <v>1973</v>
      </c>
      <c r="O312" s="808" t="s">
        <v>2037</v>
      </c>
      <c r="P312" s="808" t="s">
        <v>1995</v>
      </c>
      <c r="Q312" s="808" t="s">
        <v>2038</v>
      </c>
    </row>
    <row r="313" spans="1:17" x14ac:dyDescent="0.25">
      <c r="A313" s="808" t="s">
        <v>1987</v>
      </c>
      <c r="B313" s="808" t="s">
        <v>2374</v>
      </c>
      <c r="C313" s="809">
        <v>55300000</v>
      </c>
      <c r="D313" s="808" t="s">
        <v>1743</v>
      </c>
      <c r="E313" s="808" t="s">
        <v>1753</v>
      </c>
      <c r="F313" s="808" t="s">
        <v>2036</v>
      </c>
      <c r="G313" s="808" t="s">
        <v>1990</v>
      </c>
      <c r="H313" s="808" t="s">
        <v>1991</v>
      </c>
      <c r="I313" s="808" t="s">
        <v>1992</v>
      </c>
      <c r="J313" s="810">
        <v>55300000</v>
      </c>
      <c r="K313" s="808" t="s">
        <v>1993</v>
      </c>
      <c r="L313" s="808" t="s">
        <v>1177</v>
      </c>
      <c r="M313" s="808" t="s">
        <v>1973</v>
      </c>
      <c r="N313" s="808" t="s">
        <v>1973</v>
      </c>
      <c r="O313" s="808" t="s">
        <v>2037</v>
      </c>
      <c r="P313" s="808" t="s">
        <v>1995</v>
      </c>
      <c r="Q313" s="808" t="s">
        <v>2038</v>
      </c>
    </row>
    <row r="314" spans="1:17" x14ac:dyDescent="0.25">
      <c r="A314" s="808" t="s">
        <v>1987</v>
      </c>
      <c r="B314" s="808" t="s">
        <v>2375</v>
      </c>
      <c r="C314" s="809">
        <v>42745500</v>
      </c>
      <c r="D314" s="808" t="s">
        <v>1753</v>
      </c>
      <c r="E314" s="808" t="s">
        <v>1753</v>
      </c>
      <c r="F314" s="808" t="s">
        <v>2036</v>
      </c>
      <c r="G314" s="808" t="s">
        <v>1990</v>
      </c>
      <c r="H314" s="808" t="s">
        <v>1991</v>
      </c>
      <c r="I314" s="808" t="s">
        <v>1992</v>
      </c>
      <c r="J314" s="810">
        <v>42745500</v>
      </c>
      <c r="K314" s="808" t="s">
        <v>1993</v>
      </c>
      <c r="L314" s="808" t="s">
        <v>1177</v>
      </c>
      <c r="M314" s="808" t="s">
        <v>1973</v>
      </c>
      <c r="N314" s="808" t="s">
        <v>1973</v>
      </c>
      <c r="O314" s="808" t="s">
        <v>2037</v>
      </c>
      <c r="P314" s="808" t="s">
        <v>1995</v>
      </c>
      <c r="Q314" s="808" t="s">
        <v>2038</v>
      </c>
    </row>
    <row r="315" spans="1:17" x14ac:dyDescent="0.25">
      <c r="A315" s="808" t="s">
        <v>1987</v>
      </c>
      <c r="B315" s="808" t="s">
        <v>2376</v>
      </c>
      <c r="C315" s="809">
        <v>26400000</v>
      </c>
      <c r="D315" s="808" t="s">
        <v>1753</v>
      </c>
      <c r="E315" s="808" t="s">
        <v>1753</v>
      </c>
      <c r="F315" s="808" t="s">
        <v>1989</v>
      </c>
      <c r="G315" s="808" t="s">
        <v>1990</v>
      </c>
      <c r="H315" s="808" t="s">
        <v>1991</v>
      </c>
      <c r="I315" s="808" t="s">
        <v>1992</v>
      </c>
      <c r="J315" s="810">
        <v>26400000</v>
      </c>
      <c r="K315" s="808" t="s">
        <v>1993</v>
      </c>
      <c r="L315" s="808" t="s">
        <v>1177</v>
      </c>
      <c r="M315" s="808" t="s">
        <v>1973</v>
      </c>
      <c r="N315" s="808" t="s">
        <v>1973</v>
      </c>
      <c r="O315" s="808" t="s">
        <v>2037</v>
      </c>
      <c r="P315" s="808" t="s">
        <v>1995</v>
      </c>
      <c r="Q315" s="808" t="s">
        <v>2038</v>
      </c>
    </row>
    <row r="316" spans="1:17" x14ac:dyDescent="0.25">
      <c r="A316" s="808" t="s">
        <v>1987</v>
      </c>
      <c r="B316" s="808" t="s">
        <v>2377</v>
      </c>
      <c r="C316" s="809">
        <v>47092500</v>
      </c>
      <c r="D316" s="808" t="s">
        <v>1753</v>
      </c>
      <c r="E316" s="808" t="s">
        <v>1753</v>
      </c>
      <c r="F316" s="808" t="s">
        <v>2036</v>
      </c>
      <c r="G316" s="808" t="s">
        <v>1990</v>
      </c>
      <c r="H316" s="808" t="s">
        <v>1991</v>
      </c>
      <c r="I316" s="808" t="s">
        <v>1992</v>
      </c>
      <c r="J316" s="810">
        <v>47092500</v>
      </c>
      <c r="K316" s="808" t="s">
        <v>1993</v>
      </c>
      <c r="L316" s="808" t="s">
        <v>1177</v>
      </c>
      <c r="M316" s="808" t="s">
        <v>1973</v>
      </c>
      <c r="N316" s="808" t="s">
        <v>1973</v>
      </c>
      <c r="O316" s="808" t="s">
        <v>2037</v>
      </c>
      <c r="P316" s="808" t="s">
        <v>1995</v>
      </c>
      <c r="Q316" s="808" t="s">
        <v>2038</v>
      </c>
    </row>
    <row r="317" spans="1:17" x14ac:dyDescent="0.25">
      <c r="A317" s="808" t="s">
        <v>1987</v>
      </c>
      <c r="B317" s="808" t="s">
        <v>2378</v>
      </c>
      <c r="C317" s="809">
        <v>28152000</v>
      </c>
      <c r="D317" s="808" t="s">
        <v>1753</v>
      </c>
      <c r="E317" s="808" t="s">
        <v>1753</v>
      </c>
      <c r="F317" s="808" t="s">
        <v>1989</v>
      </c>
      <c r="G317" s="808" t="s">
        <v>1990</v>
      </c>
      <c r="H317" s="808" t="s">
        <v>1991</v>
      </c>
      <c r="I317" s="808" t="s">
        <v>1992</v>
      </c>
      <c r="J317" s="810">
        <v>28152000</v>
      </c>
      <c r="K317" s="808" t="s">
        <v>1993</v>
      </c>
      <c r="L317" s="808" t="s">
        <v>1177</v>
      </c>
      <c r="M317" s="808" t="s">
        <v>1973</v>
      </c>
      <c r="N317" s="808" t="s">
        <v>1973</v>
      </c>
      <c r="O317" s="808" t="s">
        <v>2037</v>
      </c>
      <c r="P317" s="808" t="s">
        <v>1995</v>
      </c>
      <c r="Q317" s="808" t="s">
        <v>2038</v>
      </c>
    </row>
    <row r="318" spans="1:17" x14ac:dyDescent="0.25">
      <c r="A318" s="808" t="s">
        <v>1987</v>
      </c>
      <c r="B318" s="808" t="s">
        <v>2379</v>
      </c>
      <c r="C318" s="809">
        <v>47092500</v>
      </c>
      <c r="D318" s="808" t="s">
        <v>1743</v>
      </c>
      <c r="E318" s="808" t="s">
        <v>1753</v>
      </c>
      <c r="F318" s="808" t="s">
        <v>2036</v>
      </c>
      <c r="G318" s="808" t="s">
        <v>1990</v>
      </c>
      <c r="H318" s="808" t="s">
        <v>1991</v>
      </c>
      <c r="I318" s="808" t="s">
        <v>1992</v>
      </c>
      <c r="J318" s="810">
        <v>47092500</v>
      </c>
      <c r="K318" s="808" t="s">
        <v>1993</v>
      </c>
      <c r="L318" s="808" t="s">
        <v>1177</v>
      </c>
      <c r="M318" s="808" t="s">
        <v>1973</v>
      </c>
      <c r="N318" s="808" t="s">
        <v>1973</v>
      </c>
      <c r="O318" s="808" t="s">
        <v>2037</v>
      </c>
      <c r="P318" s="808" t="s">
        <v>1995</v>
      </c>
      <c r="Q318" s="808" t="s">
        <v>2038</v>
      </c>
    </row>
    <row r="319" spans="1:17" x14ac:dyDescent="0.25">
      <c r="A319" s="808" t="s">
        <v>1987</v>
      </c>
      <c r="B319" s="808" t="s">
        <v>2380</v>
      </c>
      <c r="C319" s="809">
        <v>34850000</v>
      </c>
      <c r="D319" s="808" t="s">
        <v>1866</v>
      </c>
      <c r="E319" s="808" t="s">
        <v>1866</v>
      </c>
      <c r="F319" s="808" t="s">
        <v>2004</v>
      </c>
      <c r="G319" s="808" t="s">
        <v>1990</v>
      </c>
      <c r="H319" s="808" t="s">
        <v>1991</v>
      </c>
      <c r="I319" s="808" t="s">
        <v>1992</v>
      </c>
      <c r="J319" s="810">
        <v>34850000</v>
      </c>
      <c r="K319" s="808" t="s">
        <v>1993</v>
      </c>
      <c r="L319" s="808" t="s">
        <v>1177</v>
      </c>
      <c r="M319" s="808" t="s">
        <v>1973</v>
      </c>
      <c r="N319" s="808" t="s">
        <v>1973</v>
      </c>
      <c r="O319" s="808" t="s">
        <v>2005</v>
      </c>
      <c r="P319" s="808" t="s">
        <v>1995</v>
      </c>
      <c r="Q319" s="808" t="s">
        <v>2006</v>
      </c>
    </row>
    <row r="320" spans="1:17" x14ac:dyDescent="0.25">
      <c r="A320" s="808" t="s">
        <v>1987</v>
      </c>
      <c r="B320" s="808" t="s">
        <v>2381</v>
      </c>
      <c r="C320" s="809">
        <v>34850000</v>
      </c>
      <c r="D320" s="808" t="s">
        <v>1866</v>
      </c>
      <c r="E320" s="808" t="s">
        <v>1866</v>
      </c>
      <c r="F320" s="808" t="s">
        <v>2004</v>
      </c>
      <c r="G320" s="808" t="s">
        <v>1990</v>
      </c>
      <c r="H320" s="808" t="s">
        <v>1991</v>
      </c>
      <c r="I320" s="808" t="s">
        <v>1992</v>
      </c>
      <c r="J320" s="810">
        <v>34850000</v>
      </c>
      <c r="K320" s="808" t="s">
        <v>1993</v>
      </c>
      <c r="L320" s="808" t="s">
        <v>1177</v>
      </c>
      <c r="M320" s="808" t="s">
        <v>1973</v>
      </c>
      <c r="N320" s="808" t="s">
        <v>1973</v>
      </c>
      <c r="O320" s="808" t="s">
        <v>2005</v>
      </c>
      <c r="P320" s="808" t="s">
        <v>1995</v>
      </c>
      <c r="Q320" s="808" t="s">
        <v>2006</v>
      </c>
    </row>
    <row r="321" spans="1:17" x14ac:dyDescent="0.25">
      <c r="A321" s="808" t="s">
        <v>1987</v>
      </c>
      <c r="B321" s="808" t="s">
        <v>2382</v>
      </c>
      <c r="C321" s="809">
        <v>34850000</v>
      </c>
      <c r="D321" s="808" t="s">
        <v>1866</v>
      </c>
      <c r="E321" s="808" t="s">
        <v>1866</v>
      </c>
      <c r="F321" s="808" t="s">
        <v>2004</v>
      </c>
      <c r="G321" s="808" t="s">
        <v>1990</v>
      </c>
      <c r="H321" s="808" t="s">
        <v>1991</v>
      </c>
      <c r="I321" s="808" t="s">
        <v>1992</v>
      </c>
      <c r="J321" s="810">
        <v>34850000</v>
      </c>
      <c r="K321" s="808" t="s">
        <v>1993</v>
      </c>
      <c r="L321" s="808" t="s">
        <v>1177</v>
      </c>
      <c r="M321" s="808" t="s">
        <v>1973</v>
      </c>
      <c r="N321" s="808" t="s">
        <v>1973</v>
      </c>
      <c r="O321" s="808" t="s">
        <v>2005</v>
      </c>
      <c r="P321" s="808" t="s">
        <v>1995</v>
      </c>
      <c r="Q321" s="808" t="s">
        <v>2006</v>
      </c>
    </row>
    <row r="322" spans="1:17" x14ac:dyDescent="0.25">
      <c r="A322" s="808" t="s">
        <v>1987</v>
      </c>
      <c r="B322" s="808" t="s">
        <v>2383</v>
      </c>
      <c r="C322" s="809">
        <v>34850000</v>
      </c>
      <c r="D322" s="808" t="s">
        <v>1866</v>
      </c>
      <c r="E322" s="808" t="s">
        <v>1866</v>
      </c>
      <c r="F322" s="808" t="s">
        <v>2004</v>
      </c>
      <c r="G322" s="808" t="s">
        <v>1990</v>
      </c>
      <c r="H322" s="808" t="s">
        <v>1991</v>
      </c>
      <c r="I322" s="808" t="s">
        <v>1992</v>
      </c>
      <c r="J322" s="810">
        <v>34850000</v>
      </c>
      <c r="K322" s="808" t="s">
        <v>1993</v>
      </c>
      <c r="L322" s="808" t="s">
        <v>1177</v>
      </c>
      <c r="M322" s="808" t="s">
        <v>1973</v>
      </c>
      <c r="N322" s="808" t="s">
        <v>1973</v>
      </c>
      <c r="O322" s="808" t="s">
        <v>2005</v>
      </c>
      <c r="P322" s="808" t="s">
        <v>1995</v>
      </c>
      <c r="Q322" s="808" t="s">
        <v>2006</v>
      </c>
    </row>
    <row r="323" spans="1:17" x14ac:dyDescent="0.25">
      <c r="A323" s="808" t="s">
        <v>1987</v>
      </c>
      <c r="B323" s="808" t="s">
        <v>2384</v>
      </c>
      <c r="C323" s="809">
        <v>32300000</v>
      </c>
      <c r="D323" s="808" t="s">
        <v>1866</v>
      </c>
      <c r="E323" s="808" t="s">
        <v>1866</v>
      </c>
      <c r="F323" s="808" t="s">
        <v>2004</v>
      </c>
      <c r="G323" s="808" t="s">
        <v>1990</v>
      </c>
      <c r="H323" s="808" t="s">
        <v>1991</v>
      </c>
      <c r="I323" s="808" t="s">
        <v>1992</v>
      </c>
      <c r="J323" s="810">
        <v>32300000</v>
      </c>
      <c r="K323" s="808" t="s">
        <v>1993</v>
      </c>
      <c r="L323" s="808" t="s">
        <v>1177</v>
      </c>
      <c r="M323" s="808" t="s">
        <v>1973</v>
      </c>
      <c r="N323" s="808" t="s">
        <v>1973</v>
      </c>
      <c r="O323" s="808" t="s">
        <v>2005</v>
      </c>
      <c r="P323" s="808" t="s">
        <v>1995</v>
      </c>
      <c r="Q323" s="808" t="s">
        <v>2006</v>
      </c>
    </row>
    <row r="324" spans="1:17" x14ac:dyDescent="0.25">
      <c r="A324" s="808" t="s">
        <v>1987</v>
      </c>
      <c r="B324" s="808" t="s">
        <v>2385</v>
      </c>
      <c r="C324" s="809">
        <v>32300000</v>
      </c>
      <c r="D324" s="808" t="s">
        <v>1866</v>
      </c>
      <c r="E324" s="808" t="s">
        <v>1866</v>
      </c>
      <c r="F324" s="808" t="s">
        <v>2004</v>
      </c>
      <c r="G324" s="808" t="s">
        <v>1990</v>
      </c>
      <c r="H324" s="808" t="s">
        <v>1991</v>
      </c>
      <c r="I324" s="808" t="s">
        <v>1992</v>
      </c>
      <c r="J324" s="810">
        <v>32300000</v>
      </c>
      <c r="K324" s="808" t="s">
        <v>1993</v>
      </c>
      <c r="L324" s="808" t="s">
        <v>1177</v>
      </c>
      <c r="M324" s="808" t="s">
        <v>1973</v>
      </c>
      <c r="N324" s="808" t="s">
        <v>1973</v>
      </c>
      <c r="O324" s="808" t="s">
        <v>2005</v>
      </c>
      <c r="P324" s="808" t="s">
        <v>1995</v>
      </c>
      <c r="Q324" s="808" t="s">
        <v>2006</v>
      </c>
    </row>
    <row r="325" spans="1:17" x14ac:dyDescent="0.25">
      <c r="A325" s="808" t="s">
        <v>1987</v>
      </c>
      <c r="B325" s="808" t="s">
        <v>2386</v>
      </c>
      <c r="C325" s="809">
        <v>38250000</v>
      </c>
      <c r="D325" s="808" t="s">
        <v>1866</v>
      </c>
      <c r="E325" s="808" t="s">
        <v>1866</v>
      </c>
      <c r="F325" s="808" t="s">
        <v>2004</v>
      </c>
      <c r="G325" s="808" t="s">
        <v>1990</v>
      </c>
      <c r="H325" s="808" t="s">
        <v>1991</v>
      </c>
      <c r="I325" s="808" t="s">
        <v>1992</v>
      </c>
      <c r="J325" s="810">
        <v>38250000</v>
      </c>
      <c r="K325" s="808" t="s">
        <v>1993</v>
      </c>
      <c r="L325" s="808" t="s">
        <v>1177</v>
      </c>
      <c r="M325" s="808" t="s">
        <v>1973</v>
      </c>
      <c r="N325" s="808" t="s">
        <v>1973</v>
      </c>
      <c r="O325" s="808" t="s">
        <v>2005</v>
      </c>
      <c r="P325" s="808" t="s">
        <v>1995</v>
      </c>
      <c r="Q325" s="808" t="s">
        <v>2006</v>
      </c>
    </row>
    <row r="326" spans="1:17" x14ac:dyDescent="0.25">
      <c r="A326" s="808" t="s">
        <v>2387</v>
      </c>
      <c r="B326" s="808" t="s">
        <v>2388</v>
      </c>
      <c r="C326" s="809">
        <v>900000000</v>
      </c>
      <c r="D326" s="808" t="s">
        <v>1866</v>
      </c>
      <c r="E326" s="808" t="s">
        <v>1750</v>
      </c>
      <c r="F326" s="808" t="s">
        <v>2000</v>
      </c>
      <c r="G326" s="808" t="s">
        <v>1990</v>
      </c>
      <c r="H326" s="808" t="s">
        <v>2389</v>
      </c>
      <c r="I326" s="808" t="s">
        <v>1992</v>
      </c>
      <c r="J326" s="810">
        <v>900000000</v>
      </c>
      <c r="K326" s="808" t="s">
        <v>1993</v>
      </c>
      <c r="L326" s="808" t="s">
        <v>1177</v>
      </c>
      <c r="M326" s="808" t="s">
        <v>1973</v>
      </c>
      <c r="N326" s="808" t="s">
        <v>1973</v>
      </c>
      <c r="O326" s="808" t="s">
        <v>1994</v>
      </c>
      <c r="P326" s="808" t="s">
        <v>1995</v>
      </c>
      <c r="Q326" s="808" t="s">
        <v>1996</v>
      </c>
    </row>
    <row r="327" spans="1:17" x14ac:dyDescent="0.25">
      <c r="A327" s="808" t="s">
        <v>1987</v>
      </c>
      <c r="B327" s="808" t="s">
        <v>2390</v>
      </c>
      <c r="C327" s="809">
        <v>42400000</v>
      </c>
      <c r="D327" s="808" t="s">
        <v>1866</v>
      </c>
      <c r="E327" s="808" t="s">
        <v>1866</v>
      </c>
      <c r="F327" s="808" t="s">
        <v>1989</v>
      </c>
      <c r="G327" s="808" t="s">
        <v>1990</v>
      </c>
      <c r="H327" s="808" t="s">
        <v>1991</v>
      </c>
      <c r="I327" s="808" t="s">
        <v>1992</v>
      </c>
      <c r="J327" s="810">
        <v>42400000</v>
      </c>
      <c r="K327" s="808" t="s">
        <v>1993</v>
      </c>
      <c r="L327" s="808" t="s">
        <v>1177</v>
      </c>
      <c r="M327" s="808" t="s">
        <v>1973</v>
      </c>
      <c r="N327" s="808" t="s">
        <v>1973</v>
      </c>
      <c r="O327" s="808" t="s">
        <v>1994</v>
      </c>
      <c r="P327" s="808" t="s">
        <v>1995</v>
      </c>
      <c r="Q327" s="808" t="s">
        <v>1996</v>
      </c>
    </row>
    <row r="328" spans="1:17" x14ac:dyDescent="0.25">
      <c r="A328" s="808" t="s">
        <v>1987</v>
      </c>
      <c r="B328" s="808" t="s">
        <v>2391</v>
      </c>
      <c r="C328" s="809">
        <v>47200000</v>
      </c>
      <c r="D328" s="808" t="s">
        <v>1866</v>
      </c>
      <c r="E328" s="808" t="s">
        <v>1866</v>
      </c>
      <c r="F328" s="808" t="s">
        <v>1989</v>
      </c>
      <c r="G328" s="808" t="s">
        <v>1990</v>
      </c>
      <c r="H328" s="808" t="s">
        <v>1991</v>
      </c>
      <c r="I328" s="808" t="s">
        <v>1992</v>
      </c>
      <c r="J328" s="810">
        <v>47200000</v>
      </c>
      <c r="K328" s="808" t="s">
        <v>1993</v>
      </c>
      <c r="L328" s="808" t="s">
        <v>1177</v>
      </c>
      <c r="M328" s="808" t="s">
        <v>1973</v>
      </c>
      <c r="N328" s="808" t="s">
        <v>1973</v>
      </c>
      <c r="O328" s="808" t="s">
        <v>1994</v>
      </c>
      <c r="P328" s="808" t="s">
        <v>1995</v>
      </c>
      <c r="Q328" s="808" t="s">
        <v>1996</v>
      </c>
    </row>
    <row r="329" spans="1:17" x14ac:dyDescent="0.25">
      <c r="A329" s="808" t="s">
        <v>1987</v>
      </c>
      <c r="B329" s="808" t="s">
        <v>2392</v>
      </c>
      <c r="C329" s="809">
        <v>28800000</v>
      </c>
      <c r="D329" s="808" t="s">
        <v>1866</v>
      </c>
      <c r="E329" s="808" t="s">
        <v>1866</v>
      </c>
      <c r="F329" s="808" t="s">
        <v>1989</v>
      </c>
      <c r="G329" s="808" t="s">
        <v>1990</v>
      </c>
      <c r="H329" s="808" t="s">
        <v>1991</v>
      </c>
      <c r="I329" s="808" t="s">
        <v>1992</v>
      </c>
      <c r="J329" s="810">
        <v>28800000</v>
      </c>
      <c r="K329" s="808" t="s">
        <v>1993</v>
      </c>
      <c r="L329" s="808" t="s">
        <v>1177</v>
      </c>
      <c r="M329" s="808" t="s">
        <v>1973</v>
      </c>
      <c r="N329" s="808" t="s">
        <v>1973</v>
      </c>
      <c r="O329" s="808" t="s">
        <v>1994</v>
      </c>
      <c r="P329" s="808" t="s">
        <v>1995</v>
      </c>
      <c r="Q329" s="808" t="s">
        <v>1996</v>
      </c>
    </row>
    <row r="330" spans="1:17" x14ac:dyDescent="0.25">
      <c r="A330" s="808" t="s">
        <v>1987</v>
      </c>
      <c r="B330" s="808" t="s">
        <v>2393</v>
      </c>
      <c r="C330" s="809">
        <v>20000000</v>
      </c>
      <c r="D330" s="808" t="s">
        <v>1866</v>
      </c>
      <c r="E330" s="808" t="s">
        <v>1866</v>
      </c>
      <c r="F330" s="808" t="s">
        <v>1989</v>
      </c>
      <c r="G330" s="808" t="s">
        <v>1990</v>
      </c>
      <c r="H330" s="808" t="s">
        <v>1991</v>
      </c>
      <c r="I330" s="808" t="s">
        <v>1992</v>
      </c>
      <c r="J330" s="810">
        <v>20000000</v>
      </c>
      <c r="K330" s="808" t="s">
        <v>1993</v>
      </c>
      <c r="L330" s="808" t="s">
        <v>1177</v>
      </c>
      <c r="M330" s="808" t="s">
        <v>1973</v>
      </c>
      <c r="N330" s="808" t="s">
        <v>1973</v>
      </c>
      <c r="O330" s="808" t="s">
        <v>1994</v>
      </c>
      <c r="P330" s="808" t="s">
        <v>1995</v>
      </c>
      <c r="Q330" s="808" t="s">
        <v>1996</v>
      </c>
    </row>
    <row r="331" spans="1:17" x14ac:dyDescent="0.25">
      <c r="A331" s="808" t="s">
        <v>1987</v>
      </c>
      <c r="B331" s="808" t="s">
        <v>2394</v>
      </c>
      <c r="C331" s="809">
        <v>28700000</v>
      </c>
      <c r="D331" s="808" t="s">
        <v>1753</v>
      </c>
      <c r="E331" s="808" t="s">
        <v>1753</v>
      </c>
      <c r="F331" s="808" t="s">
        <v>2023</v>
      </c>
      <c r="G331" s="808" t="s">
        <v>1990</v>
      </c>
      <c r="H331" s="808" t="s">
        <v>1991</v>
      </c>
      <c r="I331" s="808" t="s">
        <v>1992</v>
      </c>
      <c r="J331" s="810">
        <v>28700000</v>
      </c>
      <c r="K331" s="808" t="s">
        <v>1993</v>
      </c>
      <c r="L331" s="808" t="s">
        <v>1177</v>
      </c>
      <c r="M331" s="808" t="s">
        <v>1973</v>
      </c>
      <c r="N331" s="808" t="s">
        <v>1973</v>
      </c>
      <c r="O331" s="808" t="s">
        <v>2042</v>
      </c>
      <c r="P331" s="808" t="s">
        <v>1995</v>
      </c>
      <c r="Q331" s="808" t="s">
        <v>2043</v>
      </c>
    </row>
    <row r="332" spans="1:17" x14ac:dyDescent="0.25">
      <c r="A332" s="808" t="s">
        <v>1987</v>
      </c>
      <c r="B332" s="808" t="s">
        <v>2395</v>
      </c>
      <c r="C332" s="809">
        <v>32232315</v>
      </c>
      <c r="D332" s="808" t="s">
        <v>1743</v>
      </c>
      <c r="E332" s="808" t="s">
        <v>1743</v>
      </c>
      <c r="F332" s="808" t="s">
        <v>2010</v>
      </c>
      <c r="G332" s="808" t="s">
        <v>1990</v>
      </c>
      <c r="H332" s="808" t="s">
        <v>1991</v>
      </c>
      <c r="I332" s="808" t="s">
        <v>1992</v>
      </c>
      <c r="J332" s="810">
        <v>32232315</v>
      </c>
      <c r="K332" s="808" t="s">
        <v>1993</v>
      </c>
      <c r="L332" s="808" t="s">
        <v>1177</v>
      </c>
      <c r="M332" s="808" t="s">
        <v>1973</v>
      </c>
      <c r="N332" s="808" t="s">
        <v>1973</v>
      </c>
      <c r="O332" s="808" t="s">
        <v>2042</v>
      </c>
      <c r="P332" s="808" t="s">
        <v>1995</v>
      </c>
      <c r="Q332" s="808" t="s">
        <v>2043</v>
      </c>
    </row>
    <row r="333" spans="1:17" x14ac:dyDescent="0.25">
      <c r="A333" s="808" t="s">
        <v>1987</v>
      </c>
      <c r="B333" s="808" t="s">
        <v>2396</v>
      </c>
      <c r="C333" s="809">
        <v>51586233</v>
      </c>
      <c r="D333" s="808" t="s">
        <v>1753</v>
      </c>
      <c r="E333" s="808" t="s">
        <v>1753</v>
      </c>
      <c r="F333" s="808" t="s">
        <v>2023</v>
      </c>
      <c r="G333" s="808" t="s">
        <v>1990</v>
      </c>
      <c r="H333" s="808" t="s">
        <v>1991</v>
      </c>
      <c r="I333" s="808" t="s">
        <v>1992</v>
      </c>
      <c r="J333" s="810">
        <v>51586233</v>
      </c>
      <c r="K333" s="808" t="s">
        <v>1993</v>
      </c>
      <c r="L333" s="808" t="s">
        <v>1177</v>
      </c>
      <c r="M333" s="808" t="s">
        <v>1973</v>
      </c>
      <c r="N333" s="808" t="s">
        <v>1973</v>
      </c>
      <c r="O333" s="808" t="s">
        <v>2042</v>
      </c>
      <c r="P333" s="808" t="s">
        <v>1995</v>
      </c>
      <c r="Q333" s="808" t="s">
        <v>2043</v>
      </c>
    </row>
    <row r="334" spans="1:17" x14ac:dyDescent="0.25">
      <c r="A334" s="808" t="s">
        <v>1987</v>
      </c>
      <c r="B334" s="808" t="s">
        <v>2397</v>
      </c>
      <c r="C334" s="809">
        <v>28200000</v>
      </c>
      <c r="D334" s="808" t="s">
        <v>1757</v>
      </c>
      <c r="E334" s="808" t="s">
        <v>1757</v>
      </c>
      <c r="F334" s="808" t="s">
        <v>2000</v>
      </c>
      <c r="G334" s="808" t="s">
        <v>1990</v>
      </c>
      <c r="H334" s="808" t="s">
        <v>1991</v>
      </c>
      <c r="I334" s="808" t="s">
        <v>1992</v>
      </c>
      <c r="J334" s="810">
        <v>28200000</v>
      </c>
      <c r="K334" s="808" t="s">
        <v>1993</v>
      </c>
      <c r="L334" s="808" t="s">
        <v>1177</v>
      </c>
      <c r="M334" s="808" t="s">
        <v>1973</v>
      </c>
      <c r="N334" s="808" t="s">
        <v>1973</v>
      </c>
      <c r="O334" s="808" t="s">
        <v>2042</v>
      </c>
      <c r="P334" s="808" t="s">
        <v>1995</v>
      </c>
      <c r="Q334" s="808" t="s">
        <v>2043</v>
      </c>
    </row>
    <row r="335" spans="1:17" x14ac:dyDescent="0.25">
      <c r="A335" s="808" t="s">
        <v>1987</v>
      </c>
      <c r="B335" s="808" t="s">
        <v>2398</v>
      </c>
      <c r="C335" s="809">
        <v>39500000</v>
      </c>
      <c r="D335" s="808" t="s">
        <v>1753</v>
      </c>
      <c r="E335" s="808" t="s">
        <v>1753</v>
      </c>
      <c r="F335" s="808" t="s">
        <v>2023</v>
      </c>
      <c r="G335" s="808" t="s">
        <v>1990</v>
      </c>
      <c r="H335" s="808" t="s">
        <v>1991</v>
      </c>
      <c r="I335" s="808" t="s">
        <v>1992</v>
      </c>
      <c r="J335" s="810">
        <v>39500000</v>
      </c>
      <c r="K335" s="808" t="s">
        <v>1993</v>
      </c>
      <c r="L335" s="808" t="s">
        <v>1177</v>
      </c>
      <c r="M335" s="808" t="s">
        <v>1973</v>
      </c>
      <c r="N335" s="808" t="s">
        <v>1973</v>
      </c>
      <c r="O335" s="808" t="s">
        <v>2107</v>
      </c>
      <c r="P335" s="808" t="s">
        <v>1995</v>
      </c>
      <c r="Q335" s="808" t="s">
        <v>2043</v>
      </c>
    </row>
    <row r="336" spans="1:17" x14ac:dyDescent="0.25">
      <c r="A336" s="808" t="s">
        <v>1987</v>
      </c>
      <c r="B336" s="808" t="s">
        <v>2399</v>
      </c>
      <c r="C336" s="809">
        <v>27000000</v>
      </c>
      <c r="D336" s="808" t="s">
        <v>1749</v>
      </c>
      <c r="E336" s="808" t="s">
        <v>1749</v>
      </c>
      <c r="F336" s="808" t="s">
        <v>2004</v>
      </c>
      <c r="G336" s="808" t="s">
        <v>1990</v>
      </c>
      <c r="H336" s="808" t="s">
        <v>1991</v>
      </c>
      <c r="I336" s="808" t="s">
        <v>1992</v>
      </c>
      <c r="J336" s="810">
        <v>27000000</v>
      </c>
      <c r="K336" s="808" t="s">
        <v>1993</v>
      </c>
      <c r="L336" s="808" t="s">
        <v>1177</v>
      </c>
      <c r="M336" s="808" t="s">
        <v>1973</v>
      </c>
      <c r="N336" s="808" t="s">
        <v>1973</v>
      </c>
      <c r="O336" s="808" t="s">
        <v>2107</v>
      </c>
      <c r="P336" s="808" t="s">
        <v>1995</v>
      </c>
      <c r="Q336" s="808" t="s">
        <v>2043</v>
      </c>
    </row>
    <row r="337" spans="1:17" x14ac:dyDescent="0.25">
      <c r="A337" s="808" t="s">
        <v>1987</v>
      </c>
      <c r="B337" s="808" t="s">
        <v>2400</v>
      </c>
      <c r="C337" s="809">
        <v>38377800</v>
      </c>
      <c r="D337" s="808" t="s">
        <v>1753</v>
      </c>
      <c r="E337" s="808" t="s">
        <v>1753</v>
      </c>
      <c r="F337" s="808" t="s">
        <v>1989</v>
      </c>
      <c r="G337" s="808" t="s">
        <v>1990</v>
      </c>
      <c r="H337" s="808" t="s">
        <v>1991</v>
      </c>
      <c r="I337" s="808" t="s">
        <v>1992</v>
      </c>
      <c r="J337" s="810">
        <v>38377800</v>
      </c>
      <c r="K337" s="808" t="s">
        <v>1993</v>
      </c>
      <c r="L337" s="808" t="s">
        <v>1177</v>
      </c>
      <c r="M337" s="808" t="s">
        <v>1973</v>
      </c>
      <c r="N337" s="808" t="s">
        <v>1973</v>
      </c>
      <c r="O337" s="808" t="s">
        <v>2037</v>
      </c>
      <c r="P337" s="808" t="s">
        <v>1995</v>
      </c>
      <c r="Q337" s="808" t="s">
        <v>2038</v>
      </c>
    </row>
    <row r="338" spans="1:17" x14ac:dyDescent="0.25">
      <c r="A338" s="808" t="s">
        <v>1987</v>
      </c>
      <c r="B338" s="808" t="s">
        <v>2401</v>
      </c>
      <c r="C338" s="809">
        <v>32706000</v>
      </c>
      <c r="D338" s="808" t="s">
        <v>1743</v>
      </c>
      <c r="E338" s="808" t="s">
        <v>1753</v>
      </c>
      <c r="F338" s="808" t="s">
        <v>1989</v>
      </c>
      <c r="G338" s="808" t="s">
        <v>1990</v>
      </c>
      <c r="H338" s="808" t="s">
        <v>1991</v>
      </c>
      <c r="I338" s="808" t="s">
        <v>1992</v>
      </c>
      <c r="J338" s="810">
        <v>32706000</v>
      </c>
      <c r="K338" s="808" t="s">
        <v>1993</v>
      </c>
      <c r="L338" s="808" t="s">
        <v>1177</v>
      </c>
      <c r="M338" s="808" t="s">
        <v>1973</v>
      </c>
      <c r="N338" s="808" t="s">
        <v>1973</v>
      </c>
      <c r="O338" s="808" t="s">
        <v>2037</v>
      </c>
      <c r="P338" s="808" t="s">
        <v>1995</v>
      </c>
      <c r="Q338" s="808" t="s">
        <v>2038</v>
      </c>
    </row>
    <row r="339" spans="1:17" x14ac:dyDescent="0.25">
      <c r="A339" s="808" t="s">
        <v>1987</v>
      </c>
      <c r="B339" s="808" t="s">
        <v>2402</v>
      </c>
      <c r="C339" s="809">
        <v>37612975</v>
      </c>
      <c r="D339" s="808" t="s">
        <v>1753</v>
      </c>
      <c r="E339" s="808" t="s">
        <v>1753</v>
      </c>
      <c r="F339" s="808" t="s">
        <v>2004</v>
      </c>
      <c r="G339" s="808" t="s">
        <v>1990</v>
      </c>
      <c r="H339" s="808" t="s">
        <v>1991</v>
      </c>
      <c r="I339" s="808" t="s">
        <v>1992</v>
      </c>
      <c r="J339" s="810">
        <v>37612975</v>
      </c>
      <c r="K339" s="808" t="s">
        <v>1993</v>
      </c>
      <c r="L339" s="808" t="s">
        <v>1177</v>
      </c>
      <c r="M339" s="808" t="s">
        <v>1973</v>
      </c>
      <c r="N339" s="808" t="s">
        <v>1973</v>
      </c>
      <c r="O339" s="808" t="s">
        <v>2183</v>
      </c>
      <c r="P339" s="808" t="s">
        <v>1995</v>
      </c>
      <c r="Q339" s="808" t="s">
        <v>2048</v>
      </c>
    </row>
    <row r="340" spans="1:17" x14ac:dyDescent="0.25">
      <c r="A340" s="808" t="s">
        <v>1987</v>
      </c>
      <c r="B340" s="808" t="s">
        <v>2403</v>
      </c>
      <c r="C340" s="809">
        <v>18568000</v>
      </c>
      <c r="D340" s="808" t="s">
        <v>1753</v>
      </c>
      <c r="E340" s="808" t="s">
        <v>1753</v>
      </c>
      <c r="F340" s="808" t="s">
        <v>1989</v>
      </c>
      <c r="G340" s="808" t="s">
        <v>1990</v>
      </c>
      <c r="H340" s="808" t="s">
        <v>1991</v>
      </c>
      <c r="I340" s="808" t="s">
        <v>1992</v>
      </c>
      <c r="J340" s="810">
        <v>18568000</v>
      </c>
      <c r="K340" s="808" t="s">
        <v>1993</v>
      </c>
      <c r="L340" s="808" t="s">
        <v>1177</v>
      </c>
      <c r="M340" s="808" t="s">
        <v>1973</v>
      </c>
      <c r="N340" s="808" t="s">
        <v>1973</v>
      </c>
      <c r="O340" s="808" t="s">
        <v>2067</v>
      </c>
      <c r="P340" s="808" t="s">
        <v>1995</v>
      </c>
      <c r="Q340" s="808" t="s">
        <v>2002</v>
      </c>
    </row>
    <row r="341" spans="1:17" x14ac:dyDescent="0.25">
      <c r="A341" s="808" t="s">
        <v>1987</v>
      </c>
      <c r="B341" s="808" t="s">
        <v>2404</v>
      </c>
      <c r="C341" s="809">
        <v>68000000</v>
      </c>
      <c r="D341" s="808" t="s">
        <v>1753</v>
      </c>
      <c r="E341" s="808" t="s">
        <v>1753</v>
      </c>
      <c r="F341" s="808" t="s">
        <v>1989</v>
      </c>
      <c r="G341" s="808" t="s">
        <v>1990</v>
      </c>
      <c r="H341" s="808" t="s">
        <v>1991</v>
      </c>
      <c r="I341" s="808" t="s">
        <v>1992</v>
      </c>
      <c r="J341" s="810">
        <v>68000000</v>
      </c>
      <c r="K341" s="808" t="s">
        <v>1993</v>
      </c>
      <c r="L341" s="808" t="s">
        <v>1177</v>
      </c>
      <c r="M341" s="808" t="s">
        <v>1973</v>
      </c>
      <c r="N341" s="808" t="s">
        <v>1973</v>
      </c>
      <c r="O341" s="808" t="s">
        <v>2067</v>
      </c>
      <c r="P341" s="808" t="s">
        <v>1995</v>
      </c>
      <c r="Q341" s="808" t="s">
        <v>2002</v>
      </c>
    </row>
    <row r="342" spans="1:17" x14ac:dyDescent="0.25">
      <c r="A342" s="808" t="s">
        <v>1987</v>
      </c>
      <c r="B342" s="808" t="s">
        <v>2405</v>
      </c>
      <c r="C342" s="809">
        <v>36000000</v>
      </c>
      <c r="D342" s="808" t="s">
        <v>1753</v>
      </c>
      <c r="E342" s="808" t="s">
        <v>1753</v>
      </c>
      <c r="F342" s="808" t="s">
        <v>1989</v>
      </c>
      <c r="G342" s="808" t="s">
        <v>1990</v>
      </c>
      <c r="H342" s="808" t="s">
        <v>1991</v>
      </c>
      <c r="I342" s="808" t="s">
        <v>1992</v>
      </c>
      <c r="J342" s="810">
        <v>36000000</v>
      </c>
      <c r="K342" s="808" t="s">
        <v>1993</v>
      </c>
      <c r="L342" s="808" t="s">
        <v>1177</v>
      </c>
      <c r="M342" s="808" t="s">
        <v>1973</v>
      </c>
      <c r="N342" s="808" t="s">
        <v>1973</v>
      </c>
      <c r="O342" s="808" t="s">
        <v>2067</v>
      </c>
      <c r="P342" s="808" t="s">
        <v>1995</v>
      </c>
      <c r="Q342" s="808" t="s">
        <v>2002</v>
      </c>
    </row>
    <row r="343" spans="1:17" x14ac:dyDescent="0.25">
      <c r="A343" s="808" t="s">
        <v>1987</v>
      </c>
      <c r="B343" s="808" t="s">
        <v>2406</v>
      </c>
      <c r="C343" s="809">
        <v>60000000</v>
      </c>
      <c r="D343" s="808" t="s">
        <v>1753</v>
      </c>
      <c r="E343" s="808" t="s">
        <v>1753</v>
      </c>
      <c r="F343" s="808" t="s">
        <v>1989</v>
      </c>
      <c r="G343" s="808" t="s">
        <v>1990</v>
      </c>
      <c r="H343" s="808" t="s">
        <v>1991</v>
      </c>
      <c r="I343" s="808" t="s">
        <v>1992</v>
      </c>
      <c r="J343" s="810">
        <v>60000000</v>
      </c>
      <c r="K343" s="808" t="s">
        <v>1993</v>
      </c>
      <c r="L343" s="808" t="s">
        <v>1177</v>
      </c>
      <c r="M343" s="808" t="s">
        <v>1973</v>
      </c>
      <c r="N343" s="808" t="s">
        <v>1973</v>
      </c>
      <c r="O343" s="808" t="s">
        <v>2067</v>
      </c>
      <c r="P343" s="808" t="s">
        <v>1995</v>
      </c>
      <c r="Q343" s="808" t="s">
        <v>2002</v>
      </c>
    </row>
    <row r="344" spans="1:17" x14ac:dyDescent="0.25">
      <c r="A344" s="808" t="s">
        <v>1987</v>
      </c>
      <c r="B344" s="808" t="s">
        <v>2407</v>
      </c>
      <c r="C344" s="809">
        <v>24000000</v>
      </c>
      <c r="D344" s="808" t="s">
        <v>1753</v>
      </c>
      <c r="E344" s="808" t="s">
        <v>1753</v>
      </c>
      <c r="F344" s="808" t="s">
        <v>1989</v>
      </c>
      <c r="G344" s="808" t="s">
        <v>1990</v>
      </c>
      <c r="H344" s="808" t="s">
        <v>1991</v>
      </c>
      <c r="I344" s="808" t="s">
        <v>1992</v>
      </c>
      <c r="J344" s="810">
        <v>24000000</v>
      </c>
      <c r="K344" s="808" t="s">
        <v>1993</v>
      </c>
      <c r="L344" s="808" t="s">
        <v>1177</v>
      </c>
      <c r="M344" s="808" t="s">
        <v>1973</v>
      </c>
      <c r="N344" s="808" t="s">
        <v>1973</v>
      </c>
      <c r="O344" s="808" t="s">
        <v>2067</v>
      </c>
      <c r="P344" s="808" t="s">
        <v>1995</v>
      </c>
      <c r="Q344" s="808" t="s">
        <v>2002</v>
      </c>
    </row>
    <row r="345" spans="1:17" x14ac:dyDescent="0.25">
      <c r="A345" s="808" t="s">
        <v>1987</v>
      </c>
      <c r="B345" s="808" t="s">
        <v>2408</v>
      </c>
      <c r="C345" s="809">
        <v>56000000</v>
      </c>
      <c r="D345" s="808" t="s">
        <v>1753</v>
      </c>
      <c r="E345" s="808" t="s">
        <v>1753</v>
      </c>
      <c r="F345" s="808" t="s">
        <v>1989</v>
      </c>
      <c r="G345" s="808" t="s">
        <v>1990</v>
      </c>
      <c r="H345" s="808" t="s">
        <v>1991</v>
      </c>
      <c r="I345" s="808" t="s">
        <v>1992</v>
      </c>
      <c r="J345" s="810">
        <v>56000000</v>
      </c>
      <c r="K345" s="808" t="s">
        <v>1993</v>
      </c>
      <c r="L345" s="808" t="s">
        <v>1177</v>
      </c>
      <c r="M345" s="808" t="s">
        <v>1973</v>
      </c>
      <c r="N345" s="808" t="s">
        <v>1973</v>
      </c>
      <c r="O345" s="808" t="s">
        <v>2067</v>
      </c>
      <c r="P345" s="808" t="s">
        <v>1995</v>
      </c>
      <c r="Q345" s="808" t="s">
        <v>2002</v>
      </c>
    </row>
    <row r="346" spans="1:17" x14ac:dyDescent="0.25">
      <c r="A346" s="808" t="s">
        <v>1987</v>
      </c>
      <c r="B346" s="808" t="s">
        <v>2409</v>
      </c>
      <c r="C346" s="809">
        <v>39975144</v>
      </c>
      <c r="D346" s="808" t="s">
        <v>1753</v>
      </c>
      <c r="E346" s="808" t="s">
        <v>1753</v>
      </c>
      <c r="F346" s="808" t="s">
        <v>1989</v>
      </c>
      <c r="G346" s="808" t="s">
        <v>1990</v>
      </c>
      <c r="H346" s="808" t="s">
        <v>1991</v>
      </c>
      <c r="I346" s="808" t="s">
        <v>1992</v>
      </c>
      <c r="J346" s="810">
        <v>39975144</v>
      </c>
      <c r="K346" s="808" t="s">
        <v>1993</v>
      </c>
      <c r="L346" s="808" t="s">
        <v>1177</v>
      </c>
      <c r="M346" s="808" t="s">
        <v>1973</v>
      </c>
      <c r="N346" s="808" t="s">
        <v>1973</v>
      </c>
      <c r="O346" s="808" t="s">
        <v>2067</v>
      </c>
      <c r="P346" s="808" t="s">
        <v>1995</v>
      </c>
      <c r="Q346" s="808" t="s">
        <v>2002</v>
      </c>
    </row>
    <row r="347" spans="1:17" x14ac:dyDescent="0.25">
      <c r="A347" s="808" t="s">
        <v>1987</v>
      </c>
      <c r="B347" s="808" t="s">
        <v>2410</v>
      </c>
      <c r="C347" s="809">
        <v>64000000</v>
      </c>
      <c r="D347" s="808" t="s">
        <v>1753</v>
      </c>
      <c r="E347" s="808" t="s">
        <v>1753</v>
      </c>
      <c r="F347" s="808" t="s">
        <v>1989</v>
      </c>
      <c r="G347" s="808" t="s">
        <v>1990</v>
      </c>
      <c r="H347" s="808" t="s">
        <v>1991</v>
      </c>
      <c r="I347" s="808" t="s">
        <v>1992</v>
      </c>
      <c r="J347" s="810">
        <v>64000000</v>
      </c>
      <c r="K347" s="808" t="s">
        <v>1993</v>
      </c>
      <c r="L347" s="808" t="s">
        <v>1177</v>
      </c>
      <c r="M347" s="808" t="s">
        <v>1973</v>
      </c>
      <c r="N347" s="808" t="s">
        <v>1973</v>
      </c>
      <c r="O347" s="808" t="s">
        <v>2067</v>
      </c>
      <c r="P347" s="808" t="s">
        <v>1995</v>
      </c>
      <c r="Q347" s="808" t="s">
        <v>2002</v>
      </c>
    </row>
    <row r="348" spans="1:17" x14ac:dyDescent="0.25">
      <c r="A348" s="808" t="s">
        <v>1987</v>
      </c>
      <c r="B348" s="808" t="s">
        <v>2411</v>
      </c>
      <c r="C348" s="809">
        <v>84000000</v>
      </c>
      <c r="D348" s="808" t="s">
        <v>1753</v>
      </c>
      <c r="E348" s="808" t="s">
        <v>1753</v>
      </c>
      <c r="F348" s="808" t="s">
        <v>1989</v>
      </c>
      <c r="G348" s="808" t="s">
        <v>1990</v>
      </c>
      <c r="H348" s="808" t="s">
        <v>1991</v>
      </c>
      <c r="I348" s="808" t="s">
        <v>1992</v>
      </c>
      <c r="J348" s="810">
        <v>84000000</v>
      </c>
      <c r="K348" s="808" t="s">
        <v>1993</v>
      </c>
      <c r="L348" s="808" t="s">
        <v>1177</v>
      </c>
      <c r="M348" s="808" t="s">
        <v>1973</v>
      </c>
      <c r="N348" s="808" t="s">
        <v>1973</v>
      </c>
      <c r="O348" s="808" t="s">
        <v>2067</v>
      </c>
      <c r="P348" s="808" t="s">
        <v>1995</v>
      </c>
      <c r="Q348" s="808" t="s">
        <v>2002</v>
      </c>
    </row>
    <row r="349" spans="1:17" x14ac:dyDescent="0.25">
      <c r="A349" s="808" t="s">
        <v>1987</v>
      </c>
      <c r="B349" s="808" t="s">
        <v>2412</v>
      </c>
      <c r="C349" s="809">
        <v>16353468</v>
      </c>
      <c r="D349" s="808" t="s">
        <v>1753</v>
      </c>
      <c r="E349" s="808" t="s">
        <v>1753</v>
      </c>
      <c r="F349" s="808" t="s">
        <v>2056</v>
      </c>
      <c r="G349" s="808" t="s">
        <v>1990</v>
      </c>
      <c r="H349" s="808" t="s">
        <v>1991</v>
      </c>
      <c r="I349" s="808" t="s">
        <v>1992</v>
      </c>
      <c r="J349" s="810">
        <v>16353468</v>
      </c>
      <c r="K349" s="808" t="s">
        <v>1993</v>
      </c>
      <c r="L349" s="808" t="s">
        <v>1177</v>
      </c>
      <c r="M349" s="808" t="s">
        <v>1973</v>
      </c>
      <c r="N349" s="808" t="s">
        <v>1973</v>
      </c>
      <c r="O349" s="808" t="s">
        <v>2067</v>
      </c>
      <c r="P349" s="808" t="s">
        <v>1995</v>
      </c>
      <c r="Q349" s="808" t="s">
        <v>2002</v>
      </c>
    </row>
    <row r="350" spans="1:17" x14ac:dyDescent="0.25">
      <c r="A350" s="808" t="s">
        <v>1987</v>
      </c>
      <c r="B350" s="808" t="s">
        <v>2413</v>
      </c>
      <c r="C350" s="809">
        <v>46400000</v>
      </c>
      <c r="D350" s="808" t="s">
        <v>1753</v>
      </c>
      <c r="E350" s="808" t="s">
        <v>1753</v>
      </c>
      <c r="F350" s="808" t="s">
        <v>1989</v>
      </c>
      <c r="G350" s="808" t="s">
        <v>1990</v>
      </c>
      <c r="H350" s="808" t="s">
        <v>1991</v>
      </c>
      <c r="I350" s="808" t="s">
        <v>1992</v>
      </c>
      <c r="J350" s="810">
        <v>46400000</v>
      </c>
      <c r="K350" s="808" t="s">
        <v>1993</v>
      </c>
      <c r="L350" s="808" t="s">
        <v>1177</v>
      </c>
      <c r="M350" s="808" t="s">
        <v>1973</v>
      </c>
      <c r="N350" s="808" t="s">
        <v>1973</v>
      </c>
      <c r="O350" s="808" t="s">
        <v>2067</v>
      </c>
      <c r="P350" s="808" t="s">
        <v>1995</v>
      </c>
      <c r="Q350" s="808" t="s">
        <v>2002</v>
      </c>
    </row>
    <row r="351" spans="1:17" x14ac:dyDescent="0.25">
      <c r="A351" s="808" t="s">
        <v>1987</v>
      </c>
      <c r="B351" s="808" t="s">
        <v>2414</v>
      </c>
      <c r="C351" s="809">
        <v>64000000</v>
      </c>
      <c r="D351" s="808" t="s">
        <v>1753</v>
      </c>
      <c r="E351" s="808" t="s">
        <v>1753</v>
      </c>
      <c r="F351" s="808" t="s">
        <v>1989</v>
      </c>
      <c r="G351" s="808" t="s">
        <v>1990</v>
      </c>
      <c r="H351" s="808" t="s">
        <v>1991</v>
      </c>
      <c r="I351" s="808" t="s">
        <v>1992</v>
      </c>
      <c r="J351" s="810">
        <v>64000000</v>
      </c>
      <c r="K351" s="808" t="s">
        <v>1993</v>
      </c>
      <c r="L351" s="808" t="s">
        <v>1177</v>
      </c>
      <c r="M351" s="808" t="s">
        <v>1973</v>
      </c>
      <c r="N351" s="808" t="s">
        <v>1973</v>
      </c>
      <c r="O351" s="808" t="s">
        <v>2067</v>
      </c>
      <c r="P351" s="808" t="s">
        <v>1995</v>
      </c>
      <c r="Q351" s="808" t="s">
        <v>2002</v>
      </c>
    </row>
    <row r="352" spans="1:17" x14ac:dyDescent="0.25">
      <c r="A352" s="808" t="s">
        <v>1987</v>
      </c>
      <c r="B352" s="808" t="s">
        <v>2415</v>
      </c>
      <c r="C352" s="809">
        <v>44000000</v>
      </c>
      <c r="D352" s="808" t="s">
        <v>1753</v>
      </c>
      <c r="E352" s="808" t="s">
        <v>1753</v>
      </c>
      <c r="F352" s="808" t="s">
        <v>1989</v>
      </c>
      <c r="G352" s="808" t="s">
        <v>1990</v>
      </c>
      <c r="H352" s="808" t="s">
        <v>1991</v>
      </c>
      <c r="I352" s="808" t="s">
        <v>1992</v>
      </c>
      <c r="J352" s="810">
        <v>44000000</v>
      </c>
      <c r="K352" s="808" t="s">
        <v>1993</v>
      </c>
      <c r="L352" s="808" t="s">
        <v>1177</v>
      </c>
      <c r="M352" s="808" t="s">
        <v>1973</v>
      </c>
      <c r="N352" s="808" t="s">
        <v>1973</v>
      </c>
      <c r="O352" s="808" t="s">
        <v>2067</v>
      </c>
      <c r="P352" s="808" t="s">
        <v>1995</v>
      </c>
      <c r="Q352" s="808" t="s">
        <v>2002</v>
      </c>
    </row>
    <row r="353" spans="1:17" x14ac:dyDescent="0.25">
      <c r="A353" s="808" t="s">
        <v>1987</v>
      </c>
      <c r="B353" s="808" t="s">
        <v>2416</v>
      </c>
      <c r="C353" s="809">
        <v>64000000</v>
      </c>
      <c r="D353" s="808" t="s">
        <v>1753</v>
      </c>
      <c r="E353" s="808" t="s">
        <v>1753</v>
      </c>
      <c r="F353" s="808" t="s">
        <v>1989</v>
      </c>
      <c r="G353" s="808" t="s">
        <v>1990</v>
      </c>
      <c r="H353" s="808" t="s">
        <v>1991</v>
      </c>
      <c r="I353" s="808" t="s">
        <v>1992</v>
      </c>
      <c r="J353" s="810">
        <v>64000000</v>
      </c>
      <c r="K353" s="808" t="s">
        <v>1993</v>
      </c>
      <c r="L353" s="808" t="s">
        <v>1177</v>
      </c>
      <c r="M353" s="808" t="s">
        <v>1973</v>
      </c>
      <c r="N353" s="808" t="s">
        <v>1973</v>
      </c>
      <c r="O353" s="808" t="s">
        <v>2067</v>
      </c>
      <c r="P353" s="808" t="s">
        <v>1995</v>
      </c>
      <c r="Q353" s="808" t="s">
        <v>2002</v>
      </c>
    </row>
    <row r="354" spans="1:17" x14ac:dyDescent="0.25">
      <c r="A354" s="808" t="s">
        <v>1987</v>
      </c>
      <c r="B354" s="808" t="s">
        <v>2025</v>
      </c>
      <c r="C354" s="809">
        <v>43780000</v>
      </c>
      <c r="D354" s="808" t="s">
        <v>1753</v>
      </c>
      <c r="E354" s="808" t="s">
        <v>1753</v>
      </c>
      <c r="F354" s="808" t="s">
        <v>2010</v>
      </c>
      <c r="G354" s="808" t="s">
        <v>1990</v>
      </c>
      <c r="H354" s="808" t="s">
        <v>1991</v>
      </c>
      <c r="I354" s="808" t="s">
        <v>1992</v>
      </c>
      <c r="J354" s="810">
        <v>43780000</v>
      </c>
      <c r="K354" s="808" t="s">
        <v>1993</v>
      </c>
      <c r="L354" s="808" t="s">
        <v>1177</v>
      </c>
      <c r="M354" s="808" t="s">
        <v>1973</v>
      </c>
      <c r="N354" s="808" t="s">
        <v>1973</v>
      </c>
      <c r="O354" s="808" t="s">
        <v>2097</v>
      </c>
      <c r="P354" s="808" t="s">
        <v>2098</v>
      </c>
      <c r="Q354" s="808" t="s">
        <v>1996</v>
      </c>
    </row>
    <row r="355" spans="1:17" x14ac:dyDescent="0.25">
      <c r="A355" s="808" t="s">
        <v>1987</v>
      </c>
      <c r="B355" s="808" t="s">
        <v>2417</v>
      </c>
      <c r="C355" s="809">
        <v>43780000</v>
      </c>
      <c r="D355" s="808" t="s">
        <v>1753</v>
      </c>
      <c r="E355" s="808" t="s">
        <v>1753</v>
      </c>
      <c r="F355" s="808" t="s">
        <v>2027</v>
      </c>
      <c r="G355" s="808" t="s">
        <v>1990</v>
      </c>
      <c r="H355" s="808" t="s">
        <v>1991</v>
      </c>
      <c r="I355" s="808" t="s">
        <v>1992</v>
      </c>
      <c r="J355" s="810">
        <v>43780000</v>
      </c>
      <c r="K355" s="808" t="s">
        <v>1993</v>
      </c>
      <c r="L355" s="808" t="s">
        <v>1177</v>
      </c>
      <c r="M355" s="808" t="s">
        <v>1973</v>
      </c>
      <c r="N355" s="808" t="s">
        <v>1973</v>
      </c>
      <c r="O355" s="808" t="s">
        <v>2097</v>
      </c>
      <c r="P355" s="808" t="s">
        <v>2098</v>
      </c>
      <c r="Q355" s="808" t="s">
        <v>1996</v>
      </c>
    </row>
    <row r="356" spans="1:17" x14ac:dyDescent="0.25">
      <c r="A356" s="808" t="s">
        <v>1987</v>
      </c>
      <c r="B356" s="808" t="s">
        <v>2418</v>
      </c>
      <c r="C356" s="809">
        <v>52800000</v>
      </c>
      <c r="D356" s="808" t="s">
        <v>1753</v>
      </c>
      <c r="E356" s="808" t="s">
        <v>1753</v>
      </c>
      <c r="F356" s="808" t="s">
        <v>2010</v>
      </c>
      <c r="G356" s="808" t="s">
        <v>1990</v>
      </c>
      <c r="H356" s="808" t="s">
        <v>1991</v>
      </c>
      <c r="I356" s="808" t="s">
        <v>1992</v>
      </c>
      <c r="J356" s="810">
        <v>52800000</v>
      </c>
      <c r="K356" s="808" t="s">
        <v>1993</v>
      </c>
      <c r="L356" s="808" t="s">
        <v>1177</v>
      </c>
      <c r="M356" s="808" t="s">
        <v>1973</v>
      </c>
      <c r="N356" s="808" t="s">
        <v>1973</v>
      </c>
      <c r="O356" s="808" t="s">
        <v>2097</v>
      </c>
      <c r="P356" s="808" t="s">
        <v>2098</v>
      </c>
      <c r="Q356" s="808" t="s">
        <v>1996</v>
      </c>
    </row>
    <row r="357" spans="1:17" x14ac:dyDescent="0.25">
      <c r="A357" s="808" t="s">
        <v>1987</v>
      </c>
      <c r="B357" s="808" t="s">
        <v>2419</v>
      </c>
      <c r="C357" s="809">
        <v>43780000</v>
      </c>
      <c r="D357" s="808" t="s">
        <v>1753</v>
      </c>
      <c r="E357" s="808" t="s">
        <v>1753</v>
      </c>
      <c r="F357" s="808" t="s">
        <v>2010</v>
      </c>
      <c r="G357" s="808" t="s">
        <v>1990</v>
      </c>
      <c r="H357" s="808" t="s">
        <v>1991</v>
      </c>
      <c r="I357" s="808" t="s">
        <v>1992</v>
      </c>
      <c r="J357" s="810">
        <v>43780000</v>
      </c>
      <c r="K357" s="808" t="s">
        <v>1993</v>
      </c>
      <c r="L357" s="808" t="s">
        <v>1177</v>
      </c>
      <c r="M357" s="808" t="s">
        <v>1973</v>
      </c>
      <c r="N357" s="808" t="s">
        <v>1973</v>
      </c>
      <c r="O357" s="808" t="s">
        <v>2097</v>
      </c>
      <c r="P357" s="808" t="s">
        <v>2098</v>
      </c>
      <c r="Q357" s="808" t="s">
        <v>1996</v>
      </c>
    </row>
    <row r="358" spans="1:17" x14ac:dyDescent="0.25">
      <c r="A358" s="808" t="s">
        <v>1987</v>
      </c>
      <c r="B358" s="808" t="s">
        <v>2420</v>
      </c>
      <c r="C358" s="809">
        <v>48400000</v>
      </c>
      <c r="D358" s="808" t="s">
        <v>1753</v>
      </c>
      <c r="E358" s="808" t="s">
        <v>1753</v>
      </c>
      <c r="F358" s="808" t="s">
        <v>2027</v>
      </c>
      <c r="G358" s="808" t="s">
        <v>1990</v>
      </c>
      <c r="H358" s="808" t="s">
        <v>1991</v>
      </c>
      <c r="I358" s="808" t="s">
        <v>1992</v>
      </c>
      <c r="J358" s="810">
        <v>48400000</v>
      </c>
      <c r="K358" s="808" t="s">
        <v>1993</v>
      </c>
      <c r="L358" s="808" t="s">
        <v>1177</v>
      </c>
      <c r="M358" s="808" t="s">
        <v>1973</v>
      </c>
      <c r="N358" s="808" t="s">
        <v>1973</v>
      </c>
      <c r="O358" s="808" t="s">
        <v>2097</v>
      </c>
      <c r="P358" s="808" t="s">
        <v>2098</v>
      </c>
      <c r="Q358" s="808" t="s">
        <v>1996</v>
      </c>
    </row>
    <row r="359" spans="1:17" x14ac:dyDescent="0.25">
      <c r="A359" s="808" t="s">
        <v>1987</v>
      </c>
      <c r="B359" s="808" t="s">
        <v>2421</v>
      </c>
      <c r="C359" s="809">
        <v>64900000</v>
      </c>
      <c r="D359" s="808" t="s">
        <v>1753</v>
      </c>
      <c r="E359" s="808" t="s">
        <v>1753</v>
      </c>
      <c r="F359" s="808" t="s">
        <v>2027</v>
      </c>
      <c r="G359" s="808" t="s">
        <v>1990</v>
      </c>
      <c r="H359" s="808" t="s">
        <v>1991</v>
      </c>
      <c r="I359" s="808" t="s">
        <v>1992</v>
      </c>
      <c r="J359" s="810">
        <v>64900000</v>
      </c>
      <c r="K359" s="808" t="s">
        <v>1993</v>
      </c>
      <c r="L359" s="808" t="s">
        <v>1177</v>
      </c>
      <c r="M359" s="808" t="s">
        <v>1973</v>
      </c>
      <c r="N359" s="808" t="s">
        <v>1973</v>
      </c>
      <c r="O359" s="808" t="s">
        <v>2097</v>
      </c>
      <c r="P359" s="808" t="s">
        <v>2098</v>
      </c>
      <c r="Q359" s="808" t="s">
        <v>1996</v>
      </c>
    </row>
    <row r="360" spans="1:17" x14ac:dyDescent="0.25">
      <c r="A360" s="808" t="s">
        <v>1987</v>
      </c>
      <c r="B360" s="808" t="s">
        <v>2422</v>
      </c>
      <c r="C360" s="809">
        <v>31600000</v>
      </c>
      <c r="D360" s="808" t="s">
        <v>1753</v>
      </c>
      <c r="E360" s="808" t="s">
        <v>1753</v>
      </c>
      <c r="F360" s="808" t="s">
        <v>2023</v>
      </c>
      <c r="G360" s="808" t="s">
        <v>1990</v>
      </c>
      <c r="H360" s="808" t="s">
        <v>1991</v>
      </c>
      <c r="I360" s="808" t="s">
        <v>1992</v>
      </c>
      <c r="J360" s="810">
        <v>31600000</v>
      </c>
      <c r="K360" s="808" t="s">
        <v>1993</v>
      </c>
      <c r="L360" s="808" t="s">
        <v>1177</v>
      </c>
      <c r="M360" s="808" t="s">
        <v>1973</v>
      </c>
      <c r="N360" s="808" t="s">
        <v>1973</v>
      </c>
      <c r="O360" s="808" t="s">
        <v>2107</v>
      </c>
      <c r="P360" s="808" t="s">
        <v>1995</v>
      </c>
      <c r="Q360" s="808" t="s">
        <v>2043</v>
      </c>
    </row>
    <row r="361" spans="1:17" x14ac:dyDescent="0.25">
      <c r="A361" s="808" t="s">
        <v>1987</v>
      </c>
      <c r="B361" s="808" t="s">
        <v>2423</v>
      </c>
      <c r="C361" s="809">
        <v>64900000</v>
      </c>
      <c r="D361" s="808" t="s">
        <v>1753</v>
      </c>
      <c r="E361" s="808" t="s">
        <v>1753</v>
      </c>
      <c r="F361" s="808" t="s">
        <v>2027</v>
      </c>
      <c r="G361" s="808" t="s">
        <v>1990</v>
      </c>
      <c r="H361" s="808" t="s">
        <v>1991</v>
      </c>
      <c r="I361" s="808" t="s">
        <v>1992</v>
      </c>
      <c r="J361" s="810">
        <v>64900000</v>
      </c>
      <c r="K361" s="808" t="s">
        <v>1993</v>
      </c>
      <c r="L361" s="808" t="s">
        <v>1177</v>
      </c>
      <c r="M361" s="808" t="s">
        <v>1973</v>
      </c>
      <c r="N361" s="808" t="s">
        <v>1973</v>
      </c>
      <c r="O361" s="808" t="s">
        <v>2024</v>
      </c>
      <c r="P361" s="808" t="s">
        <v>1995</v>
      </c>
      <c r="Q361" s="808" t="s">
        <v>1996</v>
      </c>
    </row>
    <row r="362" spans="1:17" x14ac:dyDescent="0.25">
      <c r="A362" s="808" t="s">
        <v>1987</v>
      </c>
      <c r="B362" s="808" t="s">
        <v>2424</v>
      </c>
      <c r="C362" s="809">
        <v>28800000</v>
      </c>
      <c r="D362" s="808" t="s">
        <v>1866</v>
      </c>
      <c r="E362" s="808" t="s">
        <v>1866</v>
      </c>
      <c r="F362" s="808" t="s">
        <v>1989</v>
      </c>
      <c r="G362" s="808" t="s">
        <v>1990</v>
      </c>
      <c r="H362" s="808" t="s">
        <v>1991</v>
      </c>
      <c r="I362" s="808" t="s">
        <v>1992</v>
      </c>
      <c r="J362" s="810">
        <v>28800000</v>
      </c>
      <c r="K362" s="808" t="s">
        <v>1993</v>
      </c>
      <c r="L362" s="808" t="s">
        <v>1177</v>
      </c>
      <c r="M362" s="808" t="s">
        <v>1973</v>
      </c>
      <c r="N362" s="808" t="s">
        <v>1973</v>
      </c>
      <c r="O362" s="808" t="s">
        <v>2024</v>
      </c>
      <c r="P362" s="808" t="s">
        <v>1995</v>
      </c>
      <c r="Q362" s="808" t="s">
        <v>1996</v>
      </c>
    </row>
    <row r="363" spans="1:17" x14ac:dyDescent="0.25">
      <c r="A363" s="808" t="s">
        <v>1987</v>
      </c>
      <c r="B363" s="808" t="s">
        <v>2425</v>
      </c>
      <c r="C363" s="809">
        <v>39600000</v>
      </c>
      <c r="D363" s="808" t="s">
        <v>1749</v>
      </c>
      <c r="E363" s="808" t="s">
        <v>1749</v>
      </c>
      <c r="F363" s="808" t="s">
        <v>2004</v>
      </c>
      <c r="G363" s="808" t="s">
        <v>1990</v>
      </c>
      <c r="H363" s="808" t="s">
        <v>1991</v>
      </c>
      <c r="I363" s="808" t="s">
        <v>1992</v>
      </c>
      <c r="J363" s="810">
        <v>39600000</v>
      </c>
      <c r="K363" s="808" t="s">
        <v>1993</v>
      </c>
      <c r="L363" s="808" t="s">
        <v>1177</v>
      </c>
      <c r="M363" s="808" t="s">
        <v>1973</v>
      </c>
      <c r="N363" s="808" t="s">
        <v>1973</v>
      </c>
      <c r="O363" s="808" t="s">
        <v>2024</v>
      </c>
      <c r="P363" s="808" t="s">
        <v>1995</v>
      </c>
      <c r="Q363" s="808" t="s">
        <v>1996</v>
      </c>
    </row>
    <row r="364" spans="1:17" x14ac:dyDescent="0.25">
      <c r="A364" s="808" t="s">
        <v>1987</v>
      </c>
      <c r="B364" s="808" t="s">
        <v>2426</v>
      </c>
      <c r="C364" s="809">
        <v>36000000</v>
      </c>
      <c r="D364" s="808" t="s">
        <v>1749</v>
      </c>
      <c r="E364" s="808" t="s">
        <v>1749</v>
      </c>
      <c r="F364" s="808" t="s">
        <v>2004</v>
      </c>
      <c r="G364" s="808" t="s">
        <v>1990</v>
      </c>
      <c r="H364" s="808" t="s">
        <v>1991</v>
      </c>
      <c r="I364" s="808" t="s">
        <v>1992</v>
      </c>
      <c r="J364" s="810">
        <v>36000000</v>
      </c>
      <c r="K364" s="808" t="s">
        <v>1993</v>
      </c>
      <c r="L364" s="808" t="s">
        <v>1177</v>
      </c>
      <c r="M364" s="808" t="s">
        <v>1973</v>
      </c>
      <c r="N364" s="808" t="s">
        <v>1973</v>
      </c>
      <c r="O364" s="808" t="s">
        <v>2024</v>
      </c>
      <c r="P364" s="808" t="s">
        <v>1995</v>
      </c>
      <c r="Q364" s="808" t="s">
        <v>1996</v>
      </c>
    </row>
    <row r="365" spans="1:17" x14ac:dyDescent="0.25">
      <c r="A365" s="808" t="s">
        <v>1987</v>
      </c>
      <c r="B365" s="808" t="s">
        <v>2427</v>
      </c>
      <c r="C365" s="809">
        <v>64900000</v>
      </c>
      <c r="D365" s="808" t="s">
        <v>1753</v>
      </c>
      <c r="E365" s="808" t="s">
        <v>1753</v>
      </c>
      <c r="F365" s="808" t="s">
        <v>2027</v>
      </c>
      <c r="G365" s="808" t="s">
        <v>1990</v>
      </c>
      <c r="H365" s="808" t="s">
        <v>1991</v>
      </c>
      <c r="I365" s="808" t="s">
        <v>1992</v>
      </c>
      <c r="J365" s="810">
        <v>64900000</v>
      </c>
      <c r="K365" s="808" t="s">
        <v>1993</v>
      </c>
      <c r="L365" s="808" t="s">
        <v>1177</v>
      </c>
      <c r="M365" s="808" t="s">
        <v>1973</v>
      </c>
      <c r="N365" s="808" t="s">
        <v>1973</v>
      </c>
      <c r="O365" s="808" t="s">
        <v>2024</v>
      </c>
      <c r="P365" s="808" t="s">
        <v>1995</v>
      </c>
      <c r="Q365" s="808" t="s">
        <v>1996</v>
      </c>
    </row>
    <row r="366" spans="1:17" x14ac:dyDescent="0.25">
      <c r="A366" s="808" t="s">
        <v>1987</v>
      </c>
      <c r="B366" s="808" t="s">
        <v>2428</v>
      </c>
      <c r="C366" s="809">
        <v>64900000</v>
      </c>
      <c r="D366" s="808" t="s">
        <v>1749</v>
      </c>
      <c r="E366" s="808" t="s">
        <v>1749</v>
      </c>
      <c r="F366" s="808" t="s">
        <v>2027</v>
      </c>
      <c r="G366" s="808" t="s">
        <v>1990</v>
      </c>
      <c r="H366" s="808" t="s">
        <v>1991</v>
      </c>
      <c r="I366" s="808" t="s">
        <v>1992</v>
      </c>
      <c r="J366" s="810">
        <v>64900000</v>
      </c>
      <c r="K366" s="808" t="s">
        <v>1993</v>
      </c>
      <c r="L366" s="808" t="s">
        <v>1177</v>
      </c>
      <c r="M366" s="808" t="s">
        <v>1973</v>
      </c>
      <c r="N366" s="808" t="s">
        <v>1973</v>
      </c>
      <c r="O366" s="808" t="s">
        <v>2024</v>
      </c>
      <c r="P366" s="808" t="s">
        <v>1995</v>
      </c>
      <c r="Q366" s="808" t="s">
        <v>1996</v>
      </c>
    </row>
    <row r="367" spans="1:17" x14ac:dyDescent="0.25">
      <c r="A367" s="808" t="s">
        <v>1987</v>
      </c>
      <c r="B367" s="808" t="s">
        <v>2429</v>
      </c>
      <c r="C367" s="809">
        <v>64900000</v>
      </c>
      <c r="D367" s="808" t="s">
        <v>1749</v>
      </c>
      <c r="E367" s="808" t="s">
        <v>1749</v>
      </c>
      <c r="F367" s="808" t="s">
        <v>2027</v>
      </c>
      <c r="G367" s="808" t="s">
        <v>1990</v>
      </c>
      <c r="H367" s="808" t="s">
        <v>1991</v>
      </c>
      <c r="I367" s="808" t="s">
        <v>1992</v>
      </c>
      <c r="J367" s="810">
        <v>64900000</v>
      </c>
      <c r="K367" s="808" t="s">
        <v>1993</v>
      </c>
      <c r="L367" s="808" t="s">
        <v>1177</v>
      </c>
      <c r="M367" s="808" t="s">
        <v>1973</v>
      </c>
      <c r="N367" s="808" t="s">
        <v>1973</v>
      </c>
      <c r="O367" s="808" t="s">
        <v>2024</v>
      </c>
      <c r="P367" s="808" t="s">
        <v>1995</v>
      </c>
      <c r="Q367" s="808" t="s">
        <v>1996</v>
      </c>
    </row>
    <row r="368" spans="1:17" x14ac:dyDescent="0.25">
      <c r="A368" s="808" t="s">
        <v>1987</v>
      </c>
      <c r="B368" s="808" t="s">
        <v>2430</v>
      </c>
      <c r="C368" s="809">
        <v>50150000</v>
      </c>
      <c r="D368" s="808" t="s">
        <v>1866</v>
      </c>
      <c r="E368" s="808" t="s">
        <v>1866</v>
      </c>
      <c r="F368" s="808" t="s">
        <v>1989</v>
      </c>
      <c r="G368" s="808" t="s">
        <v>1990</v>
      </c>
      <c r="H368" s="808" t="s">
        <v>1991</v>
      </c>
      <c r="I368" s="808" t="s">
        <v>1992</v>
      </c>
      <c r="J368" s="810">
        <v>50150000</v>
      </c>
      <c r="K368" s="808" t="s">
        <v>1993</v>
      </c>
      <c r="L368" s="808" t="s">
        <v>1177</v>
      </c>
      <c r="M368" s="808" t="s">
        <v>1973</v>
      </c>
      <c r="N368" s="808" t="s">
        <v>1973</v>
      </c>
      <c r="O368" s="808" t="s">
        <v>2024</v>
      </c>
      <c r="P368" s="808" t="s">
        <v>1995</v>
      </c>
      <c r="Q368" s="808" t="s">
        <v>1996</v>
      </c>
    </row>
    <row r="369" spans="1:17" x14ac:dyDescent="0.25">
      <c r="A369" s="808" t="s">
        <v>1987</v>
      </c>
      <c r="B369" s="808" t="s">
        <v>2431</v>
      </c>
      <c r="C369" s="809">
        <v>44000000</v>
      </c>
      <c r="D369" s="808" t="s">
        <v>1749</v>
      </c>
      <c r="E369" s="808" t="s">
        <v>1749</v>
      </c>
      <c r="F369" s="808" t="s">
        <v>2027</v>
      </c>
      <c r="G369" s="808" t="s">
        <v>1990</v>
      </c>
      <c r="H369" s="808" t="s">
        <v>1991</v>
      </c>
      <c r="I369" s="808" t="s">
        <v>1992</v>
      </c>
      <c r="J369" s="810">
        <v>44000000</v>
      </c>
      <c r="K369" s="808" t="s">
        <v>1993</v>
      </c>
      <c r="L369" s="808" t="s">
        <v>1177</v>
      </c>
      <c r="M369" s="808" t="s">
        <v>1973</v>
      </c>
      <c r="N369" s="808" t="s">
        <v>1973</v>
      </c>
      <c r="O369" s="808" t="s">
        <v>2024</v>
      </c>
      <c r="P369" s="808" t="s">
        <v>1995</v>
      </c>
      <c r="Q369" s="808" t="s">
        <v>1996</v>
      </c>
    </row>
    <row r="370" spans="1:17" x14ac:dyDescent="0.25">
      <c r="A370" s="808" t="s">
        <v>1987</v>
      </c>
      <c r="B370" s="808" t="s">
        <v>2432</v>
      </c>
      <c r="C370" s="809">
        <v>40700000</v>
      </c>
      <c r="D370" s="808" t="s">
        <v>1749</v>
      </c>
      <c r="E370" s="808" t="s">
        <v>1749</v>
      </c>
      <c r="F370" s="808" t="s">
        <v>2027</v>
      </c>
      <c r="G370" s="808" t="s">
        <v>1990</v>
      </c>
      <c r="H370" s="808" t="s">
        <v>1991</v>
      </c>
      <c r="I370" s="808" t="s">
        <v>1992</v>
      </c>
      <c r="J370" s="810">
        <v>40700000</v>
      </c>
      <c r="K370" s="808" t="s">
        <v>1993</v>
      </c>
      <c r="L370" s="808" t="s">
        <v>1177</v>
      </c>
      <c r="M370" s="808" t="s">
        <v>1973</v>
      </c>
      <c r="N370" s="808" t="s">
        <v>1973</v>
      </c>
      <c r="O370" s="808" t="s">
        <v>2024</v>
      </c>
      <c r="P370" s="808" t="s">
        <v>1995</v>
      </c>
      <c r="Q370" s="808" t="s">
        <v>1996</v>
      </c>
    </row>
    <row r="371" spans="1:17" x14ac:dyDescent="0.25">
      <c r="A371" s="808" t="s">
        <v>1987</v>
      </c>
      <c r="B371" s="808" t="s">
        <v>2433</v>
      </c>
      <c r="C371" s="809">
        <v>33000000</v>
      </c>
      <c r="D371" s="808" t="s">
        <v>1749</v>
      </c>
      <c r="E371" s="808" t="s">
        <v>1749</v>
      </c>
      <c r="F371" s="808" t="s">
        <v>2004</v>
      </c>
      <c r="G371" s="808" t="s">
        <v>1990</v>
      </c>
      <c r="H371" s="808" t="s">
        <v>1991</v>
      </c>
      <c r="I371" s="808" t="s">
        <v>1992</v>
      </c>
      <c r="J371" s="810">
        <v>33000000</v>
      </c>
      <c r="K371" s="808" t="s">
        <v>1993</v>
      </c>
      <c r="L371" s="808" t="s">
        <v>1177</v>
      </c>
      <c r="M371" s="808" t="s">
        <v>1973</v>
      </c>
      <c r="N371" s="808" t="s">
        <v>1973</v>
      </c>
      <c r="O371" s="808" t="s">
        <v>2024</v>
      </c>
      <c r="P371" s="808" t="s">
        <v>1995</v>
      </c>
      <c r="Q371" s="808" t="s">
        <v>1996</v>
      </c>
    </row>
    <row r="372" spans="1:17" x14ac:dyDescent="0.25">
      <c r="A372" s="808" t="s">
        <v>1987</v>
      </c>
      <c r="B372" s="808" t="s">
        <v>2434</v>
      </c>
      <c r="C372" s="809">
        <v>39600000</v>
      </c>
      <c r="D372" s="808" t="s">
        <v>1749</v>
      </c>
      <c r="E372" s="808" t="s">
        <v>1749</v>
      </c>
      <c r="F372" s="808" t="s">
        <v>2027</v>
      </c>
      <c r="G372" s="808" t="s">
        <v>1990</v>
      </c>
      <c r="H372" s="808" t="s">
        <v>1991</v>
      </c>
      <c r="I372" s="808" t="s">
        <v>1992</v>
      </c>
      <c r="J372" s="810">
        <v>39600000</v>
      </c>
      <c r="K372" s="808" t="s">
        <v>1993</v>
      </c>
      <c r="L372" s="808" t="s">
        <v>1177</v>
      </c>
      <c r="M372" s="808" t="s">
        <v>1973</v>
      </c>
      <c r="N372" s="808" t="s">
        <v>1973</v>
      </c>
      <c r="O372" s="808" t="s">
        <v>2024</v>
      </c>
      <c r="P372" s="808" t="s">
        <v>1995</v>
      </c>
      <c r="Q372" s="808" t="s">
        <v>1996</v>
      </c>
    </row>
    <row r="373" spans="1:17" x14ac:dyDescent="0.25">
      <c r="A373" s="808" t="s">
        <v>2435</v>
      </c>
      <c r="B373" s="808" t="s">
        <v>2436</v>
      </c>
      <c r="C373" s="809">
        <v>59000000</v>
      </c>
      <c r="D373" s="808" t="s">
        <v>1866</v>
      </c>
      <c r="E373" s="808" t="s">
        <v>1750</v>
      </c>
      <c r="F373" s="808" t="s">
        <v>2000</v>
      </c>
      <c r="G373" s="808" t="s">
        <v>1990</v>
      </c>
      <c r="H373" s="808" t="s">
        <v>1905</v>
      </c>
      <c r="I373" s="808" t="s">
        <v>1992</v>
      </c>
      <c r="J373" s="810">
        <v>59000000</v>
      </c>
      <c r="K373" s="808" t="s">
        <v>1993</v>
      </c>
      <c r="L373" s="808" t="s">
        <v>1177</v>
      </c>
      <c r="M373" s="808" t="s">
        <v>1973</v>
      </c>
      <c r="N373" s="808" t="s">
        <v>1973</v>
      </c>
      <c r="O373" s="808" t="s">
        <v>2024</v>
      </c>
      <c r="P373" s="808" t="s">
        <v>1995</v>
      </c>
      <c r="Q373" s="808" t="s">
        <v>1996</v>
      </c>
    </row>
    <row r="374" spans="1:17" x14ac:dyDescent="0.25">
      <c r="A374" s="808" t="s">
        <v>2437</v>
      </c>
      <c r="B374" s="808" t="s">
        <v>2438</v>
      </c>
      <c r="C374" s="809">
        <v>540000000</v>
      </c>
      <c r="D374" s="808" t="s">
        <v>1773</v>
      </c>
      <c r="E374" s="808" t="s">
        <v>1773</v>
      </c>
      <c r="F374" s="808" t="s">
        <v>2056</v>
      </c>
      <c r="G374" s="808" t="s">
        <v>1990</v>
      </c>
      <c r="H374" s="808" t="s">
        <v>2066</v>
      </c>
      <c r="I374" s="808" t="s">
        <v>1992</v>
      </c>
      <c r="J374" s="810">
        <v>540000000</v>
      </c>
      <c r="K374" s="808" t="s">
        <v>1993</v>
      </c>
      <c r="L374" s="808" t="s">
        <v>1177</v>
      </c>
      <c r="M374" s="808" t="s">
        <v>1973</v>
      </c>
      <c r="N374" s="808" t="s">
        <v>1973</v>
      </c>
      <c r="O374" s="808" t="s">
        <v>2024</v>
      </c>
      <c r="P374" s="808" t="s">
        <v>1995</v>
      </c>
      <c r="Q374" s="808" t="s">
        <v>1996</v>
      </c>
    </row>
    <row r="375" spans="1:17" x14ac:dyDescent="0.25">
      <c r="A375" s="808" t="s">
        <v>2439</v>
      </c>
      <c r="B375" s="808" t="s">
        <v>2440</v>
      </c>
      <c r="C375" s="809">
        <v>460700000</v>
      </c>
      <c r="D375" s="808" t="s">
        <v>1757</v>
      </c>
      <c r="E375" s="808" t="s">
        <v>1757</v>
      </c>
      <c r="F375" s="808" t="s">
        <v>2004</v>
      </c>
      <c r="G375" s="808" t="s">
        <v>1990</v>
      </c>
      <c r="H375" s="808" t="s">
        <v>1991</v>
      </c>
      <c r="I375" s="808" t="s">
        <v>1992</v>
      </c>
      <c r="J375" s="810">
        <v>460700000</v>
      </c>
      <c r="K375" s="808" t="s">
        <v>1993</v>
      </c>
      <c r="L375" s="808" t="s">
        <v>1177</v>
      </c>
      <c r="M375" s="808" t="s">
        <v>1973</v>
      </c>
      <c r="N375" s="808" t="s">
        <v>1973</v>
      </c>
      <c r="O375" s="808" t="s">
        <v>2024</v>
      </c>
      <c r="P375" s="808" t="s">
        <v>1995</v>
      </c>
      <c r="Q375" s="808" t="s">
        <v>1996</v>
      </c>
    </row>
    <row r="376" spans="1:17" x14ac:dyDescent="0.25">
      <c r="A376" s="808" t="s">
        <v>2441</v>
      </c>
      <c r="B376" s="808" t="s">
        <v>2442</v>
      </c>
      <c r="C376" s="809">
        <v>400000000</v>
      </c>
      <c r="D376" s="808" t="s">
        <v>1773</v>
      </c>
      <c r="E376" s="808" t="s">
        <v>1773</v>
      </c>
      <c r="F376" s="808" t="s">
        <v>2000</v>
      </c>
      <c r="G376" s="808" t="s">
        <v>1990</v>
      </c>
      <c r="H376" s="808" t="s">
        <v>2066</v>
      </c>
      <c r="I376" s="808" t="s">
        <v>1992</v>
      </c>
      <c r="J376" s="810">
        <v>400000000</v>
      </c>
      <c r="K376" s="808" t="s">
        <v>1993</v>
      </c>
      <c r="L376" s="808" t="s">
        <v>1177</v>
      </c>
      <c r="M376" s="808" t="s">
        <v>1973</v>
      </c>
      <c r="N376" s="808" t="s">
        <v>1973</v>
      </c>
      <c r="O376" s="808" t="s">
        <v>2024</v>
      </c>
      <c r="P376" s="808" t="s">
        <v>1995</v>
      </c>
      <c r="Q376" s="808" t="s">
        <v>1996</v>
      </c>
    </row>
    <row r="377" spans="1:17" x14ac:dyDescent="0.25">
      <c r="A377" s="808" t="s">
        <v>2443</v>
      </c>
      <c r="B377" s="808" t="s">
        <v>2444</v>
      </c>
      <c r="C377" s="809">
        <v>200000000</v>
      </c>
      <c r="D377" s="808" t="s">
        <v>1749</v>
      </c>
      <c r="E377" s="808" t="s">
        <v>1749</v>
      </c>
      <c r="F377" s="808" t="s">
        <v>2000</v>
      </c>
      <c r="G377" s="808" t="s">
        <v>1990</v>
      </c>
      <c r="H377" s="808" t="s">
        <v>2066</v>
      </c>
      <c r="I377" s="808" t="s">
        <v>1992</v>
      </c>
      <c r="J377" s="810">
        <v>200000000</v>
      </c>
      <c r="K377" s="808" t="s">
        <v>1993</v>
      </c>
      <c r="L377" s="808" t="s">
        <v>1177</v>
      </c>
      <c r="M377" s="808" t="s">
        <v>1973</v>
      </c>
      <c r="N377" s="808" t="s">
        <v>1973</v>
      </c>
      <c r="O377" s="808" t="s">
        <v>2024</v>
      </c>
      <c r="P377" s="808" t="s">
        <v>1995</v>
      </c>
      <c r="Q377" s="808" t="s">
        <v>1996</v>
      </c>
    </row>
    <row r="378" spans="1:17" x14ac:dyDescent="0.25">
      <c r="A378" s="808" t="s">
        <v>2445</v>
      </c>
      <c r="B378" s="808" t="s">
        <v>2446</v>
      </c>
      <c r="C378" s="809">
        <v>301405000</v>
      </c>
      <c r="D378" s="808" t="s">
        <v>1749</v>
      </c>
      <c r="E378" s="808" t="s">
        <v>1749</v>
      </c>
      <c r="F378" s="808" t="s">
        <v>2000</v>
      </c>
      <c r="G378" s="808" t="s">
        <v>1990</v>
      </c>
      <c r="H378" s="808" t="s">
        <v>1991</v>
      </c>
      <c r="I378" s="808" t="s">
        <v>1992</v>
      </c>
      <c r="J378" s="810">
        <v>301405000</v>
      </c>
      <c r="K378" s="808" t="s">
        <v>1993</v>
      </c>
      <c r="L378" s="808" t="s">
        <v>1177</v>
      </c>
      <c r="M378" s="808" t="s">
        <v>1973</v>
      </c>
      <c r="N378" s="808" t="s">
        <v>1973</v>
      </c>
      <c r="O378" s="808" t="s">
        <v>2024</v>
      </c>
      <c r="P378" s="808" t="s">
        <v>1995</v>
      </c>
      <c r="Q378" s="808" t="s">
        <v>1996</v>
      </c>
    </row>
    <row r="379" spans="1:17" x14ac:dyDescent="0.25">
      <c r="A379" s="808" t="s">
        <v>1987</v>
      </c>
      <c r="B379" s="808" t="s">
        <v>2447</v>
      </c>
      <c r="C379" s="809">
        <v>85500000</v>
      </c>
      <c r="D379" s="808" t="s">
        <v>1749</v>
      </c>
      <c r="E379" s="808" t="s">
        <v>1749</v>
      </c>
      <c r="F379" s="808" t="s">
        <v>2004</v>
      </c>
      <c r="G379" s="808" t="s">
        <v>1990</v>
      </c>
      <c r="H379" s="808" t="s">
        <v>1991</v>
      </c>
      <c r="I379" s="808" t="s">
        <v>1992</v>
      </c>
      <c r="J379" s="810">
        <v>85500000</v>
      </c>
      <c r="K379" s="808" t="s">
        <v>1993</v>
      </c>
      <c r="L379" s="808" t="s">
        <v>1177</v>
      </c>
      <c r="M379" s="808" t="s">
        <v>1973</v>
      </c>
      <c r="N379" s="808" t="s">
        <v>1973</v>
      </c>
      <c r="O379" s="808" t="s">
        <v>2019</v>
      </c>
      <c r="P379" s="808" t="s">
        <v>1995</v>
      </c>
      <c r="Q379" s="808" t="s">
        <v>2020</v>
      </c>
    </row>
    <row r="380" spans="1:17" x14ac:dyDescent="0.25">
      <c r="A380" s="808" t="s">
        <v>1987</v>
      </c>
      <c r="B380" s="808" t="s">
        <v>2448</v>
      </c>
      <c r="C380" s="809">
        <v>64900000</v>
      </c>
      <c r="D380" s="808" t="s">
        <v>1753</v>
      </c>
      <c r="E380" s="808" t="s">
        <v>1753</v>
      </c>
      <c r="F380" s="808" t="s">
        <v>2027</v>
      </c>
      <c r="G380" s="808" t="s">
        <v>1990</v>
      </c>
      <c r="H380" s="808" t="s">
        <v>1991</v>
      </c>
      <c r="I380" s="808" t="s">
        <v>1992</v>
      </c>
      <c r="J380" s="810">
        <v>64900000</v>
      </c>
      <c r="K380" s="808" t="s">
        <v>1993</v>
      </c>
      <c r="L380" s="808" t="s">
        <v>1177</v>
      </c>
      <c r="M380" s="808" t="s">
        <v>1973</v>
      </c>
      <c r="N380" s="808" t="s">
        <v>1973</v>
      </c>
      <c r="O380" s="808" t="s">
        <v>2024</v>
      </c>
      <c r="P380" s="808" t="s">
        <v>1995</v>
      </c>
      <c r="Q380" s="808" t="s">
        <v>1996</v>
      </c>
    </row>
    <row r="381" spans="1:17" x14ac:dyDescent="0.25">
      <c r="A381" s="808" t="s">
        <v>1987</v>
      </c>
      <c r="B381" s="808" t="s">
        <v>2449</v>
      </c>
      <c r="C381" s="809">
        <v>48144000</v>
      </c>
      <c r="D381" s="808" t="s">
        <v>1743</v>
      </c>
      <c r="E381" s="808" t="s">
        <v>1743</v>
      </c>
      <c r="F381" s="808" t="s">
        <v>2010</v>
      </c>
      <c r="G381" s="808" t="s">
        <v>1990</v>
      </c>
      <c r="H381" s="808" t="s">
        <v>1991</v>
      </c>
      <c r="I381" s="808" t="s">
        <v>1992</v>
      </c>
      <c r="J381" s="810">
        <v>48144000</v>
      </c>
      <c r="K381" s="808" t="s">
        <v>1993</v>
      </c>
      <c r="L381" s="808" t="s">
        <v>1177</v>
      </c>
      <c r="M381" s="808" t="s">
        <v>1973</v>
      </c>
      <c r="N381" s="808" t="s">
        <v>1973</v>
      </c>
      <c r="O381" s="808" t="s">
        <v>2005</v>
      </c>
      <c r="P381" s="808" t="s">
        <v>1995</v>
      </c>
      <c r="Q381" s="808" t="s">
        <v>2006</v>
      </c>
    </row>
    <row r="382" spans="1:17" x14ac:dyDescent="0.25">
      <c r="A382" s="808" t="s">
        <v>1987</v>
      </c>
      <c r="B382" s="808" t="s">
        <v>2450</v>
      </c>
      <c r="C382" s="809">
        <v>37311600</v>
      </c>
      <c r="D382" s="808" t="s">
        <v>1743</v>
      </c>
      <c r="E382" s="808" t="s">
        <v>1743</v>
      </c>
      <c r="F382" s="808" t="s">
        <v>2010</v>
      </c>
      <c r="G382" s="808" t="s">
        <v>1990</v>
      </c>
      <c r="H382" s="808" t="s">
        <v>1991</v>
      </c>
      <c r="I382" s="808" t="s">
        <v>1992</v>
      </c>
      <c r="J382" s="810">
        <v>37311600</v>
      </c>
      <c r="K382" s="808" t="s">
        <v>1993</v>
      </c>
      <c r="L382" s="808" t="s">
        <v>1177</v>
      </c>
      <c r="M382" s="808" t="s">
        <v>1973</v>
      </c>
      <c r="N382" s="808" t="s">
        <v>1973</v>
      </c>
      <c r="O382" s="808" t="s">
        <v>2005</v>
      </c>
      <c r="P382" s="808" t="s">
        <v>1995</v>
      </c>
      <c r="Q382" s="808" t="s">
        <v>2006</v>
      </c>
    </row>
    <row r="383" spans="1:17" x14ac:dyDescent="0.25">
      <c r="A383" s="808" t="s">
        <v>1987</v>
      </c>
      <c r="B383" s="808" t="s">
        <v>2451</v>
      </c>
      <c r="C383" s="809">
        <v>27255780</v>
      </c>
      <c r="D383" s="808" t="s">
        <v>1749</v>
      </c>
      <c r="E383" s="808" t="s">
        <v>1749</v>
      </c>
      <c r="F383" s="808" t="s">
        <v>2023</v>
      </c>
      <c r="G383" s="808" t="s">
        <v>1990</v>
      </c>
      <c r="H383" s="808" t="s">
        <v>1991</v>
      </c>
      <c r="I383" s="808" t="s">
        <v>1992</v>
      </c>
      <c r="J383" s="810">
        <v>27255780</v>
      </c>
      <c r="K383" s="808" t="s">
        <v>1993</v>
      </c>
      <c r="L383" s="808" t="s">
        <v>1177</v>
      </c>
      <c r="M383" s="808" t="s">
        <v>1973</v>
      </c>
      <c r="N383" s="808" t="s">
        <v>1973</v>
      </c>
      <c r="O383" s="808" t="s">
        <v>2183</v>
      </c>
      <c r="P383" s="808" t="s">
        <v>1995</v>
      </c>
      <c r="Q383" s="808" t="s">
        <v>2048</v>
      </c>
    </row>
    <row r="384" spans="1:17" x14ac:dyDescent="0.25">
      <c r="A384" s="808" t="s">
        <v>1987</v>
      </c>
      <c r="B384" s="808" t="s">
        <v>2452</v>
      </c>
      <c r="C384" s="809">
        <v>27255780</v>
      </c>
      <c r="D384" s="808" t="s">
        <v>1749</v>
      </c>
      <c r="E384" s="808" t="s">
        <v>1749</v>
      </c>
      <c r="F384" s="808" t="s">
        <v>2023</v>
      </c>
      <c r="G384" s="808" t="s">
        <v>1990</v>
      </c>
      <c r="H384" s="808" t="s">
        <v>1991</v>
      </c>
      <c r="I384" s="808" t="s">
        <v>1992</v>
      </c>
      <c r="J384" s="810">
        <v>27255780</v>
      </c>
      <c r="K384" s="808" t="s">
        <v>1993</v>
      </c>
      <c r="L384" s="808" t="s">
        <v>1177</v>
      </c>
      <c r="M384" s="808" t="s">
        <v>1973</v>
      </c>
      <c r="N384" s="808" t="s">
        <v>1973</v>
      </c>
      <c r="O384" s="808" t="s">
        <v>2183</v>
      </c>
      <c r="P384" s="808" t="s">
        <v>1995</v>
      </c>
      <c r="Q384" s="808" t="s">
        <v>2048</v>
      </c>
    </row>
    <row r="385" spans="1:17" x14ac:dyDescent="0.25">
      <c r="A385" s="808" t="s">
        <v>1987</v>
      </c>
      <c r="B385" s="808" t="s">
        <v>2453</v>
      </c>
      <c r="C385" s="809">
        <v>40000000</v>
      </c>
      <c r="D385" s="808" t="s">
        <v>1749</v>
      </c>
      <c r="E385" s="808" t="s">
        <v>1749</v>
      </c>
      <c r="F385" s="808" t="s">
        <v>1989</v>
      </c>
      <c r="G385" s="808" t="s">
        <v>1990</v>
      </c>
      <c r="H385" s="808" t="s">
        <v>1991</v>
      </c>
      <c r="I385" s="808" t="s">
        <v>1992</v>
      </c>
      <c r="J385" s="810">
        <v>40000000</v>
      </c>
      <c r="K385" s="808" t="s">
        <v>1993</v>
      </c>
      <c r="L385" s="808" t="s">
        <v>1177</v>
      </c>
      <c r="M385" s="808" t="s">
        <v>1973</v>
      </c>
      <c r="N385" s="808" t="s">
        <v>1973</v>
      </c>
      <c r="O385" s="808" t="s">
        <v>2067</v>
      </c>
      <c r="P385" s="808" t="s">
        <v>1995</v>
      </c>
      <c r="Q385" s="808" t="s">
        <v>2002</v>
      </c>
    </row>
    <row r="386" spans="1:17" x14ac:dyDescent="0.25">
      <c r="A386" s="808" t="s">
        <v>1987</v>
      </c>
      <c r="B386" s="808" t="s">
        <v>2454</v>
      </c>
      <c r="C386" s="809">
        <v>42000000</v>
      </c>
      <c r="D386" s="808" t="s">
        <v>1749</v>
      </c>
      <c r="E386" s="808" t="s">
        <v>1749</v>
      </c>
      <c r="F386" s="808" t="s">
        <v>2000</v>
      </c>
      <c r="G386" s="808" t="s">
        <v>1990</v>
      </c>
      <c r="H386" s="808" t="s">
        <v>1991</v>
      </c>
      <c r="I386" s="808" t="s">
        <v>1992</v>
      </c>
      <c r="J386" s="810">
        <v>42000000</v>
      </c>
      <c r="K386" s="808" t="s">
        <v>1993</v>
      </c>
      <c r="L386" s="808" t="s">
        <v>1177</v>
      </c>
      <c r="M386" s="808" t="s">
        <v>1973</v>
      </c>
      <c r="N386" s="808" t="s">
        <v>1973</v>
      </c>
      <c r="O386" s="808" t="s">
        <v>2067</v>
      </c>
      <c r="P386" s="808" t="s">
        <v>1995</v>
      </c>
      <c r="Q386" s="808" t="s">
        <v>2002</v>
      </c>
    </row>
    <row r="387" spans="1:17" x14ac:dyDescent="0.25">
      <c r="A387" s="808" t="s">
        <v>1987</v>
      </c>
      <c r="B387" s="808" t="s">
        <v>2455</v>
      </c>
      <c r="C387" s="809">
        <v>54162000</v>
      </c>
      <c r="D387" s="808" t="s">
        <v>1749</v>
      </c>
      <c r="E387" s="808" t="s">
        <v>1749</v>
      </c>
      <c r="F387" s="808" t="s">
        <v>2023</v>
      </c>
      <c r="G387" s="808" t="s">
        <v>1990</v>
      </c>
      <c r="H387" s="808" t="s">
        <v>1991</v>
      </c>
      <c r="I387" s="808" t="s">
        <v>1992</v>
      </c>
      <c r="J387" s="810">
        <v>54162000</v>
      </c>
      <c r="K387" s="808" t="s">
        <v>1993</v>
      </c>
      <c r="L387" s="808" t="s">
        <v>1177</v>
      </c>
      <c r="M387" s="808" t="s">
        <v>1973</v>
      </c>
      <c r="N387" s="808" t="s">
        <v>1973</v>
      </c>
      <c r="O387" s="808" t="s">
        <v>2005</v>
      </c>
      <c r="P387" s="808" t="s">
        <v>1995</v>
      </c>
      <c r="Q387" s="808" t="s">
        <v>2006</v>
      </c>
    </row>
    <row r="388" spans="1:17" x14ac:dyDescent="0.25">
      <c r="A388" s="808" t="s">
        <v>1987</v>
      </c>
      <c r="B388" s="808" t="s">
        <v>2456</v>
      </c>
      <c r="C388" s="809">
        <v>22500000</v>
      </c>
      <c r="D388" s="808" t="s">
        <v>1743</v>
      </c>
      <c r="E388" s="808" t="s">
        <v>1743</v>
      </c>
      <c r="F388" s="808" t="s">
        <v>2337</v>
      </c>
      <c r="G388" s="808" t="s">
        <v>1990</v>
      </c>
      <c r="H388" s="808" t="s">
        <v>1991</v>
      </c>
      <c r="I388" s="808" t="s">
        <v>1992</v>
      </c>
      <c r="J388" s="810">
        <v>22500000</v>
      </c>
      <c r="K388" s="808" t="s">
        <v>1993</v>
      </c>
      <c r="L388" s="808" t="s">
        <v>1177</v>
      </c>
      <c r="M388" s="808" t="s">
        <v>1973</v>
      </c>
      <c r="N388" s="808" t="s">
        <v>1973</v>
      </c>
      <c r="O388" s="808" t="s">
        <v>2457</v>
      </c>
      <c r="P388" s="808" t="s">
        <v>2458</v>
      </c>
      <c r="Q388" s="808" t="s">
        <v>2459</v>
      </c>
    </row>
    <row r="389" spans="1:17" x14ac:dyDescent="0.25">
      <c r="A389" s="808" t="s">
        <v>1987</v>
      </c>
      <c r="B389" s="808" t="s">
        <v>2460</v>
      </c>
      <c r="C389" s="809">
        <v>16500000</v>
      </c>
      <c r="D389" s="808" t="s">
        <v>1743</v>
      </c>
      <c r="E389" s="808" t="s">
        <v>1743</v>
      </c>
      <c r="F389" s="808" t="s">
        <v>2337</v>
      </c>
      <c r="G389" s="808" t="s">
        <v>1990</v>
      </c>
      <c r="H389" s="808" t="s">
        <v>1991</v>
      </c>
      <c r="I389" s="808" t="s">
        <v>1992</v>
      </c>
      <c r="J389" s="810">
        <v>16500000</v>
      </c>
      <c r="K389" s="808" t="s">
        <v>1993</v>
      </c>
      <c r="L389" s="808" t="s">
        <v>1177</v>
      </c>
      <c r="M389" s="808" t="s">
        <v>1973</v>
      </c>
      <c r="N389" s="808" t="s">
        <v>1973</v>
      </c>
      <c r="O389" s="808" t="s">
        <v>2457</v>
      </c>
      <c r="P389" s="808" t="s">
        <v>2458</v>
      </c>
      <c r="Q389" s="808" t="s">
        <v>2459</v>
      </c>
    </row>
    <row r="390" spans="1:17" x14ac:dyDescent="0.25">
      <c r="A390" s="808" t="s">
        <v>1987</v>
      </c>
      <c r="B390" s="808" t="s">
        <v>2461</v>
      </c>
      <c r="C390" s="809">
        <v>12000000</v>
      </c>
      <c r="D390" s="808" t="s">
        <v>1749</v>
      </c>
      <c r="E390" s="808" t="s">
        <v>1749</v>
      </c>
      <c r="F390" s="808" t="s">
        <v>2056</v>
      </c>
      <c r="G390" s="808" t="s">
        <v>1990</v>
      </c>
      <c r="H390" s="808" t="s">
        <v>1991</v>
      </c>
      <c r="I390" s="808" t="s">
        <v>1992</v>
      </c>
      <c r="J390" s="810">
        <v>12000000</v>
      </c>
      <c r="K390" s="808" t="s">
        <v>1993</v>
      </c>
      <c r="L390" s="808" t="s">
        <v>1177</v>
      </c>
      <c r="M390" s="808" t="s">
        <v>1973</v>
      </c>
      <c r="N390" s="808" t="s">
        <v>1973</v>
      </c>
      <c r="O390" s="808" t="s">
        <v>2457</v>
      </c>
      <c r="P390" s="808" t="s">
        <v>2458</v>
      </c>
      <c r="Q390" s="808" t="s">
        <v>2459</v>
      </c>
    </row>
    <row r="391" spans="1:17" x14ac:dyDescent="0.25">
      <c r="A391" s="808" t="s">
        <v>1987</v>
      </c>
      <c r="B391" s="808" t="s">
        <v>2462</v>
      </c>
      <c r="C391" s="809">
        <v>40000000</v>
      </c>
      <c r="D391" s="808" t="s">
        <v>1753</v>
      </c>
      <c r="E391" s="808" t="s">
        <v>1753</v>
      </c>
      <c r="F391" s="808" t="s">
        <v>2023</v>
      </c>
      <c r="G391" s="808" t="s">
        <v>1990</v>
      </c>
      <c r="H391" s="808" t="s">
        <v>1991</v>
      </c>
      <c r="I391" s="808" t="s">
        <v>1992</v>
      </c>
      <c r="J391" s="810">
        <v>40000000</v>
      </c>
      <c r="K391" s="808" t="s">
        <v>1993</v>
      </c>
      <c r="L391" s="808" t="s">
        <v>1177</v>
      </c>
      <c r="M391" s="808" t="s">
        <v>1973</v>
      </c>
      <c r="N391" s="808" t="s">
        <v>1973</v>
      </c>
      <c r="O391" s="808" t="s">
        <v>2457</v>
      </c>
      <c r="P391" s="808" t="s">
        <v>2458</v>
      </c>
      <c r="Q391" s="808" t="s">
        <v>2459</v>
      </c>
    </row>
    <row r="392" spans="1:17" x14ac:dyDescent="0.25">
      <c r="A392" s="808" t="s">
        <v>2463</v>
      </c>
      <c r="B392" s="808" t="s">
        <v>2464</v>
      </c>
      <c r="C392" s="809">
        <v>34000000</v>
      </c>
      <c r="D392" s="808" t="s">
        <v>1757</v>
      </c>
      <c r="E392" s="808" t="s">
        <v>1757</v>
      </c>
      <c r="F392" s="808" t="s">
        <v>2000</v>
      </c>
      <c r="G392" s="808" t="s">
        <v>1990</v>
      </c>
      <c r="H392" s="808" t="s">
        <v>1905</v>
      </c>
      <c r="I392" s="808" t="s">
        <v>1992</v>
      </c>
      <c r="J392" s="810">
        <v>34000000</v>
      </c>
      <c r="K392" s="808" t="s">
        <v>1993</v>
      </c>
      <c r="L392" s="808" t="s">
        <v>1177</v>
      </c>
      <c r="M392" s="808" t="s">
        <v>1973</v>
      </c>
      <c r="N392" s="808" t="s">
        <v>1973</v>
      </c>
      <c r="O392" s="808" t="s">
        <v>2457</v>
      </c>
      <c r="P392" s="808" t="s">
        <v>2458</v>
      </c>
      <c r="Q392" s="808" t="s">
        <v>2459</v>
      </c>
    </row>
    <row r="393" spans="1:17" x14ac:dyDescent="0.25">
      <c r="A393" s="808" t="s">
        <v>1987</v>
      </c>
      <c r="B393" s="808" t="s">
        <v>2465</v>
      </c>
      <c r="C393" s="809">
        <v>54000000</v>
      </c>
      <c r="D393" s="808" t="s">
        <v>1749</v>
      </c>
      <c r="E393" s="808" t="s">
        <v>1749</v>
      </c>
      <c r="F393" s="808" t="s">
        <v>2004</v>
      </c>
      <c r="G393" s="808" t="s">
        <v>1990</v>
      </c>
      <c r="H393" s="808" t="s">
        <v>1991</v>
      </c>
      <c r="I393" s="808" t="s">
        <v>1992</v>
      </c>
      <c r="J393" s="810">
        <v>54000000</v>
      </c>
      <c r="K393" s="808" t="s">
        <v>1993</v>
      </c>
      <c r="L393" s="808" t="s">
        <v>1177</v>
      </c>
      <c r="M393" s="808" t="s">
        <v>1973</v>
      </c>
      <c r="N393" s="808" t="s">
        <v>1973</v>
      </c>
      <c r="O393" s="808" t="s">
        <v>2457</v>
      </c>
      <c r="P393" s="808" t="s">
        <v>2458</v>
      </c>
      <c r="Q393" s="808" t="s">
        <v>2459</v>
      </c>
    </row>
    <row r="394" spans="1:17" x14ac:dyDescent="0.25">
      <c r="A394" s="808" t="s">
        <v>1987</v>
      </c>
      <c r="B394" s="808" t="s">
        <v>2466</v>
      </c>
      <c r="C394" s="809">
        <v>40000000</v>
      </c>
      <c r="D394" s="808" t="s">
        <v>1750</v>
      </c>
      <c r="E394" s="808" t="s">
        <v>1750</v>
      </c>
      <c r="F394" s="808" t="s">
        <v>2036</v>
      </c>
      <c r="G394" s="808" t="s">
        <v>1990</v>
      </c>
      <c r="H394" s="808" t="s">
        <v>1991</v>
      </c>
      <c r="I394" s="808" t="s">
        <v>1992</v>
      </c>
      <c r="J394" s="810">
        <v>40000000</v>
      </c>
      <c r="K394" s="808" t="s">
        <v>1993</v>
      </c>
      <c r="L394" s="808" t="s">
        <v>1177</v>
      </c>
      <c r="M394" s="808" t="s">
        <v>1973</v>
      </c>
      <c r="N394" s="808" t="s">
        <v>1973</v>
      </c>
      <c r="O394" s="808" t="s">
        <v>2457</v>
      </c>
      <c r="P394" s="808" t="s">
        <v>2458</v>
      </c>
      <c r="Q394" s="808" t="s">
        <v>2459</v>
      </c>
    </row>
    <row r="395" spans="1:17" x14ac:dyDescent="0.25">
      <c r="A395" s="808" t="s">
        <v>1987</v>
      </c>
      <c r="B395" s="808" t="s">
        <v>2467</v>
      </c>
      <c r="C395" s="809">
        <v>58500000</v>
      </c>
      <c r="D395" s="808" t="s">
        <v>1749</v>
      </c>
      <c r="E395" s="808" t="s">
        <v>1749</v>
      </c>
      <c r="F395" s="808" t="s">
        <v>2004</v>
      </c>
      <c r="G395" s="808" t="s">
        <v>1990</v>
      </c>
      <c r="H395" s="808" t="s">
        <v>1991</v>
      </c>
      <c r="I395" s="808" t="s">
        <v>1992</v>
      </c>
      <c r="J395" s="810">
        <v>58500000</v>
      </c>
      <c r="K395" s="808" t="s">
        <v>1993</v>
      </c>
      <c r="L395" s="808" t="s">
        <v>1177</v>
      </c>
      <c r="M395" s="808" t="s">
        <v>1973</v>
      </c>
      <c r="N395" s="808" t="s">
        <v>1973</v>
      </c>
      <c r="O395" s="808" t="s">
        <v>2457</v>
      </c>
      <c r="P395" s="808" t="s">
        <v>2458</v>
      </c>
      <c r="Q395" s="808" t="s">
        <v>2459</v>
      </c>
    </row>
    <row r="396" spans="1:17" x14ac:dyDescent="0.25">
      <c r="A396" s="808" t="s">
        <v>1987</v>
      </c>
      <c r="B396" s="808" t="s">
        <v>2468</v>
      </c>
      <c r="C396" s="809">
        <v>60000000</v>
      </c>
      <c r="D396" s="808" t="s">
        <v>1866</v>
      </c>
      <c r="E396" s="808" t="s">
        <v>1866</v>
      </c>
      <c r="F396" s="808" t="s">
        <v>1989</v>
      </c>
      <c r="G396" s="808" t="s">
        <v>1990</v>
      </c>
      <c r="H396" s="808" t="s">
        <v>1991</v>
      </c>
      <c r="I396" s="808" t="s">
        <v>1992</v>
      </c>
      <c r="J396" s="810">
        <v>60000000</v>
      </c>
      <c r="K396" s="808" t="s">
        <v>1993</v>
      </c>
      <c r="L396" s="808" t="s">
        <v>1177</v>
      </c>
      <c r="M396" s="808" t="s">
        <v>1973</v>
      </c>
      <c r="N396" s="808" t="s">
        <v>1973</v>
      </c>
      <c r="O396" s="808" t="s">
        <v>2457</v>
      </c>
      <c r="P396" s="808" t="s">
        <v>2458</v>
      </c>
      <c r="Q396" s="808" t="s">
        <v>2459</v>
      </c>
    </row>
    <row r="397" spans="1:17" x14ac:dyDescent="0.25">
      <c r="A397" s="808" t="s">
        <v>2469</v>
      </c>
      <c r="B397" s="808" t="s">
        <v>2470</v>
      </c>
      <c r="C397" s="809">
        <v>650000000</v>
      </c>
      <c r="D397" s="808" t="s">
        <v>1758</v>
      </c>
      <c r="E397" s="808" t="s">
        <v>1758</v>
      </c>
      <c r="F397" s="808" t="s">
        <v>2077</v>
      </c>
      <c r="G397" s="808" t="s">
        <v>1990</v>
      </c>
      <c r="H397" s="808" t="s">
        <v>1991</v>
      </c>
      <c r="I397" s="808" t="s">
        <v>1992</v>
      </c>
      <c r="J397" s="810">
        <v>650000000</v>
      </c>
      <c r="K397" s="808" t="s">
        <v>1993</v>
      </c>
      <c r="L397" s="808" t="s">
        <v>1177</v>
      </c>
      <c r="M397" s="808" t="s">
        <v>1973</v>
      </c>
      <c r="N397" s="808" t="s">
        <v>1973</v>
      </c>
      <c r="O397" s="808" t="s">
        <v>2457</v>
      </c>
      <c r="P397" s="808" t="s">
        <v>2458</v>
      </c>
      <c r="Q397" s="808" t="s">
        <v>2459</v>
      </c>
    </row>
    <row r="398" spans="1:17" x14ac:dyDescent="0.25">
      <c r="A398" s="808" t="s">
        <v>1987</v>
      </c>
      <c r="B398" s="808" t="s">
        <v>2471</v>
      </c>
      <c r="C398" s="809">
        <v>28619969</v>
      </c>
      <c r="D398" s="808" t="s">
        <v>1749</v>
      </c>
      <c r="E398" s="808" t="s">
        <v>1749</v>
      </c>
      <c r="F398" s="808" t="s">
        <v>2036</v>
      </c>
      <c r="G398" s="808" t="s">
        <v>1990</v>
      </c>
      <c r="H398" s="808" t="s">
        <v>1991</v>
      </c>
      <c r="I398" s="808" t="s">
        <v>1992</v>
      </c>
      <c r="J398" s="810">
        <v>28619969</v>
      </c>
      <c r="K398" s="808" t="s">
        <v>1993</v>
      </c>
      <c r="L398" s="808" t="s">
        <v>1177</v>
      </c>
      <c r="M398" s="808" t="s">
        <v>1973</v>
      </c>
      <c r="N398" s="808" t="s">
        <v>1973</v>
      </c>
      <c r="O398" s="808" t="s">
        <v>2472</v>
      </c>
      <c r="P398" s="808" t="s">
        <v>1995</v>
      </c>
      <c r="Q398" s="808" t="s">
        <v>2062</v>
      </c>
    </row>
    <row r="399" spans="1:17" x14ac:dyDescent="0.25">
      <c r="A399" s="808" t="s">
        <v>2473</v>
      </c>
      <c r="B399" s="808" t="s">
        <v>2474</v>
      </c>
      <c r="C399" s="809">
        <v>41337934</v>
      </c>
      <c r="D399" s="808" t="s">
        <v>1866</v>
      </c>
      <c r="E399" s="808" t="s">
        <v>1866</v>
      </c>
      <c r="F399" s="808" t="s">
        <v>2036</v>
      </c>
      <c r="G399" s="808" t="s">
        <v>1990</v>
      </c>
      <c r="H399" s="808" t="s">
        <v>1991</v>
      </c>
      <c r="I399" s="808" t="s">
        <v>1992</v>
      </c>
      <c r="J399" s="810">
        <v>41337934</v>
      </c>
      <c r="K399" s="808" t="s">
        <v>1993</v>
      </c>
      <c r="L399" s="808" t="s">
        <v>1177</v>
      </c>
      <c r="M399" s="808" t="s">
        <v>1973</v>
      </c>
      <c r="N399" s="808" t="s">
        <v>1973</v>
      </c>
      <c r="O399" s="808" t="s">
        <v>2472</v>
      </c>
      <c r="P399" s="808" t="s">
        <v>1995</v>
      </c>
      <c r="Q399" s="808" t="s">
        <v>2062</v>
      </c>
    </row>
    <row r="400" spans="1:17" x14ac:dyDescent="0.25">
      <c r="A400" s="808" t="s">
        <v>1987</v>
      </c>
      <c r="B400" s="808" t="s">
        <v>2475</v>
      </c>
      <c r="C400" s="809">
        <v>28619969</v>
      </c>
      <c r="D400" s="808" t="s">
        <v>1753</v>
      </c>
      <c r="E400" s="808" t="s">
        <v>1753</v>
      </c>
      <c r="F400" s="808" t="s">
        <v>2036</v>
      </c>
      <c r="G400" s="808" t="s">
        <v>1990</v>
      </c>
      <c r="H400" s="808" t="s">
        <v>1991</v>
      </c>
      <c r="I400" s="808" t="s">
        <v>1992</v>
      </c>
      <c r="J400" s="810">
        <v>28619969</v>
      </c>
      <c r="K400" s="808" t="s">
        <v>1993</v>
      </c>
      <c r="L400" s="808" t="s">
        <v>1177</v>
      </c>
      <c r="M400" s="808" t="s">
        <v>1973</v>
      </c>
      <c r="N400" s="808" t="s">
        <v>1973</v>
      </c>
      <c r="O400" s="808" t="s">
        <v>2472</v>
      </c>
      <c r="P400" s="808" t="s">
        <v>1995</v>
      </c>
      <c r="Q400" s="808" t="s">
        <v>2062</v>
      </c>
    </row>
    <row r="401" spans="1:17" x14ac:dyDescent="0.25">
      <c r="A401" s="808" t="s">
        <v>1987</v>
      </c>
      <c r="B401" s="808" t="s">
        <v>2476</v>
      </c>
      <c r="C401" s="809">
        <v>41337934</v>
      </c>
      <c r="D401" s="808" t="s">
        <v>1866</v>
      </c>
      <c r="E401" s="808" t="s">
        <v>1866</v>
      </c>
      <c r="F401" s="808" t="s">
        <v>2036</v>
      </c>
      <c r="G401" s="808" t="s">
        <v>1990</v>
      </c>
      <c r="H401" s="808" t="s">
        <v>1991</v>
      </c>
      <c r="I401" s="808" t="s">
        <v>1992</v>
      </c>
      <c r="J401" s="810">
        <v>41337934</v>
      </c>
      <c r="K401" s="808" t="s">
        <v>1993</v>
      </c>
      <c r="L401" s="808" t="s">
        <v>1177</v>
      </c>
      <c r="M401" s="808" t="s">
        <v>1973</v>
      </c>
      <c r="N401" s="808" t="s">
        <v>1973</v>
      </c>
      <c r="O401" s="808" t="s">
        <v>2472</v>
      </c>
      <c r="P401" s="808" t="s">
        <v>1995</v>
      </c>
      <c r="Q401" s="808" t="s">
        <v>2062</v>
      </c>
    </row>
    <row r="402" spans="1:17" x14ac:dyDescent="0.25">
      <c r="A402" s="808" t="s">
        <v>1987</v>
      </c>
      <c r="B402" s="808" t="s">
        <v>2477</v>
      </c>
      <c r="C402" s="809">
        <v>41337934</v>
      </c>
      <c r="D402" s="808" t="s">
        <v>1866</v>
      </c>
      <c r="E402" s="808" t="s">
        <v>1866</v>
      </c>
      <c r="F402" s="808" t="s">
        <v>2036</v>
      </c>
      <c r="G402" s="808" t="s">
        <v>1990</v>
      </c>
      <c r="H402" s="808" t="s">
        <v>1991</v>
      </c>
      <c r="I402" s="808" t="s">
        <v>1992</v>
      </c>
      <c r="J402" s="810">
        <v>41337934</v>
      </c>
      <c r="K402" s="808" t="s">
        <v>1993</v>
      </c>
      <c r="L402" s="808" t="s">
        <v>1177</v>
      </c>
      <c r="M402" s="808" t="s">
        <v>1973</v>
      </c>
      <c r="N402" s="808" t="s">
        <v>1973</v>
      </c>
      <c r="O402" s="808" t="s">
        <v>2472</v>
      </c>
      <c r="P402" s="808" t="s">
        <v>1995</v>
      </c>
      <c r="Q402" s="808" t="s">
        <v>2062</v>
      </c>
    </row>
    <row r="403" spans="1:17" x14ac:dyDescent="0.25">
      <c r="A403" s="808" t="s">
        <v>1987</v>
      </c>
      <c r="B403" s="808" t="s">
        <v>2478</v>
      </c>
      <c r="C403" s="809">
        <v>41337934</v>
      </c>
      <c r="D403" s="808" t="s">
        <v>1749</v>
      </c>
      <c r="E403" s="808" t="s">
        <v>1749</v>
      </c>
      <c r="F403" s="808" t="s">
        <v>2036</v>
      </c>
      <c r="G403" s="808" t="s">
        <v>1990</v>
      </c>
      <c r="H403" s="808" t="s">
        <v>1991</v>
      </c>
      <c r="I403" s="808" t="s">
        <v>1992</v>
      </c>
      <c r="J403" s="810">
        <v>41337934</v>
      </c>
      <c r="K403" s="808" t="s">
        <v>1993</v>
      </c>
      <c r="L403" s="808" t="s">
        <v>1177</v>
      </c>
      <c r="M403" s="808" t="s">
        <v>1973</v>
      </c>
      <c r="N403" s="808" t="s">
        <v>1973</v>
      </c>
      <c r="O403" s="808" t="s">
        <v>2472</v>
      </c>
      <c r="P403" s="808" t="s">
        <v>1995</v>
      </c>
      <c r="Q403" s="808" t="s">
        <v>2062</v>
      </c>
    </row>
    <row r="404" spans="1:17" x14ac:dyDescent="0.25">
      <c r="A404" s="808" t="s">
        <v>1987</v>
      </c>
      <c r="B404" s="808" t="s">
        <v>2479</v>
      </c>
      <c r="C404" s="809">
        <v>29072832</v>
      </c>
      <c r="D404" s="808" t="s">
        <v>1866</v>
      </c>
      <c r="E404" s="808" t="s">
        <v>1866</v>
      </c>
      <c r="F404" s="808" t="s">
        <v>2056</v>
      </c>
      <c r="G404" s="808" t="s">
        <v>1990</v>
      </c>
      <c r="H404" s="808" t="s">
        <v>1991</v>
      </c>
      <c r="I404" s="808" t="s">
        <v>1992</v>
      </c>
      <c r="J404" s="810">
        <v>29072832</v>
      </c>
      <c r="K404" s="808" t="s">
        <v>1993</v>
      </c>
      <c r="L404" s="808" t="s">
        <v>1177</v>
      </c>
      <c r="M404" s="808" t="s">
        <v>1973</v>
      </c>
      <c r="N404" s="808" t="s">
        <v>1973</v>
      </c>
      <c r="O404" s="808" t="s">
        <v>2472</v>
      </c>
      <c r="P404" s="808" t="s">
        <v>1995</v>
      </c>
      <c r="Q404" s="808" t="s">
        <v>2062</v>
      </c>
    </row>
    <row r="405" spans="1:17" x14ac:dyDescent="0.25">
      <c r="A405" s="808" t="s">
        <v>1987</v>
      </c>
      <c r="B405" s="808" t="s">
        <v>2480</v>
      </c>
      <c r="C405" s="809">
        <v>56838880</v>
      </c>
      <c r="D405" s="808" t="s">
        <v>1753</v>
      </c>
      <c r="E405" s="808" t="s">
        <v>1753</v>
      </c>
      <c r="F405" s="808" t="s">
        <v>2036</v>
      </c>
      <c r="G405" s="808" t="s">
        <v>1990</v>
      </c>
      <c r="H405" s="808" t="s">
        <v>1991</v>
      </c>
      <c r="I405" s="808" t="s">
        <v>1992</v>
      </c>
      <c r="J405" s="810">
        <v>56838880</v>
      </c>
      <c r="K405" s="808" t="s">
        <v>1993</v>
      </c>
      <c r="L405" s="808" t="s">
        <v>1177</v>
      </c>
      <c r="M405" s="808" t="s">
        <v>1973</v>
      </c>
      <c r="N405" s="808" t="s">
        <v>1973</v>
      </c>
      <c r="O405" s="808" t="s">
        <v>2472</v>
      </c>
      <c r="P405" s="808" t="s">
        <v>1995</v>
      </c>
      <c r="Q405" s="808" t="s">
        <v>2062</v>
      </c>
    </row>
    <row r="406" spans="1:17" x14ac:dyDescent="0.25">
      <c r="A406" s="808" t="s">
        <v>1987</v>
      </c>
      <c r="B406" s="808" t="s">
        <v>2481</v>
      </c>
      <c r="C406" s="809">
        <v>24530202</v>
      </c>
      <c r="D406" s="808" t="s">
        <v>1749</v>
      </c>
      <c r="E406" s="808" t="s">
        <v>1749</v>
      </c>
      <c r="F406" s="808" t="s">
        <v>2000</v>
      </c>
      <c r="G406" s="808" t="s">
        <v>1990</v>
      </c>
      <c r="H406" s="808" t="s">
        <v>1991</v>
      </c>
      <c r="I406" s="808" t="s">
        <v>1992</v>
      </c>
      <c r="J406" s="810">
        <v>24530202</v>
      </c>
      <c r="K406" s="808" t="s">
        <v>1993</v>
      </c>
      <c r="L406" s="808" t="s">
        <v>1177</v>
      </c>
      <c r="M406" s="808" t="s">
        <v>1973</v>
      </c>
      <c r="N406" s="808" t="s">
        <v>1973</v>
      </c>
      <c r="O406" s="808" t="s">
        <v>2472</v>
      </c>
      <c r="P406" s="808" t="s">
        <v>1995</v>
      </c>
      <c r="Q406" s="808" t="s">
        <v>2062</v>
      </c>
    </row>
    <row r="407" spans="1:17" x14ac:dyDescent="0.25">
      <c r="A407" s="808" t="s">
        <v>1987</v>
      </c>
      <c r="B407" s="808" t="s">
        <v>2482</v>
      </c>
      <c r="C407" s="809">
        <v>32704000</v>
      </c>
      <c r="D407" s="808" t="s">
        <v>1750</v>
      </c>
      <c r="E407" s="808" t="s">
        <v>1750</v>
      </c>
      <c r="F407" s="808" t="s">
        <v>1989</v>
      </c>
      <c r="G407" s="808" t="s">
        <v>1990</v>
      </c>
      <c r="H407" s="808" t="s">
        <v>1991</v>
      </c>
      <c r="I407" s="808" t="s">
        <v>1992</v>
      </c>
      <c r="J407" s="810">
        <v>32704000</v>
      </c>
      <c r="K407" s="808" t="s">
        <v>1993</v>
      </c>
      <c r="L407" s="808" t="s">
        <v>1177</v>
      </c>
      <c r="M407" s="808" t="s">
        <v>1973</v>
      </c>
      <c r="N407" s="808" t="s">
        <v>1973</v>
      </c>
      <c r="O407" s="808" t="s">
        <v>2107</v>
      </c>
      <c r="P407" s="808" t="s">
        <v>1995</v>
      </c>
      <c r="Q407" s="808" t="s">
        <v>2043</v>
      </c>
    </row>
    <row r="408" spans="1:17" x14ac:dyDescent="0.25">
      <c r="A408" s="808" t="s">
        <v>1987</v>
      </c>
      <c r="B408" s="808" t="s">
        <v>2483</v>
      </c>
      <c r="C408" s="809">
        <v>30000000</v>
      </c>
      <c r="D408" s="808" t="s">
        <v>1758</v>
      </c>
      <c r="E408" s="808" t="s">
        <v>1758</v>
      </c>
      <c r="F408" s="808" t="s">
        <v>2077</v>
      </c>
      <c r="G408" s="808" t="s">
        <v>1990</v>
      </c>
      <c r="H408" s="808" t="s">
        <v>1991</v>
      </c>
      <c r="I408" s="808" t="s">
        <v>1992</v>
      </c>
      <c r="J408" s="810">
        <v>30000000</v>
      </c>
      <c r="K408" s="808" t="s">
        <v>1993</v>
      </c>
      <c r="L408" s="808" t="s">
        <v>1177</v>
      </c>
      <c r="M408" s="808" t="s">
        <v>1973</v>
      </c>
      <c r="N408" s="808" t="s">
        <v>1973</v>
      </c>
      <c r="O408" s="808" t="s">
        <v>2107</v>
      </c>
      <c r="P408" s="808" t="s">
        <v>1995</v>
      </c>
      <c r="Q408" s="808" t="s">
        <v>2043</v>
      </c>
    </row>
    <row r="409" spans="1:17" x14ac:dyDescent="0.25">
      <c r="A409" s="808" t="s">
        <v>1987</v>
      </c>
      <c r="B409" s="808" t="s">
        <v>2484</v>
      </c>
      <c r="C409" s="809">
        <v>8000000</v>
      </c>
      <c r="D409" s="808" t="s">
        <v>1753</v>
      </c>
      <c r="E409" s="808" t="s">
        <v>1753</v>
      </c>
      <c r="F409" s="808" t="s">
        <v>2023</v>
      </c>
      <c r="G409" s="808" t="s">
        <v>1990</v>
      </c>
      <c r="H409" s="808" t="s">
        <v>1991</v>
      </c>
      <c r="I409" s="808" t="s">
        <v>1992</v>
      </c>
      <c r="J409" s="810">
        <v>8000000</v>
      </c>
      <c r="K409" s="808" t="s">
        <v>1993</v>
      </c>
      <c r="L409" s="808" t="s">
        <v>1177</v>
      </c>
      <c r="M409" s="808" t="s">
        <v>1973</v>
      </c>
      <c r="N409" s="808" t="s">
        <v>1973</v>
      </c>
      <c r="O409" s="808" t="s">
        <v>2042</v>
      </c>
      <c r="P409" s="808" t="s">
        <v>1995</v>
      </c>
      <c r="Q409" s="808" t="s">
        <v>2043</v>
      </c>
    </row>
    <row r="410" spans="1:17" x14ac:dyDescent="0.25">
      <c r="A410" s="808" t="s">
        <v>1987</v>
      </c>
      <c r="B410" s="808" t="s">
        <v>2485</v>
      </c>
      <c r="C410" s="809">
        <v>5940000</v>
      </c>
      <c r="D410" s="808" t="s">
        <v>1753</v>
      </c>
      <c r="E410" s="808" t="s">
        <v>1753</v>
      </c>
      <c r="F410" s="808" t="s">
        <v>2027</v>
      </c>
      <c r="G410" s="808" t="s">
        <v>1990</v>
      </c>
      <c r="H410" s="808" t="s">
        <v>1991</v>
      </c>
      <c r="I410" s="808" t="s">
        <v>1992</v>
      </c>
      <c r="J410" s="810">
        <v>5940000</v>
      </c>
      <c r="K410" s="808" t="s">
        <v>1993</v>
      </c>
      <c r="L410" s="808" t="s">
        <v>1177</v>
      </c>
      <c r="M410" s="808" t="s">
        <v>1973</v>
      </c>
      <c r="N410" s="808" t="s">
        <v>1973</v>
      </c>
      <c r="O410" s="808" t="s">
        <v>2042</v>
      </c>
      <c r="P410" s="808" t="s">
        <v>1995</v>
      </c>
      <c r="Q410" s="808" t="s">
        <v>2043</v>
      </c>
    </row>
    <row r="411" spans="1:17" x14ac:dyDescent="0.25">
      <c r="A411" s="808" t="s">
        <v>1987</v>
      </c>
      <c r="B411" s="808" t="s">
        <v>2486</v>
      </c>
      <c r="C411" s="809">
        <v>42000000</v>
      </c>
      <c r="D411" s="808" t="s">
        <v>1757</v>
      </c>
      <c r="E411" s="808" t="s">
        <v>1757</v>
      </c>
      <c r="F411" s="808" t="s">
        <v>2036</v>
      </c>
      <c r="G411" s="808" t="s">
        <v>1990</v>
      </c>
      <c r="H411" s="808" t="s">
        <v>1991</v>
      </c>
      <c r="I411" s="808" t="s">
        <v>1992</v>
      </c>
      <c r="J411" s="810">
        <v>42000000</v>
      </c>
      <c r="K411" s="808" t="s">
        <v>1993</v>
      </c>
      <c r="L411" s="808" t="s">
        <v>1177</v>
      </c>
      <c r="M411" s="808" t="s">
        <v>1973</v>
      </c>
      <c r="N411" s="808" t="s">
        <v>1973</v>
      </c>
      <c r="O411" s="808" t="s">
        <v>2042</v>
      </c>
      <c r="P411" s="808" t="s">
        <v>1995</v>
      </c>
      <c r="Q411" s="808" t="s">
        <v>2043</v>
      </c>
    </row>
    <row r="412" spans="1:17" x14ac:dyDescent="0.25">
      <c r="A412" s="808" t="s">
        <v>1987</v>
      </c>
      <c r="B412" s="808" t="s">
        <v>2487</v>
      </c>
      <c r="C412" s="809">
        <v>35000000</v>
      </c>
      <c r="D412" s="808" t="s">
        <v>1757</v>
      </c>
      <c r="E412" s="808" t="s">
        <v>1757</v>
      </c>
      <c r="F412" s="808" t="s">
        <v>2036</v>
      </c>
      <c r="G412" s="808" t="s">
        <v>1990</v>
      </c>
      <c r="H412" s="808" t="s">
        <v>1991</v>
      </c>
      <c r="I412" s="808" t="s">
        <v>1992</v>
      </c>
      <c r="J412" s="810">
        <v>35000000</v>
      </c>
      <c r="K412" s="808" t="s">
        <v>1993</v>
      </c>
      <c r="L412" s="808" t="s">
        <v>1177</v>
      </c>
      <c r="M412" s="808" t="s">
        <v>1973</v>
      </c>
      <c r="N412" s="808" t="s">
        <v>1973</v>
      </c>
      <c r="O412" s="808" t="s">
        <v>2042</v>
      </c>
      <c r="P412" s="808" t="s">
        <v>1995</v>
      </c>
      <c r="Q412" s="808" t="s">
        <v>2043</v>
      </c>
    </row>
    <row r="413" spans="1:17" x14ac:dyDescent="0.25">
      <c r="A413" s="808" t="s">
        <v>1987</v>
      </c>
      <c r="B413" s="808" t="s">
        <v>2488</v>
      </c>
      <c r="C413" s="809">
        <v>20440000</v>
      </c>
      <c r="D413" s="808" t="s">
        <v>1757</v>
      </c>
      <c r="E413" s="808" t="s">
        <v>1757</v>
      </c>
      <c r="F413" s="808" t="s">
        <v>2077</v>
      </c>
      <c r="G413" s="808" t="s">
        <v>1990</v>
      </c>
      <c r="H413" s="808" t="s">
        <v>1991</v>
      </c>
      <c r="I413" s="808" t="s">
        <v>1992</v>
      </c>
      <c r="J413" s="810">
        <v>20440000</v>
      </c>
      <c r="K413" s="808" t="s">
        <v>1993</v>
      </c>
      <c r="L413" s="808" t="s">
        <v>1177</v>
      </c>
      <c r="M413" s="808" t="s">
        <v>1973</v>
      </c>
      <c r="N413" s="808" t="s">
        <v>1973</v>
      </c>
      <c r="O413" s="808" t="s">
        <v>2042</v>
      </c>
      <c r="P413" s="808" t="s">
        <v>1995</v>
      </c>
      <c r="Q413" s="808" t="s">
        <v>2043</v>
      </c>
    </row>
    <row r="414" spans="1:17" x14ac:dyDescent="0.25">
      <c r="A414" s="808" t="s">
        <v>1987</v>
      </c>
      <c r="B414" s="808" t="s">
        <v>2489</v>
      </c>
      <c r="C414" s="809">
        <v>21000000</v>
      </c>
      <c r="D414" s="808" t="s">
        <v>1757</v>
      </c>
      <c r="E414" s="808" t="s">
        <v>1757</v>
      </c>
      <c r="F414" s="808" t="s">
        <v>2036</v>
      </c>
      <c r="G414" s="808" t="s">
        <v>1990</v>
      </c>
      <c r="H414" s="808" t="s">
        <v>1991</v>
      </c>
      <c r="I414" s="808" t="s">
        <v>1992</v>
      </c>
      <c r="J414" s="810">
        <v>21000000</v>
      </c>
      <c r="K414" s="808" t="s">
        <v>1993</v>
      </c>
      <c r="L414" s="808" t="s">
        <v>1177</v>
      </c>
      <c r="M414" s="808" t="s">
        <v>1973</v>
      </c>
      <c r="N414" s="808" t="s">
        <v>1973</v>
      </c>
      <c r="O414" s="808" t="s">
        <v>2042</v>
      </c>
      <c r="P414" s="808" t="s">
        <v>1995</v>
      </c>
      <c r="Q414" s="808" t="s">
        <v>2043</v>
      </c>
    </row>
    <row r="415" spans="1:17" x14ac:dyDescent="0.25">
      <c r="A415" s="808" t="s">
        <v>2490</v>
      </c>
      <c r="B415" s="808" t="s">
        <v>2491</v>
      </c>
      <c r="C415" s="809">
        <v>281078765</v>
      </c>
      <c r="D415" s="808" t="s">
        <v>1749</v>
      </c>
      <c r="E415" s="808" t="s">
        <v>1749</v>
      </c>
      <c r="F415" s="808" t="s">
        <v>2056</v>
      </c>
      <c r="G415" s="808" t="s">
        <v>1990</v>
      </c>
      <c r="H415" s="808" t="s">
        <v>2167</v>
      </c>
      <c r="I415" s="808" t="s">
        <v>1992</v>
      </c>
      <c r="J415" s="810">
        <v>281078765</v>
      </c>
      <c r="K415" s="808" t="s">
        <v>1993</v>
      </c>
      <c r="L415" s="808" t="s">
        <v>1177</v>
      </c>
      <c r="M415" s="808" t="s">
        <v>1973</v>
      </c>
      <c r="N415" s="808" t="s">
        <v>1973</v>
      </c>
      <c r="O415" s="808" t="s">
        <v>2042</v>
      </c>
      <c r="P415" s="808" t="s">
        <v>1995</v>
      </c>
      <c r="Q415" s="808" t="s">
        <v>2043</v>
      </c>
    </row>
    <row r="416" spans="1:17" x14ac:dyDescent="0.25">
      <c r="A416" s="808" t="s">
        <v>2492</v>
      </c>
      <c r="B416" s="808" t="s">
        <v>2493</v>
      </c>
      <c r="C416" s="809">
        <v>351000000</v>
      </c>
      <c r="D416" s="808" t="s">
        <v>1866</v>
      </c>
      <c r="E416" s="808" t="s">
        <v>1750</v>
      </c>
      <c r="F416" s="808" t="s">
        <v>2337</v>
      </c>
      <c r="G416" s="808" t="s">
        <v>1990</v>
      </c>
      <c r="H416" s="808" t="s">
        <v>2128</v>
      </c>
      <c r="I416" s="808" t="s">
        <v>1992</v>
      </c>
      <c r="J416" s="810">
        <v>351000000</v>
      </c>
      <c r="K416" s="808" t="s">
        <v>1993</v>
      </c>
      <c r="L416" s="808" t="s">
        <v>1177</v>
      </c>
      <c r="M416" s="808" t="s">
        <v>1973</v>
      </c>
      <c r="N416" s="808" t="s">
        <v>1973</v>
      </c>
      <c r="O416" s="808" t="s">
        <v>2042</v>
      </c>
      <c r="P416" s="808" t="s">
        <v>1995</v>
      </c>
      <c r="Q416" s="808" t="s">
        <v>2043</v>
      </c>
    </row>
    <row r="417" spans="1:17" x14ac:dyDescent="0.25">
      <c r="A417" s="808" t="s">
        <v>2494</v>
      </c>
      <c r="B417" s="808" t="s">
        <v>2495</v>
      </c>
      <c r="C417" s="809">
        <v>365849462</v>
      </c>
      <c r="D417" s="808" t="s">
        <v>1750</v>
      </c>
      <c r="E417" s="808" t="s">
        <v>1750</v>
      </c>
      <c r="F417" s="808" t="s">
        <v>2000</v>
      </c>
      <c r="G417" s="808" t="s">
        <v>1990</v>
      </c>
      <c r="H417" s="808" t="s">
        <v>2066</v>
      </c>
      <c r="I417" s="808" t="s">
        <v>1992</v>
      </c>
      <c r="J417" s="810">
        <v>368824461</v>
      </c>
      <c r="K417" s="808" t="s">
        <v>1993</v>
      </c>
      <c r="L417" s="808" t="s">
        <v>1177</v>
      </c>
      <c r="M417" s="808" t="s">
        <v>1973</v>
      </c>
      <c r="N417" s="808" t="s">
        <v>1973</v>
      </c>
      <c r="O417" s="808" t="s">
        <v>2042</v>
      </c>
      <c r="P417" s="808" t="s">
        <v>1995</v>
      </c>
      <c r="Q417" s="808" t="s">
        <v>2043</v>
      </c>
    </row>
    <row r="418" spans="1:17" x14ac:dyDescent="0.25">
      <c r="A418" s="808" t="s">
        <v>2492</v>
      </c>
      <c r="B418" s="808" t="s">
        <v>2496</v>
      </c>
      <c r="C418" s="809">
        <v>2425072235</v>
      </c>
      <c r="D418" s="808" t="s">
        <v>1773</v>
      </c>
      <c r="E418" s="808" t="s">
        <v>1762</v>
      </c>
      <c r="F418" s="808" t="s">
        <v>2000</v>
      </c>
      <c r="G418" s="808" t="s">
        <v>1990</v>
      </c>
      <c r="H418" s="808" t="s">
        <v>2122</v>
      </c>
      <c r="I418" s="808" t="s">
        <v>1992</v>
      </c>
      <c r="J418" s="810">
        <v>2425072235</v>
      </c>
      <c r="K418" s="808" t="s">
        <v>1993</v>
      </c>
      <c r="L418" s="808" t="s">
        <v>1177</v>
      </c>
      <c r="M418" s="808" t="s">
        <v>1973</v>
      </c>
      <c r="N418" s="808" t="s">
        <v>1973</v>
      </c>
      <c r="O418" s="808" t="s">
        <v>2042</v>
      </c>
      <c r="P418" s="808" t="s">
        <v>1995</v>
      </c>
      <c r="Q418" s="808" t="s">
        <v>2043</v>
      </c>
    </row>
    <row r="419" spans="1:17" x14ac:dyDescent="0.25">
      <c r="A419" s="808" t="s">
        <v>2497</v>
      </c>
      <c r="B419" s="808" t="s">
        <v>2498</v>
      </c>
      <c r="C419" s="809">
        <v>100000000</v>
      </c>
      <c r="D419" s="808" t="s">
        <v>2499</v>
      </c>
      <c r="E419" s="808" t="s">
        <v>2499</v>
      </c>
      <c r="F419" s="808" t="s">
        <v>2337</v>
      </c>
      <c r="G419" s="808" t="s">
        <v>1990</v>
      </c>
      <c r="H419" s="808" t="s">
        <v>2128</v>
      </c>
      <c r="I419" s="808" t="s">
        <v>1992</v>
      </c>
      <c r="J419" s="810">
        <v>100000000</v>
      </c>
      <c r="K419" s="808" t="s">
        <v>1993</v>
      </c>
      <c r="L419" s="808" t="s">
        <v>1177</v>
      </c>
      <c r="M419" s="808" t="s">
        <v>1973</v>
      </c>
      <c r="N419" s="808" t="s">
        <v>1973</v>
      </c>
      <c r="O419" s="808" t="s">
        <v>2042</v>
      </c>
      <c r="P419" s="808" t="s">
        <v>1995</v>
      </c>
      <c r="Q419" s="808" t="s">
        <v>2043</v>
      </c>
    </row>
    <row r="420" spans="1:17" x14ac:dyDescent="0.25">
      <c r="A420" s="808" t="s">
        <v>2168</v>
      </c>
      <c r="B420" s="808" t="s">
        <v>2500</v>
      </c>
      <c r="C420" s="809">
        <v>5000000000</v>
      </c>
      <c r="D420" s="808" t="s">
        <v>1753</v>
      </c>
      <c r="E420" s="808" t="s">
        <v>1749</v>
      </c>
      <c r="F420" s="808" t="s">
        <v>2023</v>
      </c>
      <c r="G420" s="808" t="s">
        <v>1990</v>
      </c>
      <c r="H420" s="808" t="s">
        <v>2078</v>
      </c>
      <c r="I420" s="808" t="s">
        <v>1992</v>
      </c>
      <c r="J420" s="810">
        <v>5000000000</v>
      </c>
      <c r="K420" s="808" t="s">
        <v>1993</v>
      </c>
      <c r="L420" s="808" t="s">
        <v>1177</v>
      </c>
      <c r="M420" s="808" t="s">
        <v>1973</v>
      </c>
      <c r="N420" s="808" t="s">
        <v>1973</v>
      </c>
      <c r="O420" s="808" t="s">
        <v>2107</v>
      </c>
      <c r="P420" s="808" t="s">
        <v>1995</v>
      </c>
      <c r="Q420" s="808" t="s">
        <v>2043</v>
      </c>
    </row>
    <row r="421" spans="1:17" x14ac:dyDescent="0.25">
      <c r="A421" s="808" t="s">
        <v>1987</v>
      </c>
      <c r="B421" s="808" t="s">
        <v>2501</v>
      </c>
      <c r="C421" s="809">
        <v>73039148</v>
      </c>
      <c r="D421" s="808" t="s">
        <v>1749</v>
      </c>
      <c r="E421" s="808" t="s">
        <v>1749</v>
      </c>
      <c r="F421" s="808" t="s">
        <v>2004</v>
      </c>
      <c r="G421" s="808" t="s">
        <v>1990</v>
      </c>
      <c r="H421" s="808" t="s">
        <v>1991</v>
      </c>
      <c r="I421" s="808" t="s">
        <v>1992</v>
      </c>
      <c r="J421" s="810">
        <v>73039148</v>
      </c>
      <c r="K421" s="808" t="s">
        <v>1993</v>
      </c>
      <c r="L421" s="808" t="s">
        <v>1177</v>
      </c>
      <c r="M421" s="808" t="s">
        <v>1973</v>
      </c>
      <c r="N421" s="808" t="s">
        <v>1973</v>
      </c>
      <c r="O421" s="808" t="s">
        <v>2107</v>
      </c>
      <c r="P421" s="808" t="s">
        <v>1995</v>
      </c>
      <c r="Q421" s="808" t="s">
        <v>2043</v>
      </c>
    </row>
    <row r="422" spans="1:17" x14ac:dyDescent="0.25">
      <c r="A422" s="808" t="s">
        <v>1987</v>
      </c>
      <c r="B422" s="808" t="s">
        <v>2502</v>
      </c>
      <c r="C422" s="809">
        <v>39000000</v>
      </c>
      <c r="D422" s="808" t="s">
        <v>1758</v>
      </c>
      <c r="E422" s="808" t="s">
        <v>1758</v>
      </c>
      <c r="F422" s="808" t="s">
        <v>2000</v>
      </c>
      <c r="G422" s="808" t="s">
        <v>1990</v>
      </c>
      <c r="H422" s="808" t="s">
        <v>1991</v>
      </c>
      <c r="I422" s="808" t="s">
        <v>1992</v>
      </c>
      <c r="J422" s="810">
        <v>39000000</v>
      </c>
      <c r="K422" s="808" t="s">
        <v>1993</v>
      </c>
      <c r="L422" s="808" t="s">
        <v>1177</v>
      </c>
      <c r="M422" s="808" t="s">
        <v>1973</v>
      </c>
      <c r="N422" s="808" t="s">
        <v>1973</v>
      </c>
      <c r="O422" s="808" t="s">
        <v>2107</v>
      </c>
      <c r="P422" s="808" t="s">
        <v>1995</v>
      </c>
      <c r="Q422" s="808" t="s">
        <v>2043</v>
      </c>
    </row>
    <row r="423" spans="1:17" x14ac:dyDescent="0.25">
      <c r="A423" s="808" t="s">
        <v>1987</v>
      </c>
      <c r="B423" s="808" t="s">
        <v>2503</v>
      </c>
      <c r="C423" s="809">
        <v>39900000</v>
      </c>
      <c r="D423" s="808" t="s">
        <v>1757</v>
      </c>
      <c r="E423" s="808" t="s">
        <v>1757</v>
      </c>
      <c r="F423" s="808" t="s">
        <v>2036</v>
      </c>
      <c r="G423" s="808" t="s">
        <v>1990</v>
      </c>
      <c r="H423" s="808" t="s">
        <v>1991</v>
      </c>
      <c r="I423" s="808" t="s">
        <v>1992</v>
      </c>
      <c r="J423" s="810">
        <v>39900000</v>
      </c>
      <c r="K423" s="808" t="s">
        <v>1993</v>
      </c>
      <c r="L423" s="808" t="s">
        <v>1177</v>
      </c>
      <c r="M423" s="808" t="s">
        <v>1973</v>
      </c>
      <c r="N423" s="808" t="s">
        <v>1973</v>
      </c>
      <c r="O423" s="808" t="s">
        <v>2107</v>
      </c>
      <c r="P423" s="808" t="s">
        <v>1995</v>
      </c>
      <c r="Q423" s="808" t="s">
        <v>2043</v>
      </c>
    </row>
    <row r="424" spans="1:17" x14ac:dyDescent="0.25">
      <c r="A424" s="808" t="s">
        <v>1987</v>
      </c>
      <c r="B424" s="808" t="s">
        <v>2504</v>
      </c>
      <c r="C424" s="809">
        <v>35550000</v>
      </c>
      <c r="D424" s="808" t="s">
        <v>1749</v>
      </c>
      <c r="E424" s="808" t="s">
        <v>1749</v>
      </c>
      <c r="F424" s="808" t="s">
        <v>2004</v>
      </c>
      <c r="G424" s="808" t="s">
        <v>1990</v>
      </c>
      <c r="H424" s="808" t="s">
        <v>1991</v>
      </c>
      <c r="I424" s="808" t="s">
        <v>1992</v>
      </c>
      <c r="J424" s="810">
        <v>35550000</v>
      </c>
      <c r="K424" s="808" t="s">
        <v>1993</v>
      </c>
      <c r="L424" s="808" t="s">
        <v>1177</v>
      </c>
      <c r="M424" s="808" t="s">
        <v>1973</v>
      </c>
      <c r="N424" s="808" t="s">
        <v>1973</v>
      </c>
      <c r="O424" s="808" t="s">
        <v>2107</v>
      </c>
      <c r="P424" s="808" t="s">
        <v>1995</v>
      </c>
      <c r="Q424" s="808" t="s">
        <v>2043</v>
      </c>
    </row>
    <row r="425" spans="1:17" x14ac:dyDescent="0.25">
      <c r="A425" s="808" t="s">
        <v>2505</v>
      </c>
      <c r="B425" s="808" t="s">
        <v>2506</v>
      </c>
      <c r="C425" s="809">
        <v>43000000000</v>
      </c>
      <c r="D425" s="808" t="s">
        <v>1753</v>
      </c>
      <c r="E425" s="808" t="s">
        <v>1749</v>
      </c>
      <c r="F425" s="808" t="s">
        <v>2507</v>
      </c>
      <c r="G425" s="808" t="s">
        <v>1990</v>
      </c>
      <c r="H425" s="808" t="s">
        <v>2508</v>
      </c>
      <c r="I425" s="808" t="s">
        <v>2509</v>
      </c>
      <c r="J425" s="810">
        <v>43000000000</v>
      </c>
      <c r="K425" s="808" t="s">
        <v>1993</v>
      </c>
      <c r="L425" s="808" t="s">
        <v>1177</v>
      </c>
      <c r="M425" s="808" t="s">
        <v>1973</v>
      </c>
      <c r="N425" s="808" t="s">
        <v>1973</v>
      </c>
      <c r="O425" s="808" t="s">
        <v>2042</v>
      </c>
      <c r="P425" s="808" t="s">
        <v>1995</v>
      </c>
      <c r="Q425" s="808" t="s">
        <v>2043</v>
      </c>
    </row>
    <row r="426" spans="1:17" x14ac:dyDescent="0.25">
      <c r="A426" s="808" t="s">
        <v>2168</v>
      </c>
      <c r="B426" s="808" t="s">
        <v>2510</v>
      </c>
      <c r="C426" s="809">
        <v>6474000000</v>
      </c>
      <c r="D426" s="808" t="s">
        <v>1753</v>
      </c>
      <c r="E426" s="808" t="s">
        <v>1749</v>
      </c>
      <c r="F426" s="808" t="s">
        <v>2507</v>
      </c>
      <c r="G426" s="808" t="s">
        <v>1990</v>
      </c>
      <c r="H426" s="808" t="s">
        <v>2167</v>
      </c>
      <c r="I426" s="808" t="s">
        <v>1992</v>
      </c>
      <c r="J426" s="810">
        <v>6474000000</v>
      </c>
      <c r="K426" s="808" t="s">
        <v>1993</v>
      </c>
      <c r="L426" s="808" t="s">
        <v>1177</v>
      </c>
      <c r="M426" s="808" t="s">
        <v>1973</v>
      </c>
      <c r="N426" s="808" t="s">
        <v>1973</v>
      </c>
      <c r="O426" s="808" t="s">
        <v>2042</v>
      </c>
      <c r="P426" s="808" t="s">
        <v>1995</v>
      </c>
      <c r="Q426" s="808" t="s">
        <v>2043</v>
      </c>
    </row>
    <row r="427" spans="1:17" x14ac:dyDescent="0.25">
      <c r="A427" s="808" t="s">
        <v>1987</v>
      </c>
      <c r="B427" s="808" t="s">
        <v>2511</v>
      </c>
      <c r="C427" s="809">
        <v>27000000</v>
      </c>
      <c r="D427" s="808" t="s">
        <v>1749</v>
      </c>
      <c r="E427" s="808" t="s">
        <v>1749</v>
      </c>
      <c r="F427" s="808" t="s">
        <v>2004</v>
      </c>
      <c r="G427" s="808" t="s">
        <v>1990</v>
      </c>
      <c r="H427" s="808" t="s">
        <v>1991</v>
      </c>
      <c r="I427" s="808" t="s">
        <v>1992</v>
      </c>
      <c r="J427" s="810">
        <v>27000000</v>
      </c>
      <c r="K427" s="808" t="s">
        <v>1993</v>
      </c>
      <c r="L427" s="808" t="s">
        <v>1177</v>
      </c>
      <c r="M427" s="808" t="s">
        <v>1973</v>
      </c>
      <c r="N427" s="808"/>
      <c r="O427" s="808" t="s">
        <v>2107</v>
      </c>
      <c r="P427" s="808" t="s">
        <v>1995</v>
      </c>
      <c r="Q427" s="808" t="s">
        <v>2043</v>
      </c>
    </row>
    <row r="428" spans="1:17" x14ac:dyDescent="0.25">
      <c r="A428" s="808" t="s">
        <v>1987</v>
      </c>
      <c r="B428" s="808" t="s">
        <v>2512</v>
      </c>
      <c r="C428" s="809">
        <v>39900000</v>
      </c>
      <c r="D428" s="808" t="s">
        <v>1757</v>
      </c>
      <c r="E428" s="808" t="s">
        <v>1757</v>
      </c>
      <c r="F428" s="808" t="s">
        <v>2036</v>
      </c>
      <c r="G428" s="808" t="s">
        <v>1990</v>
      </c>
      <c r="H428" s="808" t="s">
        <v>1991</v>
      </c>
      <c r="I428" s="808" t="s">
        <v>1992</v>
      </c>
      <c r="J428" s="810">
        <v>39900000</v>
      </c>
      <c r="K428" s="808" t="s">
        <v>1993</v>
      </c>
      <c r="L428" s="808" t="s">
        <v>1177</v>
      </c>
      <c r="M428" s="808" t="s">
        <v>1973</v>
      </c>
      <c r="N428" s="808" t="s">
        <v>1973</v>
      </c>
      <c r="O428" s="808" t="s">
        <v>2107</v>
      </c>
      <c r="P428" s="808" t="s">
        <v>1995</v>
      </c>
      <c r="Q428" s="808" t="s">
        <v>2043</v>
      </c>
    </row>
    <row r="429" spans="1:17" x14ac:dyDescent="0.25">
      <c r="A429" s="808" t="s">
        <v>1987</v>
      </c>
      <c r="B429" s="808" t="s">
        <v>2513</v>
      </c>
      <c r="C429" s="809">
        <v>58128384</v>
      </c>
      <c r="D429" s="808" t="s">
        <v>1753</v>
      </c>
      <c r="E429" s="808" t="s">
        <v>1753</v>
      </c>
      <c r="F429" s="808" t="s">
        <v>1989</v>
      </c>
      <c r="G429" s="808" t="s">
        <v>1990</v>
      </c>
      <c r="H429" s="808" t="s">
        <v>1991</v>
      </c>
      <c r="I429" s="808" t="s">
        <v>1992</v>
      </c>
      <c r="J429" s="810">
        <v>58128384</v>
      </c>
      <c r="K429" s="808" t="s">
        <v>1993</v>
      </c>
      <c r="L429" s="808" t="s">
        <v>1177</v>
      </c>
      <c r="M429" s="808" t="s">
        <v>1973</v>
      </c>
      <c r="N429" s="808" t="s">
        <v>1973</v>
      </c>
      <c r="O429" s="808" t="s">
        <v>2183</v>
      </c>
      <c r="P429" s="808" t="s">
        <v>1995</v>
      </c>
      <c r="Q429" s="808" t="s">
        <v>2048</v>
      </c>
    </row>
    <row r="430" spans="1:17" x14ac:dyDescent="0.25">
      <c r="A430" s="808" t="s">
        <v>1987</v>
      </c>
      <c r="B430" s="808" t="s">
        <v>2514</v>
      </c>
      <c r="C430" s="809">
        <v>55000000</v>
      </c>
      <c r="D430" s="808" t="s">
        <v>1749</v>
      </c>
      <c r="E430" s="808" t="s">
        <v>1749</v>
      </c>
      <c r="F430" s="808" t="s">
        <v>2023</v>
      </c>
      <c r="G430" s="808" t="s">
        <v>1990</v>
      </c>
      <c r="H430" s="808" t="s">
        <v>1991</v>
      </c>
      <c r="I430" s="808" t="s">
        <v>1992</v>
      </c>
      <c r="J430" s="810">
        <v>55000000</v>
      </c>
      <c r="K430" s="808" t="s">
        <v>1993</v>
      </c>
      <c r="L430" s="808" t="s">
        <v>1177</v>
      </c>
      <c r="M430" s="808" t="s">
        <v>1973</v>
      </c>
      <c r="N430" s="808" t="s">
        <v>1973</v>
      </c>
      <c r="O430" s="808" t="s">
        <v>2183</v>
      </c>
      <c r="P430" s="808" t="s">
        <v>1995</v>
      </c>
      <c r="Q430" s="808" t="s">
        <v>2048</v>
      </c>
    </row>
    <row r="431" spans="1:17" x14ac:dyDescent="0.25">
      <c r="A431" s="808" t="s">
        <v>1987</v>
      </c>
      <c r="B431" s="808" t="s">
        <v>2515</v>
      </c>
      <c r="C431" s="809">
        <v>59054190</v>
      </c>
      <c r="D431" s="808" t="s">
        <v>1749</v>
      </c>
      <c r="E431" s="808" t="s">
        <v>1749</v>
      </c>
      <c r="F431" s="808" t="s">
        <v>2023</v>
      </c>
      <c r="G431" s="808" t="s">
        <v>1990</v>
      </c>
      <c r="H431" s="808" t="s">
        <v>1991</v>
      </c>
      <c r="I431" s="808" t="s">
        <v>1992</v>
      </c>
      <c r="J431" s="810">
        <v>59054190</v>
      </c>
      <c r="K431" s="808" t="s">
        <v>1993</v>
      </c>
      <c r="L431" s="808" t="s">
        <v>1177</v>
      </c>
      <c r="M431" s="808" t="s">
        <v>1973</v>
      </c>
      <c r="N431" s="808" t="s">
        <v>1973</v>
      </c>
      <c r="O431" s="808" t="s">
        <v>2183</v>
      </c>
      <c r="P431" s="808" t="s">
        <v>1995</v>
      </c>
      <c r="Q431" s="808" t="s">
        <v>2048</v>
      </c>
    </row>
    <row r="432" spans="1:17" x14ac:dyDescent="0.25">
      <c r="A432" s="808" t="s">
        <v>1987</v>
      </c>
      <c r="B432" s="808" t="s">
        <v>2516</v>
      </c>
      <c r="C432" s="809">
        <v>32979493</v>
      </c>
      <c r="D432" s="808" t="s">
        <v>1866</v>
      </c>
      <c r="E432" s="808" t="s">
        <v>1866</v>
      </c>
      <c r="F432" s="808" t="s">
        <v>2004</v>
      </c>
      <c r="G432" s="808" t="s">
        <v>1990</v>
      </c>
      <c r="H432" s="808" t="s">
        <v>1991</v>
      </c>
      <c r="I432" s="808" t="s">
        <v>1992</v>
      </c>
      <c r="J432" s="810">
        <v>32979493</v>
      </c>
      <c r="K432" s="808" t="s">
        <v>1993</v>
      </c>
      <c r="L432" s="808" t="s">
        <v>1177</v>
      </c>
      <c r="M432" s="808" t="s">
        <v>1973</v>
      </c>
      <c r="N432" s="808" t="s">
        <v>1973</v>
      </c>
      <c r="O432" s="808" t="s">
        <v>2183</v>
      </c>
      <c r="P432" s="808" t="s">
        <v>1995</v>
      </c>
      <c r="Q432" s="808" t="s">
        <v>2048</v>
      </c>
    </row>
    <row r="433" spans="1:17" x14ac:dyDescent="0.25">
      <c r="A433" s="808" t="s">
        <v>1987</v>
      </c>
      <c r="B433" s="808" t="s">
        <v>2517</v>
      </c>
      <c r="C433" s="809">
        <v>29972448</v>
      </c>
      <c r="D433" s="808" t="s">
        <v>1749</v>
      </c>
      <c r="E433" s="808" t="s">
        <v>1749</v>
      </c>
      <c r="F433" s="808" t="s">
        <v>2023</v>
      </c>
      <c r="G433" s="808" t="s">
        <v>1990</v>
      </c>
      <c r="H433" s="808" t="s">
        <v>1991</v>
      </c>
      <c r="I433" s="808" t="s">
        <v>1992</v>
      </c>
      <c r="J433" s="810">
        <v>29972448</v>
      </c>
      <c r="K433" s="808" t="s">
        <v>1993</v>
      </c>
      <c r="L433" s="808" t="s">
        <v>1177</v>
      </c>
      <c r="M433" s="808" t="s">
        <v>1973</v>
      </c>
      <c r="N433" s="808" t="s">
        <v>1973</v>
      </c>
      <c r="O433" s="808" t="s">
        <v>2183</v>
      </c>
      <c r="P433" s="808" t="s">
        <v>1995</v>
      </c>
      <c r="Q433" s="808" t="s">
        <v>2048</v>
      </c>
    </row>
    <row r="434" spans="1:17" x14ac:dyDescent="0.25">
      <c r="A434" s="808" t="s">
        <v>1987</v>
      </c>
      <c r="B434" s="808" t="s">
        <v>2518</v>
      </c>
      <c r="C434" s="809">
        <v>34967856</v>
      </c>
      <c r="D434" s="808" t="s">
        <v>1753</v>
      </c>
      <c r="E434" s="808" t="s">
        <v>1753</v>
      </c>
      <c r="F434" s="808" t="s">
        <v>2027</v>
      </c>
      <c r="G434" s="808" t="s">
        <v>1990</v>
      </c>
      <c r="H434" s="808" t="s">
        <v>1991</v>
      </c>
      <c r="I434" s="808" t="s">
        <v>1992</v>
      </c>
      <c r="J434" s="810">
        <v>34967856</v>
      </c>
      <c r="K434" s="808" t="s">
        <v>1993</v>
      </c>
      <c r="L434" s="808" t="s">
        <v>1177</v>
      </c>
      <c r="M434" s="808" t="s">
        <v>1973</v>
      </c>
      <c r="N434" s="808" t="s">
        <v>1973</v>
      </c>
      <c r="O434" s="808" t="s">
        <v>2183</v>
      </c>
      <c r="P434" s="808" t="s">
        <v>1995</v>
      </c>
      <c r="Q434" s="808" t="s">
        <v>2048</v>
      </c>
    </row>
    <row r="435" spans="1:17" x14ac:dyDescent="0.25">
      <c r="A435" s="808" t="s">
        <v>1987</v>
      </c>
      <c r="B435" s="808" t="s">
        <v>2519</v>
      </c>
      <c r="C435" s="809">
        <v>29972448</v>
      </c>
      <c r="D435" s="808" t="s">
        <v>1753</v>
      </c>
      <c r="E435" s="808" t="s">
        <v>1753</v>
      </c>
      <c r="F435" s="808" t="s">
        <v>2027</v>
      </c>
      <c r="G435" s="808" t="s">
        <v>1990</v>
      </c>
      <c r="H435" s="808" t="s">
        <v>1991</v>
      </c>
      <c r="I435" s="808" t="s">
        <v>1992</v>
      </c>
      <c r="J435" s="810">
        <v>29972448</v>
      </c>
      <c r="K435" s="808" t="s">
        <v>1993</v>
      </c>
      <c r="L435" s="808" t="s">
        <v>1177</v>
      </c>
      <c r="M435" s="808" t="s">
        <v>1973</v>
      </c>
      <c r="N435" s="808" t="s">
        <v>1973</v>
      </c>
      <c r="O435" s="808" t="s">
        <v>2183</v>
      </c>
      <c r="P435" s="808" t="s">
        <v>1995</v>
      </c>
      <c r="Q435" s="808" t="s">
        <v>2048</v>
      </c>
    </row>
    <row r="436" spans="1:17" x14ac:dyDescent="0.25">
      <c r="A436" s="808" t="s">
        <v>1987</v>
      </c>
      <c r="B436" s="808" t="s">
        <v>2520</v>
      </c>
      <c r="C436" s="809">
        <v>60000000</v>
      </c>
      <c r="D436" s="808" t="s">
        <v>1753</v>
      </c>
      <c r="E436" s="808" t="s">
        <v>1753</v>
      </c>
      <c r="F436" s="808" t="s">
        <v>2004</v>
      </c>
      <c r="G436" s="808" t="s">
        <v>1990</v>
      </c>
      <c r="H436" s="808" t="s">
        <v>1991</v>
      </c>
      <c r="I436" s="808" t="s">
        <v>1992</v>
      </c>
      <c r="J436" s="810">
        <v>60000000</v>
      </c>
      <c r="K436" s="808" t="s">
        <v>1993</v>
      </c>
      <c r="L436" s="808" t="s">
        <v>1177</v>
      </c>
      <c r="M436" s="808" t="s">
        <v>1973</v>
      </c>
      <c r="N436" s="808" t="s">
        <v>1973</v>
      </c>
      <c r="O436" s="808" t="s">
        <v>2183</v>
      </c>
      <c r="P436" s="808" t="s">
        <v>1995</v>
      </c>
      <c r="Q436" s="808" t="s">
        <v>2048</v>
      </c>
    </row>
    <row r="437" spans="1:17" x14ac:dyDescent="0.25">
      <c r="A437" s="808" t="s">
        <v>2521</v>
      </c>
      <c r="B437" s="808" t="s">
        <v>2522</v>
      </c>
      <c r="C437" s="809">
        <v>350000000</v>
      </c>
      <c r="D437" s="808" t="s">
        <v>1758</v>
      </c>
      <c r="E437" s="808" t="s">
        <v>1758</v>
      </c>
      <c r="F437" s="808" t="s">
        <v>2000</v>
      </c>
      <c r="G437" s="808" t="s">
        <v>1990</v>
      </c>
      <c r="H437" s="808" t="s">
        <v>1991</v>
      </c>
      <c r="I437" s="808" t="s">
        <v>1992</v>
      </c>
      <c r="J437" s="810">
        <v>350000000</v>
      </c>
      <c r="K437" s="808" t="s">
        <v>1993</v>
      </c>
      <c r="L437" s="808" t="s">
        <v>1177</v>
      </c>
      <c r="M437" s="808" t="s">
        <v>1973</v>
      </c>
      <c r="N437" s="808" t="s">
        <v>1973</v>
      </c>
      <c r="O437" s="808" t="s">
        <v>2024</v>
      </c>
      <c r="P437" s="808" t="s">
        <v>1995</v>
      </c>
      <c r="Q437" s="808" t="s">
        <v>1996</v>
      </c>
    </row>
    <row r="438" spans="1:17" x14ac:dyDescent="0.25">
      <c r="A438" s="808" t="s">
        <v>2523</v>
      </c>
      <c r="B438" s="808" t="s">
        <v>2524</v>
      </c>
      <c r="C438" s="809">
        <v>150000000</v>
      </c>
      <c r="D438" s="808" t="s">
        <v>1758</v>
      </c>
      <c r="E438" s="808" t="s">
        <v>1758</v>
      </c>
      <c r="F438" s="808" t="s">
        <v>2000</v>
      </c>
      <c r="G438" s="808" t="s">
        <v>1990</v>
      </c>
      <c r="H438" s="808" t="s">
        <v>1991</v>
      </c>
      <c r="I438" s="808" t="s">
        <v>1992</v>
      </c>
      <c r="J438" s="810">
        <v>150000000</v>
      </c>
      <c r="K438" s="808" t="s">
        <v>1993</v>
      </c>
      <c r="L438" s="808" t="s">
        <v>1177</v>
      </c>
      <c r="M438" s="808" t="s">
        <v>1973</v>
      </c>
      <c r="N438" s="808" t="s">
        <v>1973</v>
      </c>
      <c r="O438" s="808" t="s">
        <v>2024</v>
      </c>
      <c r="P438" s="808" t="s">
        <v>1995</v>
      </c>
      <c r="Q438" s="808" t="s">
        <v>1996</v>
      </c>
    </row>
    <row r="439" spans="1:17" x14ac:dyDescent="0.25">
      <c r="A439" s="808" t="s">
        <v>2030</v>
      </c>
      <c r="B439" s="808" t="s">
        <v>2525</v>
      </c>
      <c r="C439" s="809">
        <v>1200000000</v>
      </c>
      <c r="D439" s="808" t="s">
        <v>1750</v>
      </c>
      <c r="E439" s="808" t="s">
        <v>1750</v>
      </c>
      <c r="F439" s="808" t="s">
        <v>2000</v>
      </c>
      <c r="G439" s="808" t="s">
        <v>1990</v>
      </c>
      <c r="H439" s="808" t="s">
        <v>1991</v>
      </c>
      <c r="I439" s="808" t="s">
        <v>1992</v>
      </c>
      <c r="J439" s="810">
        <v>1200000000</v>
      </c>
      <c r="K439" s="808" t="s">
        <v>1993</v>
      </c>
      <c r="L439" s="808" t="s">
        <v>1177</v>
      </c>
      <c r="M439" s="808" t="s">
        <v>1973</v>
      </c>
      <c r="N439" s="808" t="s">
        <v>1973</v>
      </c>
      <c r="O439" s="808" t="s">
        <v>2024</v>
      </c>
      <c r="P439" s="808" t="s">
        <v>1995</v>
      </c>
      <c r="Q439" s="808" t="s">
        <v>1996</v>
      </c>
    </row>
    <row r="440" spans="1:17" x14ac:dyDescent="0.25">
      <c r="A440" s="808" t="s">
        <v>2305</v>
      </c>
      <c r="B440" s="808" t="s">
        <v>2526</v>
      </c>
      <c r="C440" s="809">
        <v>1400000000</v>
      </c>
      <c r="D440" s="808" t="s">
        <v>1757</v>
      </c>
      <c r="E440" s="808" t="s">
        <v>1758</v>
      </c>
      <c r="F440" s="808" t="s">
        <v>2000</v>
      </c>
      <c r="G440" s="808" t="s">
        <v>1990</v>
      </c>
      <c r="H440" s="808" t="s">
        <v>2122</v>
      </c>
      <c r="I440" s="808" t="s">
        <v>1992</v>
      </c>
      <c r="J440" s="810">
        <v>1400000000</v>
      </c>
      <c r="K440" s="808" t="s">
        <v>1993</v>
      </c>
      <c r="L440" s="808" t="s">
        <v>1177</v>
      </c>
      <c r="M440" s="808" t="s">
        <v>1973</v>
      </c>
      <c r="N440" s="808" t="s">
        <v>1973</v>
      </c>
      <c r="O440" s="808" t="s">
        <v>2024</v>
      </c>
      <c r="P440" s="808" t="s">
        <v>1995</v>
      </c>
      <c r="Q440" s="808" t="s">
        <v>1996</v>
      </c>
    </row>
    <row r="441" spans="1:17" x14ac:dyDescent="0.25">
      <c r="A441" s="808" t="s">
        <v>2527</v>
      </c>
      <c r="B441" s="808" t="s">
        <v>2528</v>
      </c>
      <c r="C441" s="809">
        <v>1400000000</v>
      </c>
      <c r="D441" s="808" t="s">
        <v>1758</v>
      </c>
      <c r="E441" s="808" t="s">
        <v>1773</v>
      </c>
      <c r="F441" s="808" t="s">
        <v>2056</v>
      </c>
      <c r="G441" s="808" t="s">
        <v>1990</v>
      </c>
      <c r="H441" s="808" t="s">
        <v>2122</v>
      </c>
      <c r="I441" s="808" t="s">
        <v>1992</v>
      </c>
      <c r="J441" s="810">
        <v>1400000000</v>
      </c>
      <c r="K441" s="808" t="s">
        <v>1993</v>
      </c>
      <c r="L441" s="808" t="s">
        <v>1177</v>
      </c>
      <c r="M441" s="808" t="s">
        <v>1973</v>
      </c>
      <c r="N441" s="808" t="s">
        <v>1973</v>
      </c>
      <c r="O441" s="808" t="s">
        <v>2024</v>
      </c>
      <c r="P441" s="808" t="s">
        <v>1995</v>
      </c>
      <c r="Q441" s="808" t="s">
        <v>1996</v>
      </c>
    </row>
    <row r="442" spans="1:17" x14ac:dyDescent="0.25">
      <c r="A442" s="808" t="s">
        <v>2527</v>
      </c>
      <c r="B442" s="808" t="s">
        <v>2529</v>
      </c>
      <c r="C442" s="809">
        <v>3500000000</v>
      </c>
      <c r="D442" s="808" t="s">
        <v>1758</v>
      </c>
      <c r="E442" s="808" t="s">
        <v>1773</v>
      </c>
      <c r="F442" s="808" t="s">
        <v>2056</v>
      </c>
      <c r="G442" s="808" t="s">
        <v>1990</v>
      </c>
      <c r="H442" s="808" t="s">
        <v>2122</v>
      </c>
      <c r="I442" s="808" t="s">
        <v>1992</v>
      </c>
      <c r="J442" s="810">
        <v>3500000000</v>
      </c>
      <c r="K442" s="808" t="s">
        <v>1993</v>
      </c>
      <c r="L442" s="808" t="s">
        <v>1177</v>
      </c>
      <c r="M442" s="808" t="s">
        <v>1973</v>
      </c>
      <c r="N442" s="808" t="s">
        <v>1973</v>
      </c>
      <c r="O442" s="808" t="s">
        <v>2024</v>
      </c>
      <c r="P442" s="808" t="s">
        <v>1995</v>
      </c>
      <c r="Q442" s="808" t="s">
        <v>1996</v>
      </c>
    </row>
    <row r="443" spans="1:17" x14ac:dyDescent="0.25">
      <c r="A443" s="808" t="s">
        <v>2530</v>
      </c>
      <c r="B443" s="808" t="s">
        <v>2531</v>
      </c>
      <c r="C443" s="809">
        <v>590000000</v>
      </c>
      <c r="D443" s="808" t="s">
        <v>1773</v>
      </c>
      <c r="E443" s="808" t="s">
        <v>1773</v>
      </c>
      <c r="F443" s="808" t="s">
        <v>2000</v>
      </c>
      <c r="G443" s="808" t="s">
        <v>1990</v>
      </c>
      <c r="H443" s="808" t="s">
        <v>2066</v>
      </c>
      <c r="I443" s="808" t="s">
        <v>1992</v>
      </c>
      <c r="J443" s="810">
        <v>590000000</v>
      </c>
      <c r="K443" s="808" t="s">
        <v>1993</v>
      </c>
      <c r="L443" s="808" t="s">
        <v>1177</v>
      </c>
      <c r="M443" s="808" t="s">
        <v>1973</v>
      </c>
      <c r="N443" s="808" t="s">
        <v>1973</v>
      </c>
      <c r="O443" s="808" t="s">
        <v>2024</v>
      </c>
      <c r="P443" s="808" t="s">
        <v>1995</v>
      </c>
      <c r="Q443" s="808" t="s">
        <v>1996</v>
      </c>
    </row>
    <row r="444" spans="1:17" x14ac:dyDescent="0.25">
      <c r="A444" s="808" t="s">
        <v>2532</v>
      </c>
      <c r="B444" s="808" t="s">
        <v>2533</v>
      </c>
      <c r="C444" s="809">
        <v>2500000000</v>
      </c>
      <c r="D444" s="808" t="s">
        <v>1758</v>
      </c>
      <c r="E444" s="808" t="s">
        <v>1758</v>
      </c>
      <c r="F444" s="808" t="s">
        <v>2010</v>
      </c>
      <c r="G444" s="808" t="s">
        <v>1990</v>
      </c>
      <c r="H444" s="808" t="s">
        <v>2078</v>
      </c>
      <c r="I444" s="808" t="s">
        <v>1992</v>
      </c>
      <c r="J444" s="810">
        <v>2500000000</v>
      </c>
      <c r="K444" s="808" t="s">
        <v>1993</v>
      </c>
      <c r="L444" s="808" t="s">
        <v>1177</v>
      </c>
      <c r="M444" s="808" t="s">
        <v>1973</v>
      </c>
      <c r="N444" s="808" t="s">
        <v>1973</v>
      </c>
      <c r="O444" s="808" t="s">
        <v>2024</v>
      </c>
      <c r="P444" s="808" t="s">
        <v>1995</v>
      </c>
      <c r="Q444" s="808" t="s">
        <v>1996</v>
      </c>
    </row>
    <row r="445" spans="1:17" x14ac:dyDescent="0.25">
      <c r="A445" s="808" t="s">
        <v>2445</v>
      </c>
      <c r="B445" s="808" t="s">
        <v>2534</v>
      </c>
      <c r="C445" s="809">
        <v>100000000</v>
      </c>
      <c r="D445" s="808" t="s">
        <v>1749</v>
      </c>
      <c r="E445" s="808" t="s">
        <v>1749</v>
      </c>
      <c r="F445" s="808" t="s">
        <v>2023</v>
      </c>
      <c r="G445" s="808" t="s">
        <v>1990</v>
      </c>
      <c r="H445" s="808" t="s">
        <v>1991</v>
      </c>
      <c r="I445" s="808" t="s">
        <v>1992</v>
      </c>
      <c r="J445" s="810">
        <v>100000000</v>
      </c>
      <c r="K445" s="808" t="s">
        <v>1993</v>
      </c>
      <c r="L445" s="808" t="s">
        <v>1177</v>
      </c>
      <c r="M445" s="808" t="s">
        <v>1973</v>
      </c>
      <c r="N445" s="808" t="s">
        <v>1973</v>
      </c>
      <c r="O445" s="808" t="s">
        <v>2024</v>
      </c>
      <c r="P445" s="808" t="s">
        <v>1995</v>
      </c>
      <c r="Q445" s="808" t="s">
        <v>1996</v>
      </c>
    </row>
    <row r="446" spans="1:17" x14ac:dyDescent="0.25">
      <c r="A446" s="808" t="s">
        <v>2535</v>
      </c>
      <c r="B446" s="808" t="s">
        <v>2536</v>
      </c>
      <c r="C446" s="809">
        <v>50000000</v>
      </c>
      <c r="D446" s="808" t="s">
        <v>1757</v>
      </c>
      <c r="E446" s="808" t="s">
        <v>1758</v>
      </c>
      <c r="F446" s="808" t="s">
        <v>2337</v>
      </c>
      <c r="G446" s="808" t="s">
        <v>1990</v>
      </c>
      <c r="H446" s="808" t="s">
        <v>1905</v>
      </c>
      <c r="I446" s="808" t="s">
        <v>1992</v>
      </c>
      <c r="J446" s="810">
        <v>50000000</v>
      </c>
      <c r="K446" s="808" t="s">
        <v>1993</v>
      </c>
      <c r="L446" s="808" t="s">
        <v>1177</v>
      </c>
      <c r="M446" s="808" t="s">
        <v>1973</v>
      </c>
      <c r="N446" s="808" t="s">
        <v>1973</v>
      </c>
      <c r="O446" s="808" t="s">
        <v>2067</v>
      </c>
      <c r="P446" s="808" t="s">
        <v>1995</v>
      </c>
      <c r="Q446" s="808" t="s">
        <v>2002</v>
      </c>
    </row>
    <row r="447" spans="1:17" x14ac:dyDescent="0.25">
      <c r="A447" s="808" t="s">
        <v>2537</v>
      </c>
      <c r="B447" s="808" t="s">
        <v>2538</v>
      </c>
      <c r="C447" s="809">
        <v>100000000</v>
      </c>
      <c r="D447" s="808" t="s">
        <v>1757</v>
      </c>
      <c r="E447" s="808" t="s">
        <v>1757</v>
      </c>
      <c r="F447" s="808" t="s">
        <v>2056</v>
      </c>
      <c r="G447" s="808" t="s">
        <v>1990</v>
      </c>
      <c r="H447" s="808" t="s">
        <v>2128</v>
      </c>
      <c r="I447" s="808" t="s">
        <v>1992</v>
      </c>
      <c r="J447" s="810">
        <v>100000000</v>
      </c>
      <c r="K447" s="808" t="s">
        <v>1993</v>
      </c>
      <c r="L447" s="808" t="s">
        <v>1177</v>
      </c>
      <c r="M447" s="808" t="s">
        <v>1973</v>
      </c>
      <c r="N447" s="808" t="s">
        <v>1973</v>
      </c>
      <c r="O447" s="808" t="s">
        <v>2067</v>
      </c>
      <c r="P447" s="808" t="s">
        <v>1995</v>
      </c>
      <c r="Q447" s="808" t="s">
        <v>2002</v>
      </c>
    </row>
    <row r="448" spans="1:17" x14ac:dyDescent="0.25">
      <c r="A448" s="808" t="s">
        <v>2539</v>
      </c>
      <c r="B448" s="808" t="s">
        <v>2540</v>
      </c>
      <c r="C448" s="809">
        <v>20000000</v>
      </c>
      <c r="D448" s="808" t="s">
        <v>1758</v>
      </c>
      <c r="E448" s="808" t="s">
        <v>1773</v>
      </c>
      <c r="F448" s="808" t="s">
        <v>2054</v>
      </c>
      <c r="G448" s="808" t="s">
        <v>1990</v>
      </c>
      <c r="H448" s="808" t="s">
        <v>1905</v>
      </c>
      <c r="I448" s="808" t="s">
        <v>1992</v>
      </c>
      <c r="J448" s="810">
        <v>20000000</v>
      </c>
      <c r="K448" s="808" t="s">
        <v>1993</v>
      </c>
      <c r="L448" s="808" t="s">
        <v>1177</v>
      </c>
      <c r="M448" s="808" t="s">
        <v>1973</v>
      </c>
      <c r="N448" s="808" t="s">
        <v>1973</v>
      </c>
      <c r="O448" s="808" t="s">
        <v>2067</v>
      </c>
      <c r="P448" s="808" t="s">
        <v>1995</v>
      </c>
      <c r="Q448" s="808" t="s">
        <v>2002</v>
      </c>
    </row>
    <row r="449" spans="1:17" x14ac:dyDescent="0.25">
      <c r="A449" s="808" t="s">
        <v>2541</v>
      </c>
      <c r="B449" s="808" t="s">
        <v>2542</v>
      </c>
      <c r="C449" s="809">
        <v>50000000</v>
      </c>
      <c r="D449" s="808" t="s">
        <v>1750</v>
      </c>
      <c r="E449" s="808" t="s">
        <v>1757</v>
      </c>
      <c r="F449" s="808" t="s">
        <v>2054</v>
      </c>
      <c r="G449" s="808" t="s">
        <v>1990</v>
      </c>
      <c r="H449" s="808" t="s">
        <v>1905</v>
      </c>
      <c r="I449" s="808" t="s">
        <v>1992</v>
      </c>
      <c r="J449" s="810">
        <v>50000000</v>
      </c>
      <c r="K449" s="808" t="s">
        <v>1993</v>
      </c>
      <c r="L449" s="808" t="s">
        <v>1177</v>
      </c>
      <c r="M449" s="808" t="s">
        <v>1973</v>
      </c>
      <c r="N449" s="808" t="s">
        <v>1973</v>
      </c>
      <c r="O449" s="808" t="s">
        <v>2067</v>
      </c>
      <c r="P449" s="808" t="s">
        <v>1995</v>
      </c>
      <c r="Q449" s="808" t="s">
        <v>2002</v>
      </c>
    </row>
    <row r="450" spans="1:17" x14ac:dyDescent="0.25">
      <c r="A450" s="808" t="s">
        <v>2543</v>
      </c>
      <c r="B450" s="808" t="s">
        <v>2544</v>
      </c>
      <c r="C450" s="809">
        <v>563008205</v>
      </c>
      <c r="D450" s="808" t="s">
        <v>1743</v>
      </c>
      <c r="E450" s="808" t="s">
        <v>1743</v>
      </c>
      <c r="F450" s="808" t="s">
        <v>2337</v>
      </c>
      <c r="G450" s="808" t="s">
        <v>1990</v>
      </c>
      <c r="H450" s="808" t="s">
        <v>2128</v>
      </c>
      <c r="I450" s="808" t="s">
        <v>1992</v>
      </c>
      <c r="J450" s="810">
        <v>563008205</v>
      </c>
      <c r="K450" s="808" t="s">
        <v>1993</v>
      </c>
      <c r="L450" s="808" t="s">
        <v>1177</v>
      </c>
      <c r="M450" s="808" t="s">
        <v>1973</v>
      </c>
      <c r="N450" s="808" t="s">
        <v>1973</v>
      </c>
      <c r="O450" s="808" t="s">
        <v>2067</v>
      </c>
      <c r="P450" s="808" t="s">
        <v>1995</v>
      </c>
      <c r="Q450" s="808" t="s">
        <v>2002</v>
      </c>
    </row>
    <row r="451" spans="1:17" x14ac:dyDescent="0.25">
      <c r="A451" s="808" t="s">
        <v>2545</v>
      </c>
      <c r="B451" s="808" t="s">
        <v>2546</v>
      </c>
      <c r="C451" s="809">
        <v>125000000</v>
      </c>
      <c r="D451" s="808" t="s">
        <v>1757</v>
      </c>
      <c r="E451" s="808" t="s">
        <v>1758</v>
      </c>
      <c r="F451" s="808" t="s">
        <v>2056</v>
      </c>
      <c r="G451" s="808" t="s">
        <v>1990</v>
      </c>
      <c r="H451" s="808" t="s">
        <v>1991</v>
      </c>
      <c r="I451" s="808" t="s">
        <v>1992</v>
      </c>
      <c r="J451" s="810">
        <v>125000000</v>
      </c>
      <c r="K451" s="808" t="s">
        <v>1993</v>
      </c>
      <c r="L451" s="808" t="s">
        <v>1177</v>
      </c>
      <c r="M451" s="808" t="s">
        <v>1973</v>
      </c>
      <c r="N451" s="808" t="s">
        <v>1973</v>
      </c>
      <c r="O451" s="808" t="s">
        <v>2067</v>
      </c>
      <c r="P451" s="808" t="s">
        <v>1995</v>
      </c>
      <c r="Q451" s="808" t="s">
        <v>2002</v>
      </c>
    </row>
    <row r="452" spans="1:17" x14ac:dyDescent="0.25">
      <c r="A452" s="808" t="s">
        <v>2545</v>
      </c>
      <c r="B452" s="808" t="s">
        <v>2547</v>
      </c>
      <c r="C452" s="809">
        <v>125000000</v>
      </c>
      <c r="D452" s="808" t="s">
        <v>1757</v>
      </c>
      <c r="E452" s="808" t="s">
        <v>1758</v>
      </c>
      <c r="F452" s="808" t="s">
        <v>2056</v>
      </c>
      <c r="G452" s="808" t="s">
        <v>1990</v>
      </c>
      <c r="H452" s="808" t="s">
        <v>1991</v>
      </c>
      <c r="I452" s="808" t="s">
        <v>1992</v>
      </c>
      <c r="J452" s="810">
        <v>125000000</v>
      </c>
      <c r="K452" s="808" t="s">
        <v>1993</v>
      </c>
      <c r="L452" s="808" t="s">
        <v>1177</v>
      </c>
      <c r="M452" s="808" t="s">
        <v>1973</v>
      </c>
      <c r="N452" s="808" t="s">
        <v>1973</v>
      </c>
      <c r="O452" s="808" t="s">
        <v>2067</v>
      </c>
      <c r="P452" s="808" t="s">
        <v>1995</v>
      </c>
      <c r="Q452" s="808" t="s">
        <v>2002</v>
      </c>
    </row>
    <row r="453" spans="1:17" x14ac:dyDescent="0.25">
      <c r="A453" s="808" t="s">
        <v>1987</v>
      </c>
      <c r="B453" s="808" t="s">
        <v>2548</v>
      </c>
      <c r="C453" s="809">
        <v>51408000</v>
      </c>
      <c r="D453" s="808" t="s">
        <v>1749</v>
      </c>
      <c r="E453" s="808" t="s">
        <v>1749</v>
      </c>
      <c r="F453" s="808" t="s">
        <v>2023</v>
      </c>
      <c r="G453" s="808" t="s">
        <v>1990</v>
      </c>
      <c r="H453" s="808" t="s">
        <v>1991</v>
      </c>
      <c r="I453" s="808" t="s">
        <v>1992</v>
      </c>
      <c r="J453" s="810">
        <v>51408000</v>
      </c>
      <c r="K453" s="808" t="s">
        <v>1993</v>
      </c>
      <c r="L453" s="808" t="s">
        <v>1177</v>
      </c>
      <c r="M453" s="808" t="s">
        <v>1973</v>
      </c>
      <c r="N453" s="808" t="s">
        <v>1973</v>
      </c>
      <c r="O453" s="808" t="s">
        <v>2005</v>
      </c>
      <c r="P453" s="808" t="s">
        <v>1995</v>
      </c>
      <c r="Q453" s="808" t="s">
        <v>2006</v>
      </c>
    </row>
    <row r="454" spans="1:17" x14ac:dyDescent="0.25">
      <c r="A454" s="808" t="s">
        <v>1987</v>
      </c>
      <c r="B454" s="808" t="s">
        <v>2549</v>
      </c>
      <c r="C454" s="809">
        <v>62832000</v>
      </c>
      <c r="D454" s="808" t="s">
        <v>1749</v>
      </c>
      <c r="E454" s="808" t="s">
        <v>1749</v>
      </c>
      <c r="F454" s="808" t="s">
        <v>2023</v>
      </c>
      <c r="G454" s="808" t="s">
        <v>1990</v>
      </c>
      <c r="H454" s="808" t="s">
        <v>1991</v>
      </c>
      <c r="I454" s="808" t="s">
        <v>1992</v>
      </c>
      <c r="J454" s="810">
        <v>62832000</v>
      </c>
      <c r="K454" s="808" t="s">
        <v>1993</v>
      </c>
      <c r="L454" s="808" t="s">
        <v>1177</v>
      </c>
      <c r="M454" s="808" t="s">
        <v>1973</v>
      </c>
      <c r="N454" s="808" t="s">
        <v>1973</v>
      </c>
      <c r="O454" s="808" t="s">
        <v>2005</v>
      </c>
      <c r="P454" s="808" t="s">
        <v>1995</v>
      </c>
      <c r="Q454" s="808" t="s">
        <v>2006</v>
      </c>
    </row>
    <row r="455" spans="1:17" x14ac:dyDescent="0.25">
      <c r="A455" s="808" t="s">
        <v>1987</v>
      </c>
      <c r="B455" s="808" t="s">
        <v>2550</v>
      </c>
      <c r="C455" s="809">
        <v>29981361</v>
      </c>
      <c r="D455" s="808" t="s">
        <v>1749</v>
      </c>
      <c r="E455" s="808" t="s">
        <v>1749</v>
      </c>
      <c r="F455" s="808" t="s">
        <v>2000</v>
      </c>
      <c r="G455" s="808" t="s">
        <v>1990</v>
      </c>
      <c r="H455" s="808" t="s">
        <v>1991</v>
      </c>
      <c r="I455" s="808" t="s">
        <v>1992</v>
      </c>
      <c r="J455" s="810">
        <v>29981361</v>
      </c>
      <c r="K455" s="808" t="s">
        <v>1993</v>
      </c>
      <c r="L455" s="808" t="s">
        <v>1177</v>
      </c>
      <c r="M455" s="808" t="s">
        <v>1973</v>
      </c>
      <c r="N455" s="808" t="s">
        <v>1973</v>
      </c>
      <c r="O455" s="808" t="s">
        <v>2472</v>
      </c>
      <c r="P455" s="808" t="s">
        <v>1995</v>
      </c>
      <c r="Q455" s="808" t="s">
        <v>2062</v>
      </c>
    </row>
    <row r="456" spans="1:17" x14ac:dyDescent="0.25">
      <c r="A456" s="808" t="s">
        <v>1987</v>
      </c>
      <c r="B456" s="808" t="s">
        <v>2551</v>
      </c>
      <c r="C456" s="809">
        <v>23621677</v>
      </c>
      <c r="D456" s="808" t="s">
        <v>1743</v>
      </c>
      <c r="E456" s="808" t="s">
        <v>1743</v>
      </c>
      <c r="F456" s="808" t="s">
        <v>2056</v>
      </c>
      <c r="G456" s="808" t="s">
        <v>1990</v>
      </c>
      <c r="H456" s="808" t="s">
        <v>1991</v>
      </c>
      <c r="I456" s="808" t="s">
        <v>1992</v>
      </c>
      <c r="J456" s="810">
        <v>23621677</v>
      </c>
      <c r="K456" s="808" t="s">
        <v>1993</v>
      </c>
      <c r="L456" s="808" t="s">
        <v>1177</v>
      </c>
      <c r="M456" s="808" t="s">
        <v>1973</v>
      </c>
      <c r="N456" s="808" t="s">
        <v>1973</v>
      </c>
      <c r="O456" s="808" t="s">
        <v>2472</v>
      </c>
      <c r="P456" s="808" t="s">
        <v>1995</v>
      </c>
      <c r="Q456" s="808" t="s">
        <v>2062</v>
      </c>
    </row>
    <row r="457" spans="1:17" x14ac:dyDescent="0.25">
      <c r="A457" s="808" t="s">
        <v>1987</v>
      </c>
      <c r="B457" s="808" t="s">
        <v>2552</v>
      </c>
      <c r="C457" s="809">
        <v>29072832</v>
      </c>
      <c r="D457" s="808" t="s">
        <v>1743</v>
      </c>
      <c r="E457" s="808" t="s">
        <v>1743</v>
      </c>
      <c r="F457" s="808" t="s">
        <v>2056</v>
      </c>
      <c r="G457" s="808" t="s">
        <v>1990</v>
      </c>
      <c r="H457" s="808" t="s">
        <v>1991</v>
      </c>
      <c r="I457" s="808" t="s">
        <v>1992</v>
      </c>
      <c r="J457" s="810">
        <v>29072832</v>
      </c>
      <c r="K457" s="808" t="s">
        <v>1993</v>
      </c>
      <c r="L457" s="808" t="s">
        <v>1177</v>
      </c>
      <c r="M457" s="808" t="s">
        <v>1973</v>
      </c>
      <c r="N457" s="808" t="s">
        <v>1973</v>
      </c>
      <c r="O457" s="808" t="s">
        <v>2472</v>
      </c>
      <c r="P457" s="808" t="s">
        <v>1995</v>
      </c>
      <c r="Q457" s="808" t="s">
        <v>2062</v>
      </c>
    </row>
    <row r="458" spans="1:17" x14ac:dyDescent="0.25">
      <c r="A458" s="808" t="s">
        <v>2553</v>
      </c>
      <c r="B458" s="808" t="s">
        <v>2554</v>
      </c>
      <c r="C458" s="809">
        <v>8000000</v>
      </c>
      <c r="D458" s="808" t="s">
        <v>1743</v>
      </c>
      <c r="E458" s="808" t="s">
        <v>1743</v>
      </c>
      <c r="F458" s="808" t="s">
        <v>2000</v>
      </c>
      <c r="G458" s="808" t="s">
        <v>1990</v>
      </c>
      <c r="H458" s="808" t="s">
        <v>1991</v>
      </c>
      <c r="I458" s="808" t="s">
        <v>1992</v>
      </c>
      <c r="J458" s="810">
        <v>8000000</v>
      </c>
      <c r="K458" s="808" t="s">
        <v>1993</v>
      </c>
      <c r="L458" s="808" t="s">
        <v>1177</v>
      </c>
      <c r="M458" s="808" t="s">
        <v>1973</v>
      </c>
      <c r="N458" s="808" t="s">
        <v>1973</v>
      </c>
      <c r="O458" s="808" t="s">
        <v>2472</v>
      </c>
      <c r="P458" s="808" t="s">
        <v>1995</v>
      </c>
      <c r="Q458" s="808" t="s">
        <v>2062</v>
      </c>
    </row>
    <row r="459" spans="1:17" x14ac:dyDescent="0.25">
      <c r="A459" s="808" t="s">
        <v>1987</v>
      </c>
      <c r="B459" s="808" t="s">
        <v>2555</v>
      </c>
      <c r="C459" s="809">
        <v>73590615</v>
      </c>
      <c r="D459" s="808" t="s">
        <v>1749</v>
      </c>
      <c r="E459" s="808" t="s">
        <v>1749</v>
      </c>
      <c r="F459" s="808" t="s">
        <v>2004</v>
      </c>
      <c r="G459" s="808" t="s">
        <v>1990</v>
      </c>
      <c r="H459" s="808" t="s">
        <v>1991</v>
      </c>
      <c r="I459" s="808" t="s">
        <v>1992</v>
      </c>
      <c r="J459" s="810">
        <v>73590615</v>
      </c>
      <c r="K459" s="808" t="s">
        <v>1993</v>
      </c>
      <c r="L459" s="808" t="s">
        <v>1177</v>
      </c>
      <c r="M459" s="808" t="s">
        <v>1973</v>
      </c>
      <c r="N459" s="808" t="s">
        <v>1973</v>
      </c>
      <c r="O459" s="808" t="s">
        <v>2472</v>
      </c>
      <c r="P459" s="808" t="s">
        <v>1995</v>
      </c>
      <c r="Q459" s="808" t="s">
        <v>2062</v>
      </c>
    </row>
    <row r="460" spans="1:17" x14ac:dyDescent="0.25">
      <c r="A460" s="808" t="s">
        <v>1987</v>
      </c>
      <c r="B460" s="808" t="s">
        <v>2556</v>
      </c>
      <c r="C460" s="809">
        <v>32500000</v>
      </c>
      <c r="D460" s="808" t="s">
        <v>1750</v>
      </c>
      <c r="E460" s="808" t="s">
        <v>1750</v>
      </c>
      <c r="F460" s="808" t="s">
        <v>2077</v>
      </c>
      <c r="G460" s="808" t="s">
        <v>1990</v>
      </c>
      <c r="H460" s="808" t="s">
        <v>1991</v>
      </c>
      <c r="I460" s="808" t="s">
        <v>1992</v>
      </c>
      <c r="J460" s="810">
        <v>32500000</v>
      </c>
      <c r="K460" s="808" t="s">
        <v>1993</v>
      </c>
      <c r="L460" s="808" t="s">
        <v>1177</v>
      </c>
      <c r="M460" s="808" t="s">
        <v>1973</v>
      </c>
      <c r="N460" s="808" t="s">
        <v>1973</v>
      </c>
      <c r="O460" s="808" t="s">
        <v>2557</v>
      </c>
      <c r="P460" s="808" t="s">
        <v>1995</v>
      </c>
      <c r="Q460" s="808" t="s">
        <v>2558</v>
      </c>
    </row>
    <row r="461" spans="1:17" x14ac:dyDescent="0.25">
      <c r="A461" s="808" t="s">
        <v>1987</v>
      </c>
      <c r="B461" s="808" t="s">
        <v>2559</v>
      </c>
      <c r="C461" s="809">
        <v>32500000</v>
      </c>
      <c r="D461" s="808" t="s">
        <v>1749</v>
      </c>
      <c r="E461" s="808" t="s">
        <v>1749</v>
      </c>
      <c r="F461" s="808" t="s">
        <v>2077</v>
      </c>
      <c r="G461" s="808" t="s">
        <v>1990</v>
      </c>
      <c r="H461" s="808" t="s">
        <v>1991</v>
      </c>
      <c r="I461" s="808" t="s">
        <v>1992</v>
      </c>
      <c r="J461" s="810">
        <v>32500000</v>
      </c>
      <c r="K461" s="808" t="s">
        <v>1993</v>
      </c>
      <c r="L461" s="808" t="s">
        <v>1177</v>
      </c>
      <c r="M461" s="808" t="s">
        <v>1973</v>
      </c>
      <c r="N461" s="808" t="s">
        <v>1973</v>
      </c>
      <c r="O461" s="808" t="s">
        <v>2557</v>
      </c>
      <c r="P461" s="808" t="s">
        <v>1995</v>
      </c>
      <c r="Q461" s="808" t="s">
        <v>2558</v>
      </c>
    </row>
    <row r="462" spans="1:17" x14ac:dyDescent="0.25">
      <c r="A462" s="808" t="s">
        <v>1987</v>
      </c>
      <c r="B462" s="808" t="s">
        <v>2560</v>
      </c>
      <c r="C462" s="809">
        <v>32500000</v>
      </c>
      <c r="D462" s="808" t="s">
        <v>1866</v>
      </c>
      <c r="E462" s="808" t="s">
        <v>1866</v>
      </c>
      <c r="F462" s="808" t="s">
        <v>2077</v>
      </c>
      <c r="G462" s="808" t="s">
        <v>1990</v>
      </c>
      <c r="H462" s="808" t="s">
        <v>1991</v>
      </c>
      <c r="I462" s="808" t="s">
        <v>1992</v>
      </c>
      <c r="J462" s="810">
        <v>32500000</v>
      </c>
      <c r="K462" s="808" t="s">
        <v>1993</v>
      </c>
      <c r="L462" s="808" t="s">
        <v>1177</v>
      </c>
      <c r="M462" s="808" t="s">
        <v>1973</v>
      </c>
      <c r="N462" s="808" t="s">
        <v>1973</v>
      </c>
      <c r="O462" s="808" t="s">
        <v>2557</v>
      </c>
      <c r="P462" s="808" t="s">
        <v>1995</v>
      </c>
      <c r="Q462" s="808" t="s">
        <v>2558</v>
      </c>
    </row>
    <row r="463" spans="1:17" x14ac:dyDescent="0.25">
      <c r="A463" s="808" t="s">
        <v>1987</v>
      </c>
      <c r="B463" s="808" t="s">
        <v>2561</v>
      </c>
      <c r="C463" s="809">
        <v>27500000</v>
      </c>
      <c r="D463" s="808" t="s">
        <v>1749</v>
      </c>
      <c r="E463" s="808" t="s">
        <v>1749</v>
      </c>
      <c r="F463" s="808" t="s">
        <v>2056</v>
      </c>
      <c r="G463" s="808" t="s">
        <v>1990</v>
      </c>
      <c r="H463" s="808" t="s">
        <v>1991</v>
      </c>
      <c r="I463" s="808" t="s">
        <v>1992</v>
      </c>
      <c r="J463" s="810">
        <v>27500000</v>
      </c>
      <c r="K463" s="808" t="s">
        <v>1993</v>
      </c>
      <c r="L463" s="808" t="s">
        <v>1177</v>
      </c>
      <c r="M463" s="808" t="s">
        <v>1973</v>
      </c>
      <c r="N463" s="808" t="s">
        <v>1973</v>
      </c>
      <c r="O463" s="808" t="s">
        <v>2557</v>
      </c>
      <c r="P463" s="808" t="s">
        <v>1995</v>
      </c>
      <c r="Q463" s="808" t="s">
        <v>2558</v>
      </c>
    </row>
    <row r="464" spans="1:17" x14ac:dyDescent="0.25">
      <c r="A464" s="808" t="s">
        <v>2562</v>
      </c>
      <c r="B464" s="808" t="s">
        <v>2563</v>
      </c>
      <c r="C464" s="809">
        <v>59000000</v>
      </c>
      <c r="D464" s="808" t="s">
        <v>1750</v>
      </c>
      <c r="E464" s="808" t="s">
        <v>1757</v>
      </c>
      <c r="F464" s="808" t="s">
        <v>1989</v>
      </c>
      <c r="G464" s="808" t="s">
        <v>1990</v>
      </c>
      <c r="H464" s="808" t="s">
        <v>1905</v>
      </c>
      <c r="I464" s="808" t="s">
        <v>1992</v>
      </c>
      <c r="J464" s="810">
        <v>59000000</v>
      </c>
      <c r="K464" s="808" t="s">
        <v>1993</v>
      </c>
      <c r="L464" s="808" t="s">
        <v>1177</v>
      </c>
      <c r="M464" s="808" t="s">
        <v>1973</v>
      </c>
      <c r="N464" s="808" t="s">
        <v>1973</v>
      </c>
      <c r="O464" s="808" t="s">
        <v>2037</v>
      </c>
      <c r="P464" s="808" t="s">
        <v>1995</v>
      </c>
      <c r="Q464" s="808" t="s">
        <v>2038</v>
      </c>
    </row>
    <row r="465" spans="1:17" x14ac:dyDescent="0.25">
      <c r="A465" s="808" t="s">
        <v>2564</v>
      </c>
      <c r="B465" s="808" t="s">
        <v>2565</v>
      </c>
      <c r="C465" s="809">
        <v>32697000</v>
      </c>
      <c r="D465" s="808" t="s">
        <v>1753</v>
      </c>
      <c r="E465" s="808" t="s">
        <v>1749</v>
      </c>
      <c r="F465" s="808" t="s">
        <v>2004</v>
      </c>
      <c r="G465" s="808" t="s">
        <v>1990</v>
      </c>
      <c r="H465" s="808" t="s">
        <v>1905</v>
      </c>
      <c r="I465" s="808" t="s">
        <v>1992</v>
      </c>
      <c r="J465" s="810">
        <v>32697000</v>
      </c>
      <c r="K465" s="808" t="s">
        <v>1993</v>
      </c>
      <c r="L465" s="808" t="s">
        <v>1177</v>
      </c>
      <c r="M465" s="808" t="s">
        <v>1973</v>
      </c>
      <c r="N465" s="808" t="s">
        <v>1973</v>
      </c>
      <c r="O465" s="808" t="s">
        <v>2037</v>
      </c>
      <c r="P465" s="808" t="s">
        <v>1995</v>
      </c>
      <c r="Q465" s="808" t="s">
        <v>2038</v>
      </c>
    </row>
    <row r="466" spans="1:17" x14ac:dyDescent="0.25">
      <c r="A466" s="808" t="s">
        <v>2566</v>
      </c>
      <c r="B466" s="808" t="s">
        <v>2567</v>
      </c>
      <c r="C466" s="809">
        <v>90825000</v>
      </c>
      <c r="D466" s="808" t="s">
        <v>1749</v>
      </c>
      <c r="E466" s="808" t="s">
        <v>1866</v>
      </c>
      <c r="F466" s="808" t="s">
        <v>2010</v>
      </c>
      <c r="G466" s="808" t="s">
        <v>1990</v>
      </c>
      <c r="H466" s="808" t="s">
        <v>2001</v>
      </c>
      <c r="I466" s="808" t="s">
        <v>1992</v>
      </c>
      <c r="J466" s="810">
        <v>90825000</v>
      </c>
      <c r="K466" s="808" t="s">
        <v>1993</v>
      </c>
      <c r="L466" s="808" t="s">
        <v>1177</v>
      </c>
      <c r="M466" s="808" t="s">
        <v>1973</v>
      </c>
      <c r="N466" s="808" t="s">
        <v>1973</v>
      </c>
      <c r="O466" s="808" t="s">
        <v>2037</v>
      </c>
      <c r="P466" s="808" t="s">
        <v>1995</v>
      </c>
      <c r="Q466" s="808" t="s">
        <v>2038</v>
      </c>
    </row>
    <row r="467" spans="1:17" x14ac:dyDescent="0.25">
      <c r="A467" s="808" t="s">
        <v>2568</v>
      </c>
      <c r="B467" s="808" t="s">
        <v>2569</v>
      </c>
      <c r="C467" s="809">
        <v>12000000</v>
      </c>
      <c r="D467" s="808" t="s">
        <v>2499</v>
      </c>
      <c r="E467" s="808" t="s">
        <v>1768</v>
      </c>
      <c r="F467" s="808" t="s">
        <v>2010</v>
      </c>
      <c r="G467" s="808" t="s">
        <v>1990</v>
      </c>
      <c r="H467" s="808" t="s">
        <v>2001</v>
      </c>
      <c r="I467" s="808" t="s">
        <v>1992</v>
      </c>
      <c r="J467" s="810">
        <v>12000000</v>
      </c>
      <c r="K467" s="808" t="s">
        <v>1993</v>
      </c>
      <c r="L467" s="808" t="s">
        <v>1177</v>
      </c>
      <c r="M467" s="808" t="s">
        <v>1973</v>
      </c>
      <c r="N467" s="808" t="s">
        <v>1973</v>
      </c>
      <c r="O467" s="808" t="s">
        <v>2037</v>
      </c>
      <c r="P467" s="808" t="s">
        <v>1995</v>
      </c>
      <c r="Q467" s="808" t="s">
        <v>2038</v>
      </c>
    </row>
    <row r="468" spans="1:17" x14ac:dyDescent="0.25">
      <c r="A468" s="808" t="s">
        <v>2570</v>
      </c>
      <c r="B468" s="808" t="s">
        <v>2571</v>
      </c>
      <c r="C468" s="809">
        <v>250000000</v>
      </c>
      <c r="D468" s="808" t="s">
        <v>1753</v>
      </c>
      <c r="E468" s="808" t="s">
        <v>1749</v>
      </c>
      <c r="F468" s="808" t="s">
        <v>2010</v>
      </c>
      <c r="G468" s="808" t="s">
        <v>1990</v>
      </c>
      <c r="H468" s="808" t="s">
        <v>1991</v>
      </c>
      <c r="I468" s="808" t="s">
        <v>1992</v>
      </c>
      <c r="J468" s="810">
        <v>250000000</v>
      </c>
      <c r="K468" s="808" t="s">
        <v>1993</v>
      </c>
      <c r="L468" s="808" t="s">
        <v>1177</v>
      </c>
      <c r="M468" s="808" t="s">
        <v>1973</v>
      </c>
      <c r="N468" s="808" t="s">
        <v>1973</v>
      </c>
      <c r="O468" s="808" t="s">
        <v>2037</v>
      </c>
      <c r="P468" s="808" t="s">
        <v>1995</v>
      </c>
      <c r="Q468" s="808" t="s">
        <v>2038</v>
      </c>
    </row>
    <row r="469" spans="1:17" x14ac:dyDescent="0.25">
      <c r="A469" s="808" t="s">
        <v>2572</v>
      </c>
      <c r="B469" s="808" t="s">
        <v>2573</v>
      </c>
      <c r="C469" s="809">
        <v>170000000</v>
      </c>
      <c r="D469" s="808" t="s">
        <v>1762</v>
      </c>
      <c r="E469" s="808" t="s">
        <v>2499</v>
      </c>
      <c r="F469" s="808" t="s">
        <v>2010</v>
      </c>
      <c r="G469" s="808" t="s">
        <v>1990</v>
      </c>
      <c r="H469" s="808" t="s">
        <v>2001</v>
      </c>
      <c r="I469" s="808" t="s">
        <v>1992</v>
      </c>
      <c r="J469" s="810">
        <v>170000000</v>
      </c>
      <c r="K469" s="808" t="s">
        <v>1993</v>
      </c>
      <c r="L469" s="808" t="s">
        <v>1177</v>
      </c>
      <c r="M469" s="808" t="s">
        <v>1973</v>
      </c>
      <c r="N469" s="808" t="s">
        <v>1973</v>
      </c>
      <c r="O469" s="808" t="s">
        <v>2037</v>
      </c>
      <c r="P469" s="808" t="s">
        <v>1995</v>
      </c>
      <c r="Q469" s="808" t="s">
        <v>2038</v>
      </c>
    </row>
    <row r="470" spans="1:17" x14ac:dyDescent="0.25">
      <c r="A470" s="808" t="s">
        <v>2574</v>
      </c>
      <c r="B470" s="808" t="s">
        <v>2575</v>
      </c>
      <c r="C470" s="809">
        <v>59000000</v>
      </c>
      <c r="D470" s="808" t="s">
        <v>1773</v>
      </c>
      <c r="E470" s="808" t="s">
        <v>1762</v>
      </c>
      <c r="F470" s="808" t="s">
        <v>2054</v>
      </c>
      <c r="G470" s="808" t="s">
        <v>1990</v>
      </c>
      <c r="H470" s="808" t="s">
        <v>1905</v>
      </c>
      <c r="I470" s="808" t="s">
        <v>1992</v>
      </c>
      <c r="J470" s="810">
        <v>59000000</v>
      </c>
      <c r="K470" s="808" t="s">
        <v>1993</v>
      </c>
      <c r="L470" s="808" t="s">
        <v>1177</v>
      </c>
      <c r="M470" s="808" t="s">
        <v>1973</v>
      </c>
      <c r="N470" s="808" t="s">
        <v>1973</v>
      </c>
      <c r="O470" s="808" t="s">
        <v>2037</v>
      </c>
      <c r="P470" s="808" t="s">
        <v>1995</v>
      </c>
      <c r="Q470" s="808" t="s">
        <v>2038</v>
      </c>
    </row>
    <row r="471" spans="1:17" x14ac:dyDescent="0.25">
      <c r="A471" s="808" t="s">
        <v>2572</v>
      </c>
      <c r="B471" s="808" t="s">
        <v>2576</v>
      </c>
      <c r="C471" s="809">
        <v>650000000</v>
      </c>
      <c r="D471" s="808" t="s">
        <v>1758</v>
      </c>
      <c r="E471" s="808" t="s">
        <v>1758</v>
      </c>
      <c r="F471" s="808" t="s">
        <v>2010</v>
      </c>
      <c r="G471" s="808" t="s">
        <v>1990</v>
      </c>
      <c r="H471" s="808" t="s">
        <v>2001</v>
      </c>
      <c r="I471" s="808" t="s">
        <v>1992</v>
      </c>
      <c r="J471" s="810">
        <v>650000000</v>
      </c>
      <c r="K471" s="808" t="s">
        <v>1993</v>
      </c>
      <c r="L471" s="808" t="s">
        <v>1177</v>
      </c>
      <c r="M471" s="808" t="s">
        <v>1973</v>
      </c>
      <c r="N471" s="808" t="s">
        <v>1973</v>
      </c>
      <c r="O471" s="808" t="s">
        <v>2037</v>
      </c>
      <c r="P471" s="808" t="s">
        <v>1995</v>
      </c>
      <c r="Q471" s="808" t="s">
        <v>2038</v>
      </c>
    </row>
    <row r="472" spans="1:17" x14ac:dyDescent="0.25">
      <c r="A472" s="808" t="s">
        <v>2577</v>
      </c>
      <c r="B472" s="808" t="s">
        <v>2578</v>
      </c>
      <c r="C472" s="809">
        <v>54000000</v>
      </c>
      <c r="D472" s="808" t="s">
        <v>1768</v>
      </c>
      <c r="E472" s="808" t="s">
        <v>2579</v>
      </c>
      <c r="F472" s="808" t="s">
        <v>2010</v>
      </c>
      <c r="G472" s="808" t="s">
        <v>1990</v>
      </c>
      <c r="H472" s="808" t="s">
        <v>2001</v>
      </c>
      <c r="I472" s="808" t="s">
        <v>1992</v>
      </c>
      <c r="J472" s="810">
        <v>54000000</v>
      </c>
      <c r="K472" s="808" t="s">
        <v>1993</v>
      </c>
      <c r="L472" s="808" t="s">
        <v>1177</v>
      </c>
      <c r="M472" s="808" t="s">
        <v>1973</v>
      </c>
      <c r="N472" s="808" t="s">
        <v>1973</v>
      </c>
      <c r="O472" s="808" t="s">
        <v>2037</v>
      </c>
      <c r="P472" s="808" t="s">
        <v>1995</v>
      </c>
      <c r="Q472" s="808" t="s">
        <v>2038</v>
      </c>
    </row>
    <row r="473" spans="1:17" x14ac:dyDescent="0.25">
      <c r="A473" s="808" t="s">
        <v>2435</v>
      </c>
      <c r="B473" s="808" t="s">
        <v>2580</v>
      </c>
      <c r="C473" s="809">
        <v>70000000</v>
      </c>
      <c r="D473" s="808" t="s">
        <v>1757</v>
      </c>
      <c r="E473" s="808" t="s">
        <v>1758</v>
      </c>
      <c r="F473" s="808" t="s">
        <v>2337</v>
      </c>
      <c r="G473" s="808" t="s">
        <v>1990</v>
      </c>
      <c r="H473" s="808" t="s">
        <v>2001</v>
      </c>
      <c r="I473" s="808" t="s">
        <v>1992</v>
      </c>
      <c r="J473" s="810">
        <v>70000000</v>
      </c>
      <c r="K473" s="808" t="s">
        <v>1993</v>
      </c>
      <c r="L473" s="808" t="s">
        <v>1177</v>
      </c>
      <c r="M473" s="808" t="s">
        <v>1973</v>
      </c>
      <c r="N473" s="808" t="s">
        <v>1973</v>
      </c>
      <c r="O473" s="808" t="s">
        <v>2037</v>
      </c>
      <c r="P473" s="808" t="s">
        <v>1995</v>
      </c>
      <c r="Q473" s="808" t="s">
        <v>2038</v>
      </c>
    </row>
    <row r="474" spans="1:17" x14ac:dyDescent="0.25">
      <c r="A474" s="808" t="s">
        <v>2581</v>
      </c>
      <c r="B474" s="808" t="s">
        <v>2582</v>
      </c>
      <c r="C474" s="809">
        <v>245000000</v>
      </c>
      <c r="D474" s="808" t="s">
        <v>2499</v>
      </c>
      <c r="E474" s="808" t="s">
        <v>1768</v>
      </c>
      <c r="F474" s="808" t="s">
        <v>2010</v>
      </c>
      <c r="G474" s="808" t="s">
        <v>1990</v>
      </c>
      <c r="H474" s="808" t="s">
        <v>2066</v>
      </c>
      <c r="I474" s="808" t="s">
        <v>1992</v>
      </c>
      <c r="J474" s="810">
        <v>245000000</v>
      </c>
      <c r="K474" s="808" t="s">
        <v>1993</v>
      </c>
      <c r="L474" s="808" t="s">
        <v>1177</v>
      </c>
      <c r="M474" s="808" t="s">
        <v>1973</v>
      </c>
      <c r="N474" s="808" t="s">
        <v>1973</v>
      </c>
      <c r="O474" s="808" t="s">
        <v>2037</v>
      </c>
      <c r="P474" s="808" t="s">
        <v>1995</v>
      </c>
      <c r="Q474" s="808" t="s">
        <v>2038</v>
      </c>
    </row>
    <row r="475" spans="1:17" x14ac:dyDescent="0.25">
      <c r="A475" s="808" t="s">
        <v>2583</v>
      </c>
      <c r="B475" s="808" t="s">
        <v>2584</v>
      </c>
      <c r="C475" s="809">
        <v>78000000</v>
      </c>
      <c r="D475" s="808" t="s">
        <v>1762</v>
      </c>
      <c r="E475" s="808" t="s">
        <v>2499</v>
      </c>
      <c r="F475" s="808" t="s">
        <v>2010</v>
      </c>
      <c r="G475" s="808" t="s">
        <v>1990</v>
      </c>
      <c r="H475" s="808" t="s">
        <v>2066</v>
      </c>
      <c r="I475" s="808" t="s">
        <v>1992</v>
      </c>
      <c r="J475" s="810">
        <v>78000000</v>
      </c>
      <c r="K475" s="808" t="s">
        <v>1993</v>
      </c>
      <c r="L475" s="808" t="s">
        <v>1177</v>
      </c>
      <c r="M475" s="808" t="s">
        <v>1973</v>
      </c>
      <c r="N475" s="808" t="s">
        <v>1973</v>
      </c>
      <c r="O475" s="808" t="s">
        <v>2037</v>
      </c>
      <c r="P475" s="808" t="s">
        <v>1995</v>
      </c>
      <c r="Q475" s="808" t="s">
        <v>2038</v>
      </c>
    </row>
    <row r="476" spans="1:17" x14ac:dyDescent="0.25">
      <c r="A476" s="808" t="s">
        <v>2585</v>
      </c>
      <c r="B476" s="808" t="s">
        <v>2586</v>
      </c>
      <c r="C476" s="809">
        <v>35000000</v>
      </c>
      <c r="D476" s="808" t="s">
        <v>1757</v>
      </c>
      <c r="E476" s="808" t="s">
        <v>1758</v>
      </c>
      <c r="F476" s="808" t="s">
        <v>2010</v>
      </c>
      <c r="G476" s="808" t="s">
        <v>1990</v>
      </c>
      <c r="H476" s="808" t="s">
        <v>1991</v>
      </c>
      <c r="I476" s="808" t="s">
        <v>1992</v>
      </c>
      <c r="J476" s="810">
        <v>35000000</v>
      </c>
      <c r="K476" s="808" t="s">
        <v>1993</v>
      </c>
      <c r="L476" s="808" t="s">
        <v>1177</v>
      </c>
      <c r="M476" s="808" t="s">
        <v>1973</v>
      </c>
      <c r="N476" s="808" t="s">
        <v>1973</v>
      </c>
      <c r="O476" s="808" t="s">
        <v>2037</v>
      </c>
      <c r="P476" s="808" t="s">
        <v>1995</v>
      </c>
      <c r="Q476" s="808" t="s">
        <v>2038</v>
      </c>
    </row>
    <row r="477" spans="1:17" x14ac:dyDescent="0.25">
      <c r="A477" s="808" t="s">
        <v>2587</v>
      </c>
      <c r="B477" s="808" t="s">
        <v>2588</v>
      </c>
      <c r="C477" s="809">
        <v>31000000</v>
      </c>
      <c r="D477" s="808" t="s">
        <v>1758</v>
      </c>
      <c r="E477" s="808" t="s">
        <v>1773</v>
      </c>
      <c r="F477" s="808" t="s">
        <v>2337</v>
      </c>
      <c r="G477" s="808" t="s">
        <v>1990</v>
      </c>
      <c r="H477" s="808" t="s">
        <v>1905</v>
      </c>
      <c r="I477" s="808" t="s">
        <v>1992</v>
      </c>
      <c r="J477" s="810">
        <v>31000000</v>
      </c>
      <c r="K477" s="808" t="s">
        <v>1993</v>
      </c>
      <c r="L477" s="808" t="s">
        <v>1177</v>
      </c>
      <c r="M477" s="808" t="s">
        <v>1973</v>
      </c>
      <c r="N477" s="808" t="s">
        <v>1973</v>
      </c>
      <c r="O477" s="808" t="s">
        <v>2037</v>
      </c>
      <c r="P477" s="808" t="s">
        <v>1995</v>
      </c>
      <c r="Q477" s="808" t="s">
        <v>2038</v>
      </c>
    </row>
    <row r="478" spans="1:17" x14ac:dyDescent="0.25">
      <c r="A478" s="808" t="s">
        <v>1987</v>
      </c>
      <c r="B478" s="808" t="s">
        <v>2589</v>
      </c>
      <c r="C478" s="809">
        <v>42745500</v>
      </c>
      <c r="D478" s="808" t="s">
        <v>1753</v>
      </c>
      <c r="E478" s="808" t="s">
        <v>1753</v>
      </c>
      <c r="F478" s="808" t="s">
        <v>2036</v>
      </c>
      <c r="G478" s="808" t="s">
        <v>1990</v>
      </c>
      <c r="H478" s="808" t="s">
        <v>1991</v>
      </c>
      <c r="I478" s="808" t="s">
        <v>1992</v>
      </c>
      <c r="J478" s="810">
        <v>42745500</v>
      </c>
      <c r="K478" s="808" t="s">
        <v>1993</v>
      </c>
      <c r="L478" s="808" t="s">
        <v>1177</v>
      </c>
      <c r="M478" s="808" t="s">
        <v>1973</v>
      </c>
      <c r="N478" s="808" t="s">
        <v>1973</v>
      </c>
      <c r="O478" s="808" t="s">
        <v>2037</v>
      </c>
      <c r="P478" s="808" t="s">
        <v>1995</v>
      </c>
      <c r="Q478" s="808" t="s">
        <v>2038</v>
      </c>
    </row>
    <row r="479" spans="1:17" x14ac:dyDescent="0.25">
      <c r="A479" s="808" t="s">
        <v>1987</v>
      </c>
      <c r="B479" s="808" t="s">
        <v>2590</v>
      </c>
      <c r="C479" s="809">
        <v>26400000</v>
      </c>
      <c r="D479" s="808" t="s">
        <v>1753</v>
      </c>
      <c r="E479" s="808" t="s">
        <v>1753</v>
      </c>
      <c r="F479" s="808" t="s">
        <v>1989</v>
      </c>
      <c r="G479" s="808" t="s">
        <v>1990</v>
      </c>
      <c r="H479" s="808" t="s">
        <v>1991</v>
      </c>
      <c r="I479" s="808" t="s">
        <v>1992</v>
      </c>
      <c r="J479" s="810">
        <v>26400000</v>
      </c>
      <c r="K479" s="808" t="s">
        <v>1993</v>
      </c>
      <c r="L479" s="808" t="s">
        <v>1177</v>
      </c>
      <c r="M479" s="808" t="s">
        <v>1973</v>
      </c>
      <c r="N479" s="808" t="s">
        <v>1973</v>
      </c>
      <c r="O479" s="808" t="s">
        <v>2037</v>
      </c>
      <c r="P479" s="808" t="s">
        <v>1995</v>
      </c>
      <c r="Q479" s="808" t="s">
        <v>2038</v>
      </c>
    </row>
    <row r="480" spans="1:17" x14ac:dyDescent="0.25">
      <c r="A480" s="808" t="s">
        <v>1987</v>
      </c>
      <c r="B480" s="808" t="s">
        <v>2591</v>
      </c>
      <c r="C480" s="809">
        <v>37260000</v>
      </c>
      <c r="D480" s="808" t="s">
        <v>1749</v>
      </c>
      <c r="E480" s="808" t="s">
        <v>1749</v>
      </c>
      <c r="F480" s="808" t="s">
        <v>1989</v>
      </c>
      <c r="G480" s="808" t="s">
        <v>1990</v>
      </c>
      <c r="H480" s="808" t="s">
        <v>1991</v>
      </c>
      <c r="I480" s="808" t="s">
        <v>1992</v>
      </c>
      <c r="J480" s="810">
        <v>37260000</v>
      </c>
      <c r="K480" s="808" t="s">
        <v>1993</v>
      </c>
      <c r="L480" s="808" t="s">
        <v>1177</v>
      </c>
      <c r="M480" s="808" t="s">
        <v>1973</v>
      </c>
      <c r="N480" s="808" t="s">
        <v>1973</v>
      </c>
      <c r="O480" s="808" t="s">
        <v>2037</v>
      </c>
      <c r="P480" s="808" t="s">
        <v>1995</v>
      </c>
      <c r="Q480" s="808" t="s">
        <v>2038</v>
      </c>
    </row>
    <row r="481" spans="1:17" x14ac:dyDescent="0.25">
      <c r="A481" s="808" t="s">
        <v>1987</v>
      </c>
      <c r="B481" s="808" t="s">
        <v>2592</v>
      </c>
      <c r="C481" s="809">
        <v>23287500</v>
      </c>
      <c r="D481" s="808" t="s">
        <v>1743</v>
      </c>
      <c r="E481" s="808" t="s">
        <v>1743</v>
      </c>
      <c r="F481" s="808" t="s">
        <v>2004</v>
      </c>
      <c r="G481" s="808" t="s">
        <v>1990</v>
      </c>
      <c r="H481" s="808" t="s">
        <v>1991</v>
      </c>
      <c r="I481" s="808" t="s">
        <v>1992</v>
      </c>
      <c r="J481" s="810">
        <v>23287500</v>
      </c>
      <c r="K481" s="808" t="s">
        <v>1993</v>
      </c>
      <c r="L481" s="808" t="s">
        <v>1177</v>
      </c>
      <c r="M481" s="808" t="s">
        <v>1973</v>
      </c>
      <c r="N481" s="808" t="s">
        <v>1973</v>
      </c>
      <c r="O481" s="808" t="s">
        <v>2037</v>
      </c>
      <c r="P481" s="808" t="s">
        <v>1995</v>
      </c>
      <c r="Q481" s="808" t="s">
        <v>2038</v>
      </c>
    </row>
    <row r="482" spans="1:17" x14ac:dyDescent="0.25">
      <c r="A482" s="808" t="s">
        <v>1987</v>
      </c>
      <c r="B482" s="808" t="s">
        <v>2593</v>
      </c>
      <c r="C482" s="809">
        <v>72000000</v>
      </c>
      <c r="D482" s="808" t="s">
        <v>1749</v>
      </c>
      <c r="E482" s="808" t="s">
        <v>1749</v>
      </c>
      <c r="F482" s="808" t="s">
        <v>2004</v>
      </c>
      <c r="G482" s="808" t="s">
        <v>1990</v>
      </c>
      <c r="H482" s="808" t="s">
        <v>1991</v>
      </c>
      <c r="I482" s="808" t="s">
        <v>1992</v>
      </c>
      <c r="J482" s="810">
        <v>72000000</v>
      </c>
      <c r="K482" s="808" t="s">
        <v>1993</v>
      </c>
      <c r="L482" s="808" t="s">
        <v>1177</v>
      </c>
      <c r="M482" s="808" t="s">
        <v>1973</v>
      </c>
      <c r="N482" s="808" t="s">
        <v>1973</v>
      </c>
      <c r="O482" s="808" t="s">
        <v>2019</v>
      </c>
      <c r="P482" s="808" t="s">
        <v>1995</v>
      </c>
      <c r="Q482" s="808" t="s">
        <v>2020</v>
      </c>
    </row>
    <row r="483" spans="1:17" x14ac:dyDescent="0.25">
      <c r="A483" s="808" t="s">
        <v>1987</v>
      </c>
      <c r="B483" s="808" t="s">
        <v>2594</v>
      </c>
      <c r="C483" s="809">
        <v>78750000</v>
      </c>
      <c r="D483" s="808" t="s">
        <v>1749</v>
      </c>
      <c r="E483" s="808" t="s">
        <v>1749</v>
      </c>
      <c r="F483" s="808" t="s">
        <v>2004</v>
      </c>
      <c r="G483" s="808" t="s">
        <v>1990</v>
      </c>
      <c r="H483" s="808" t="s">
        <v>1991</v>
      </c>
      <c r="I483" s="808" t="s">
        <v>1992</v>
      </c>
      <c r="J483" s="810">
        <v>78750000</v>
      </c>
      <c r="K483" s="808" t="s">
        <v>1993</v>
      </c>
      <c r="L483" s="808" t="s">
        <v>1177</v>
      </c>
      <c r="M483" s="808" t="s">
        <v>1973</v>
      </c>
      <c r="N483" s="808" t="s">
        <v>1973</v>
      </c>
      <c r="O483" s="808" t="s">
        <v>2019</v>
      </c>
      <c r="P483" s="808" t="s">
        <v>1995</v>
      </c>
      <c r="Q483" s="808" t="s">
        <v>2020</v>
      </c>
    </row>
    <row r="484" spans="1:17" x14ac:dyDescent="0.25">
      <c r="A484" s="808" t="s">
        <v>1987</v>
      </c>
      <c r="B484" s="808" t="s">
        <v>2595</v>
      </c>
      <c r="C484" s="809">
        <v>36000000</v>
      </c>
      <c r="D484" s="808" t="s">
        <v>1749</v>
      </c>
      <c r="E484" s="808" t="s">
        <v>1749</v>
      </c>
      <c r="F484" s="808" t="s">
        <v>2004</v>
      </c>
      <c r="G484" s="808" t="s">
        <v>1990</v>
      </c>
      <c r="H484" s="808" t="s">
        <v>1991</v>
      </c>
      <c r="I484" s="808" t="s">
        <v>1992</v>
      </c>
      <c r="J484" s="810">
        <v>36000000</v>
      </c>
      <c r="K484" s="808" t="s">
        <v>1993</v>
      </c>
      <c r="L484" s="808" t="s">
        <v>1177</v>
      </c>
      <c r="M484" s="808" t="s">
        <v>1973</v>
      </c>
      <c r="N484" s="808" t="s">
        <v>1973</v>
      </c>
      <c r="O484" s="808" t="s">
        <v>2019</v>
      </c>
      <c r="P484" s="808" t="s">
        <v>1995</v>
      </c>
      <c r="Q484" s="808" t="s">
        <v>2020</v>
      </c>
    </row>
    <row r="485" spans="1:17" x14ac:dyDescent="0.25">
      <c r="A485" s="808" t="s">
        <v>1987</v>
      </c>
      <c r="B485" s="808" t="s">
        <v>2596</v>
      </c>
      <c r="C485" s="809">
        <v>31706748</v>
      </c>
      <c r="D485" s="808" t="s">
        <v>1749</v>
      </c>
      <c r="E485" s="808" t="s">
        <v>1749</v>
      </c>
      <c r="F485" s="808" t="s">
        <v>2004</v>
      </c>
      <c r="G485" s="808" t="s">
        <v>1990</v>
      </c>
      <c r="H485" s="808" t="s">
        <v>1991</v>
      </c>
      <c r="I485" s="808" t="s">
        <v>1992</v>
      </c>
      <c r="J485" s="810">
        <v>31706748</v>
      </c>
      <c r="K485" s="808" t="s">
        <v>1993</v>
      </c>
      <c r="L485" s="808" t="s">
        <v>1177</v>
      </c>
      <c r="M485" s="808" t="s">
        <v>1973</v>
      </c>
      <c r="N485" s="808" t="s">
        <v>1973</v>
      </c>
      <c r="O485" s="808" t="s">
        <v>2019</v>
      </c>
      <c r="P485" s="808" t="s">
        <v>1995</v>
      </c>
      <c r="Q485" s="808" t="s">
        <v>2020</v>
      </c>
    </row>
    <row r="486" spans="1:17" x14ac:dyDescent="0.25">
      <c r="A486" s="808" t="s">
        <v>1987</v>
      </c>
      <c r="B486" s="808" t="s">
        <v>2597</v>
      </c>
      <c r="C486" s="809">
        <v>45000000</v>
      </c>
      <c r="D486" s="808" t="s">
        <v>1749</v>
      </c>
      <c r="E486" s="808" t="s">
        <v>1749</v>
      </c>
      <c r="F486" s="808" t="s">
        <v>2004</v>
      </c>
      <c r="G486" s="808" t="s">
        <v>1990</v>
      </c>
      <c r="H486" s="808" t="s">
        <v>1991</v>
      </c>
      <c r="I486" s="808" t="s">
        <v>1992</v>
      </c>
      <c r="J486" s="810">
        <v>45000000</v>
      </c>
      <c r="K486" s="808" t="s">
        <v>1993</v>
      </c>
      <c r="L486" s="808" t="s">
        <v>1177</v>
      </c>
      <c r="M486" s="808" t="s">
        <v>1973</v>
      </c>
      <c r="N486" s="808" t="s">
        <v>1973</v>
      </c>
      <c r="O486" s="808" t="s">
        <v>2019</v>
      </c>
      <c r="P486" s="808" t="s">
        <v>1995</v>
      </c>
      <c r="Q486" s="808" t="s">
        <v>2020</v>
      </c>
    </row>
    <row r="487" spans="1:17" x14ac:dyDescent="0.25">
      <c r="A487" s="808" t="s">
        <v>1987</v>
      </c>
      <c r="B487" s="808" t="s">
        <v>2598</v>
      </c>
      <c r="C487" s="809">
        <v>55000000</v>
      </c>
      <c r="D487" s="808" t="s">
        <v>1743</v>
      </c>
      <c r="E487" s="808" t="s">
        <v>1743</v>
      </c>
      <c r="F487" s="808" t="s">
        <v>2027</v>
      </c>
      <c r="G487" s="808" t="s">
        <v>1990</v>
      </c>
      <c r="H487" s="808" t="s">
        <v>1991</v>
      </c>
      <c r="I487" s="808" t="s">
        <v>1992</v>
      </c>
      <c r="J487" s="810">
        <v>55000000</v>
      </c>
      <c r="K487" s="808" t="s">
        <v>1993</v>
      </c>
      <c r="L487" s="808" t="s">
        <v>1177</v>
      </c>
      <c r="M487" s="808" t="s">
        <v>1973</v>
      </c>
      <c r="N487" s="808" t="s">
        <v>1973</v>
      </c>
      <c r="O487" s="808" t="s">
        <v>2019</v>
      </c>
      <c r="P487" s="808" t="s">
        <v>1995</v>
      </c>
      <c r="Q487" s="808" t="s">
        <v>2020</v>
      </c>
    </row>
    <row r="488" spans="1:17" x14ac:dyDescent="0.25">
      <c r="A488" s="808" t="s">
        <v>1987</v>
      </c>
      <c r="B488" s="808" t="s">
        <v>2599</v>
      </c>
      <c r="C488" s="809">
        <v>36000000</v>
      </c>
      <c r="D488" s="808" t="s">
        <v>1749</v>
      </c>
      <c r="E488" s="808" t="s">
        <v>1749</v>
      </c>
      <c r="F488" s="808" t="s">
        <v>2004</v>
      </c>
      <c r="G488" s="808" t="s">
        <v>1990</v>
      </c>
      <c r="H488" s="808" t="s">
        <v>1991</v>
      </c>
      <c r="I488" s="808" t="s">
        <v>1992</v>
      </c>
      <c r="J488" s="810">
        <v>36000000</v>
      </c>
      <c r="K488" s="808" t="s">
        <v>1993</v>
      </c>
      <c r="L488" s="808" t="s">
        <v>1177</v>
      </c>
      <c r="M488" s="808" t="s">
        <v>1973</v>
      </c>
      <c r="N488" s="808" t="s">
        <v>1973</v>
      </c>
      <c r="O488" s="808" t="s">
        <v>2019</v>
      </c>
      <c r="P488" s="808" t="s">
        <v>1995</v>
      </c>
      <c r="Q488" s="808" t="s">
        <v>2020</v>
      </c>
    </row>
    <row r="489" spans="1:17" x14ac:dyDescent="0.25">
      <c r="A489" s="808" t="s">
        <v>1987</v>
      </c>
      <c r="B489" s="808" t="s">
        <v>2600</v>
      </c>
      <c r="C489" s="809">
        <v>55800000</v>
      </c>
      <c r="D489" s="808" t="s">
        <v>1749</v>
      </c>
      <c r="E489" s="808" t="s">
        <v>1749</v>
      </c>
      <c r="F489" s="808" t="s">
        <v>2004</v>
      </c>
      <c r="G489" s="808" t="s">
        <v>1990</v>
      </c>
      <c r="H489" s="808" t="s">
        <v>1991</v>
      </c>
      <c r="I489" s="808" t="s">
        <v>1992</v>
      </c>
      <c r="J489" s="810">
        <v>55800000</v>
      </c>
      <c r="K489" s="808" t="s">
        <v>1993</v>
      </c>
      <c r="L489" s="808" t="s">
        <v>1177</v>
      </c>
      <c r="M489" s="808" t="s">
        <v>1973</v>
      </c>
      <c r="N489" s="808" t="s">
        <v>1973</v>
      </c>
      <c r="O489" s="808" t="s">
        <v>2019</v>
      </c>
      <c r="P489" s="808" t="s">
        <v>1995</v>
      </c>
      <c r="Q489" s="808" t="s">
        <v>2020</v>
      </c>
    </row>
    <row r="490" spans="1:17" x14ac:dyDescent="0.25">
      <c r="A490" s="808" t="s">
        <v>1987</v>
      </c>
      <c r="B490" s="808" t="s">
        <v>2601</v>
      </c>
      <c r="C490" s="809">
        <v>82500000</v>
      </c>
      <c r="D490" s="808" t="s">
        <v>1743</v>
      </c>
      <c r="E490" s="808" t="s">
        <v>1743</v>
      </c>
      <c r="F490" s="808" t="s">
        <v>2027</v>
      </c>
      <c r="G490" s="808" t="s">
        <v>1990</v>
      </c>
      <c r="H490" s="808" t="s">
        <v>1991</v>
      </c>
      <c r="I490" s="808" t="s">
        <v>1992</v>
      </c>
      <c r="J490" s="810">
        <v>82500000</v>
      </c>
      <c r="K490" s="808" t="s">
        <v>1993</v>
      </c>
      <c r="L490" s="808" t="s">
        <v>1177</v>
      </c>
      <c r="M490" s="808" t="s">
        <v>1973</v>
      </c>
      <c r="N490" s="808" t="s">
        <v>1973</v>
      </c>
      <c r="O490" s="808" t="s">
        <v>2019</v>
      </c>
      <c r="P490" s="808" t="s">
        <v>1995</v>
      </c>
      <c r="Q490" s="808" t="s">
        <v>2020</v>
      </c>
    </row>
    <row r="491" spans="1:17" x14ac:dyDescent="0.25">
      <c r="A491" s="808" t="s">
        <v>1987</v>
      </c>
      <c r="B491" s="808" t="s">
        <v>2602</v>
      </c>
      <c r="C491" s="809">
        <v>85500000</v>
      </c>
      <c r="D491" s="808" t="s">
        <v>1749</v>
      </c>
      <c r="E491" s="808" t="s">
        <v>1749</v>
      </c>
      <c r="F491" s="808" t="s">
        <v>2004</v>
      </c>
      <c r="G491" s="808" t="s">
        <v>1990</v>
      </c>
      <c r="H491" s="808" t="s">
        <v>1991</v>
      </c>
      <c r="I491" s="808" t="s">
        <v>1992</v>
      </c>
      <c r="J491" s="810">
        <v>85500000</v>
      </c>
      <c r="K491" s="808" t="s">
        <v>1993</v>
      </c>
      <c r="L491" s="808" t="s">
        <v>1177</v>
      </c>
      <c r="M491" s="808" t="s">
        <v>1973</v>
      </c>
      <c r="N491" s="808" t="s">
        <v>1973</v>
      </c>
      <c r="O491" s="808" t="s">
        <v>2019</v>
      </c>
      <c r="P491" s="808" t="s">
        <v>1995</v>
      </c>
      <c r="Q491" s="808" t="s">
        <v>2020</v>
      </c>
    </row>
    <row r="492" spans="1:17" x14ac:dyDescent="0.25">
      <c r="A492" s="808" t="s">
        <v>1987</v>
      </c>
      <c r="B492" s="808" t="s">
        <v>2603</v>
      </c>
      <c r="C492" s="809">
        <v>24300000</v>
      </c>
      <c r="D492" s="808" t="s">
        <v>1749</v>
      </c>
      <c r="E492" s="808" t="s">
        <v>1749</v>
      </c>
      <c r="F492" s="808" t="s">
        <v>2004</v>
      </c>
      <c r="G492" s="808" t="s">
        <v>1990</v>
      </c>
      <c r="H492" s="808" t="s">
        <v>1991</v>
      </c>
      <c r="I492" s="808" t="s">
        <v>1992</v>
      </c>
      <c r="J492" s="810">
        <v>24300000</v>
      </c>
      <c r="K492" s="808" t="s">
        <v>1993</v>
      </c>
      <c r="L492" s="808" t="s">
        <v>1177</v>
      </c>
      <c r="M492" s="808" t="s">
        <v>1973</v>
      </c>
      <c r="N492" s="808" t="s">
        <v>1973</v>
      </c>
      <c r="O492" s="808" t="s">
        <v>2019</v>
      </c>
      <c r="P492" s="808" t="s">
        <v>1995</v>
      </c>
      <c r="Q492" s="808" t="s">
        <v>2020</v>
      </c>
    </row>
    <row r="493" spans="1:17" x14ac:dyDescent="0.25">
      <c r="A493" s="808" t="s">
        <v>1987</v>
      </c>
      <c r="B493" s="808" t="s">
        <v>2604</v>
      </c>
      <c r="C493" s="809">
        <v>73800000</v>
      </c>
      <c r="D493" s="808" t="s">
        <v>1749</v>
      </c>
      <c r="E493" s="808" t="s">
        <v>1749</v>
      </c>
      <c r="F493" s="808" t="s">
        <v>2004</v>
      </c>
      <c r="G493" s="808" t="s">
        <v>1990</v>
      </c>
      <c r="H493" s="808" t="s">
        <v>1991</v>
      </c>
      <c r="I493" s="808" t="s">
        <v>1992</v>
      </c>
      <c r="J493" s="810">
        <v>73800000</v>
      </c>
      <c r="K493" s="808" t="s">
        <v>1993</v>
      </c>
      <c r="L493" s="808" t="s">
        <v>1177</v>
      </c>
      <c r="M493" s="808" t="s">
        <v>1973</v>
      </c>
      <c r="N493" s="808" t="s">
        <v>1973</v>
      </c>
      <c r="O493" s="808" t="s">
        <v>2019</v>
      </c>
      <c r="P493" s="808" t="s">
        <v>1995</v>
      </c>
      <c r="Q493" s="808" t="s">
        <v>2020</v>
      </c>
    </row>
    <row r="494" spans="1:17" x14ac:dyDescent="0.25">
      <c r="A494" s="808" t="s">
        <v>1987</v>
      </c>
      <c r="B494" s="808" t="s">
        <v>2605</v>
      </c>
      <c r="C494" s="809">
        <v>81000000</v>
      </c>
      <c r="D494" s="808" t="s">
        <v>1749</v>
      </c>
      <c r="E494" s="808" t="s">
        <v>1749</v>
      </c>
      <c r="F494" s="808" t="s">
        <v>2004</v>
      </c>
      <c r="G494" s="808" t="s">
        <v>1990</v>
      </c>
      <c r="H494" s="808" t="s">
        <v>1991</v>
      </c>
      <c r="I494" s="808" t="s">
        <v>1992</v>
      </c>
      <c r="J494" s="810">
        <v>81000000</v>
      </c>
      <c r="K494" s="808" t="s">
        <v>1993</v>
      </c>
      <c r="L494" s="808" t="s">
        <v>1177</v>
      </c>
      <c r="M494" s="808" t="s">
        <v>1973</v>
      </c>
      <c r="N494" s="808" t="s">
        <v>1973</v>
      </c>
      <c r="O494" s="808" t="s">
        <v>2019</v>
      </c>
      <c r="P494" s="808" t="s">
        <v>1995</v>
      </c>
      <c r="Q494" s="808" t="s">
        <v>2020</v>
      </c>
    </row>
    <row r="495" spans="1:17" x14ac:dyDescent="0.25">
      <c r="A495" s="808" t="s">
        <v>1987</v>
      </c>
      <c r="B495" s="808" t="s">
        <v>2606</v>
      </c>
      <c r="C495" s="809">
        <v>64800000</v>
      </c>
      <c r="D495" s="808" t="s">
        <v>1749</v>
      </c>
      <c r="E495" s="808" t="s">
        <v>1749</v>
      </c>
      <c r="F495" s="808" t="s">
        <v>2004</v>
      </c>
      <c r="G495" s="808" t="s">
        <v>1990</v>
      </c>
      <c r="H495" s="808" t="s">
        <v>1991</v>
      </c>
      <c r="I495" s="808" t="s">
        <v>1992</v>
      </c>
      <c r="J495" s="810">
        <v>64800000</v>
      </c>
      <c r="K495" s="808" t="s">
        <v>1993</v>
      </c>
      <c r="L495" s="808" t="s">
        <v>1177</v>
      </c>
      <c r="M495" s="808" t="s">
        <v>1973</v>
      </c>
      <c r="N495" s="808" t="s">
        <v>1973</v>
      </c>
      <c r="O495" s="808" t="s">
        <v>2019</v>
      </c>
      <c r="P495" s="808" t="s">
        <v>1995</v>
      </c>
      <c r="Q495" s="808" t="s">
        <v>2020</v>
      </c>
    </row>
    <row r="496" spans="1:17" x14ac:dyDescent="0.25">
      <c r="A496" s="808" t="s">
        <v>1987</v>
      </c>
      <c r="B496" s="808" t="s">
        <v>2607</v>
      </c>
      <c r="C496" s="809">
        <v>46350000</v>
      </c>
      <c r="D496" s="808" t="s">
        <v>1749</v>
      </c>
      <c r="E496" s="808" t="s">
        <v>1749</v>
      </c>
      <c r="F496" s="808" t="s">
        <v>2004</v>
      </c>
      <c r="G496" s="808" t="s">
        <v>1990</v>
      </c>
      <c r="H496" s="808" t="s">
        <v>1991</v>
      </c>
      <c r="I496" s="808" t="s">
        <v>1992</v>
      </c>
      <c r="J496" s="810">
        <v>46350000</v>
      </c>
      <c r="K496" s="808" t="s">
        <v>1993</v>
      </c>
      <c r="L496" s="808" t="s">
        <v>1177</v>
      </c>
      <c r="M496" s="808" t="s">
        <v>1973</v>
      </c>
      <c r="N496" s="808" t="s">
        <v>1973</v>
      </c>
      <c r="O496" s="808" t="s">
        <v>2019</v>
      </c>
      <c r="P496" s="808" t="s">
        <v>1995</v>
      </c>
      <c r="Q496" s="808" t="s">
        <v>2020</v>
      </c>
    </row>
    <row r="497" spans="1:17" x14ac:dyDescent="0.25">
      <c r="A497" s="808" t="s">
        <v>1987</v>
      </c>
      <c r="B497" s="808" t="s">
        <v>2608</v>
      </c>
      <c r="C497" s="809">
        <v>64800000</v>
      </c>
      <c r="D497" s="808" t="s">
        <v>1749</v>
      </c>
      <c r="E497" s="808" t="s">
        <v>1749</v>
      </c>
      <c r="F497" s="808" t="s">
        <v>2004</v>
      </c>
      <c r="G497" s="808" t="s">
        <v>1990</v>
      </c>
      <c r="H497" s="808" t="s">
        <v>1991</v>
      </c>
      <c r="I497" s="808" t="s">
        <v>1992</v>
      </c>
      <c r="J497" s="810">
        <v>64800000</v>
      </c>
      <c r="K497" s="808" t="s">
        <v>1993</v>
      </c>
      <c r="L497" s="808" t="s">
        <v>1177</v>
      </c>
      <c r="M497" s="808" t="s">
        <v>1973</v>
      </c>
      <c r="N497" s="808" t="s">
        <v>1973</v>
      </c>
      <c r="O497" s="808" t="s">
        <v>2019</v>
      </c>
      <c r="P497" s="808" t="s">
        <v>1995</v>
      </c>
      <c r="Q497" s="808" t="s">
        <v>2020</v>
      </c>
    </row>
    <row r="498" spans="1:17" x14ac:dyDescent="0.25">
      <c r="A498" s="808" t="s">
        <v>1987</v>
      </c>
      <c r="B498" s="808" t="s">
        <v>2609</v>
      </c>
      <c r="C498" s="809">
        <v>96000000</v>
      </c>
      <c r="D498" s="808" t="s">
        <v>1866</v>
      </c>
      <c r="E498" s="808" t="s">
        <v>1866</v>
      </c>
      <c r="F498" s="808" t="s">
        <v>1989</v>
      </c>
      <c r="G498" s="808" t="s">
        <v>1990</v>
      </c>
      <c r="H498" s="808" t="s">
        <v>1991</v>
      </c>
      <c r="I498" s="808" t="s">
        <v>1992</v>
      </c>
      <c r="J498" s="810">
        <v>96000000</v>
      </c>
      <c r="K498" s="808" t="s">
        <v>1993</v>
      </c>
      <c r="L498" s="808" t="s">
        <v>1177</v>
      </c>
      <c r="M498" s="808" t="s">
        <v>1973</v>
      </c>
      <c r="N498" s="808" t="s">
        <v>1973</v>
      </c>
      <c r="O498" s="808" t="s">
        <v>2019</v>
      </c>
      <c r="P498" s="808" t="s">
        <v>1995</v>
      </c>
      <c r="Q498" s="808" t="s">
        <v>2020</v>
      </c>
    </row>
    <row r="499" spans="1:17" x14ac:dyDescent="0.25">
      <c r="A499" s="808" t="s">
        <v>1987</v>
      </c>
      <c r="B499" s="808" t="s">
        <v>2610</v>
      </c>
      <c r="C499" s="809">
        <v>36000000</v>
      </c>
      <c r="D499" s="808" t="s">
        <v>1749</v>
      </c>
      <c r="E499" s="808" t="s">
        <v>1749</v>
      </c>
      <c r="F499" s="808" t="s">
        <v>2004</v>
      </c>
      <c r="G499" s="808" t="s">
        <v>1990</v>
      </c>
      <c r="H499" s="808" t="s">
        <v>1991</v>
      </c>
      <c r="I499" s="808" t="s">
        <v>1992</v>
      </c>
      <c r="J499" s="810">
        <v>36000000</v>
      </c>
      <c r="K499" s="808" t="s">
        <v>1993</v>
      </c>
      <c r="L499" s="808" t="s">
        <v>1177</v>
      </c>
      <c r="M499" s="808" t="s">
        <v>1973</v>
      </c>
      <c r="N499" s="808" t="s">
        <v>1973</v>
      </c>
      <c r="O499" s="808" t="s">
        <v>2019</v>
      </c>
      <c r="P499" s="808" t="s">
        <v>1995</v>
      </c>
      <c r="Q499" s="808" t="s">
        <v>2020</v>
      </c>
    </row>
    <row r="500" spans="1:17" x14ac:dyDescent="0.25">
      <c r="A500" s="808" t="s">
        <v>2611</v>
      </c>
      <c r="B500" s="808" t="s">
        <v>2612</v>
      </c>
      <c r="C500" s="809">
        <v>100000000</v>
      </c>
      <c r="D500" s="808" t="s">
        <v>1757</v>
      </c>
      <c r="E500" s="808" t="s">
        <v>1757</v>
      </c>
      <c r="F500" s="808" t="s">
        <v>2000</v>
      </c>
      <c r="G500" s="808" t="s">
        <v>1990</v>
      </c>
      <c r="H500" s="808" t="s">
        <v>2078</v>
      </c>
      <c r="I500" s="808" t="s">
        <v>1992</v>
      </c>
      <c r="J500" s="810">
        <v>100000000</v>
      </c>
      <c r="K500" s="808" t="s">
        <v>1993</v>
      </c>
      <c r="L500" s="808" t="s">
        <v>1177</v>
      </c>
      <c r="M500" s="808" t="s">
        <v>1973</v>
      </c>
      <c r="N500" s="808" t="s">
        <v>1973</v>
      </c>
      <c r="O500" s="808" t="s">
        <v>432</v>
      </c>
      <c r="P500" s="808" t="s">
        <v>1995</v>
      </c>
      <c r="Q500" s="808" t="s">
        <v>2002</v>
      </c>
    </row>
    <row r="501" spans="1:17" x14ac:dyDescent="0.25">
      <c r="A501" s="808" t="s">
        <v>2613</v>
      </c>
      <c r="B501" s="808" t="s">
        <v>2614</v>
      </c>
      <c r="C501" s="809">
        <v>59000000</v>
      </c>
      <c r="D501" s="808" t="s">
        <v>1758</v>
      </c>
      <c r="E501" s="808" t="s">
        <v>1758</v>
      </c>
      <c r="F501" s="808" t="s">
        <v>2337</v>
      </c>
      <c r="G501" s="808" t="s">
        <v>1990</v>
      </c>
      <c r="H501" s="808" t="s">
        <v>1905</v>
      </c>
      <c r="I501" s="808" t="s">
        <v>1992</v>
      </c>
      <c r="J501" s="810">
        <v>59000000</v>
      </c>
      <c r="K501" s="808" t="s">
        <v>1993</v>
      </c>
      <c r="L501" s="808" t="s">
        <v>1177</v>
      </c>
      <c r="M501" s="808" t="s">
        <v>1973</v>
      </c>
      <c r="N501" s="808" t="s">
        <v>1973</v>
      </c>
      <c r="O501" s="808" t="s">
        <v>432</v>
      </c>
      <c r="P501" s="808" t="s">
        <v>1995</v>
      </c>
      <c r="Q501" s="808" t="s">
        <v>2002</v>
      </c>
    </row>
    <row r="502" spans="1:17" x14ac:dyDescent="0.25">
      <c r="A502" s="808" t="s">
        <v>1987</v>
      </c>
      <c r="B502" s="808" t="s">
        <v>2615</v>
      </c>
      <c r="C502" s="809">
        <v>15000000</v>
      </c>
      <c r="D502" s="808" t="s">
        <v>1773</v>
      </c>
      <c r="E502" s="808" t="s">
        <v>1773</v>
      </c>
      <c r="F502" s="808" t="s">
        <v>2077</v>
      </c>
      <c r="G502" s="808" t="s">
        <v>1990</v>
      </c>
      <c r="H502" s="808" t="s">
        <v>1991</v>
      </c>
      <c r="I502" s="808" t="s">
        <v>1992</v>
      </c>
      <c r="J502" s="810">
        <v>15000000</v>
      </c>
      <c r="K502" s="808" t="s">
        <v>1993</v>
      </c>
      <c r="L502" s="808" t="s">
        <v>1177</v>
      </c>
      <c r="M502" s="808" t="s">
        <v>1973</v>
      </c>
      <c r="N502" s="808" t="s">
        <v>1973</v>
      </c>
      <c r="O502" s="808" t="s">
        <v>2616</v>
      </c>
      <c r="P502" s="808" t="s">
        <v>1995</v>
      </c>
      <c r="Q502" s="808" t="s">
        <v>2459</v>
      </c>
    </row>
    <row r="503" spans="1:17" x14ac:dyDescent="0.25">
      <c r="A503" s="808" t="s">
        <v>1987</v>
      </c>
      <c r="B503" s="808" t="s">
        <v>2617</v>
      </c>
      <c r="C503" s="809">
        <v>22500000</v>
      </c>
      <c r="D503" s="808" t="s">
        <v>1758</v>
      </c>
      <c r="E503" s="808" t="s">
        <v>1758</v>
      </c>
      <c r="F503" s="808" t="s">
        <v>2077</v>
      </c>
      <c r="G503" s="808" t="s">
        <v>1990</v>
      </c>
      <c r="H503" s="808" t="s">
        <v>1991</v>
      </c>
      <c r="I503" s="808" t="s">
        <v>1992</v>
      </c>
      <c r="J503" s="810">
        <v>22500000</v>
      </c>
      <c r="K503" s="808" t="s">
        <v>1993</v>
      </c>
      <c r="L503" s="808" t="s">
        <v>1177</v>
      </c>
      <c r="M503" s="808" t="s">
        <v>1973</v>
      </c>
      <c r="N503" s="808" t="s">
        <v>1973</v>
      </c>
      <c r="O503" s="808" t="s">
        <v>2616</v>
      </c>
      <c r="P503" s="808" t="s">
        <v>1995</v>
      </c>
      <c r="Q503" s="808" t="s">
        <v>2459</v>
      </c>
    </row>
    <row r="504" spans="1:17" x14ac:dyDescent="0.25">
      <c r="A504" s="808" t="s">
        <v>2618</v>
      </c>
      <c r="B504" s="808" t="s">
        <v>2619</v>
      </c>
      <c r="C504" s="809">
        <v>400000000</v>
      </c>
      <c r="D504" s="808" t="s">
        <v>1773</v>
      </c>
      <c r="E504" s="808" t="s">
        <v>1773</v>
      </c>
      <c r="F504" s="808" t="s">
        <v>2337</v>
      </c>
      <c r="G504" s="808" t="s">
        <v>1990</v>
      </c>
      <c r="H504" s="808" t="s">
        <v>2066</v>
      </c>
      <c r="I504" s="808" t="s">
        <v>1992</v>
      </c>
      <c r="J504" s="810">
        <v>400000000</v>
      </c>
      <c r="K504" s="808" t="s">
        <v>1993</v>
      </c>
      <c r="L504" s="808" t="s">
        <v>1177</v>
      </c>
      <c r="M504" s="808" t="s">
        <v>1973</v>
      </c>
      <c r="N504" s="808" t="s">
        <v>1973</v>
      </c>
      <c r="O504" s="808" t="s">
        <v>1994</v>
      </c>
      <c r="P504" s="808" t="s">
        <v>1995</v>
      </c>
      <c r="Q504" s="808" t="s">
        <v>1996</v>
      </c>
    </row>
    <row r="505" spans="1:17" x14ac:dyDescent="0.25">
      <c r="A505" s="808" t="s">
        <v>1987</v>
      </c>
      <c r="B505" s="808" t="s">
        <v>2620</v>
      </c>
      <c r="C505" s="809">
        <v>45100000</v>
      </c>
      <c r="D505" s="808" t="s">
        <v>1758</v>
      </c>
      <c r="E505" s="808" t="s">
        <v>1758</v>
      </c>
      <c r="F505" s="808" t="s">
        <v>2000</v>
      </c>
      <c r="G505" s="808" t="s">
        <v>1990</v>
      </c>
      <c r="H505" s="808" t="s">
        <v>1991</v>
      </c>
      <c r="I505" s="808" t="s">
        <v>1992</v>
      </c>
      <c r="J505" s="810">
        <v>45100000</v>
      </c>
      <c r="K505" s="808" t="s">
        <v>1993</v>
      </c>
      <c r="L505" s="808" t="s">
        <v>1177</v>
      </c>
      <c r="M505" s="808" t="s">
        <v>1973</v>
      </c>
      <c r="N505" s="808" t="s">
        <v>1973</v>
      </c>
      <c r="O505" s="808" t="s">
        <v>2005</v>
      </c>
      <c r="P505" s="808" t="s">
        <v>1995</v>
      </c>
      <c r="Q505" s="808" t="s">
        <v>2006</v>
      </c>
    </row>
    <row r="506" spans="1:17" x14ac:dyDescent="0.25">
      <c r="A506" s="808" t="s">
        <v>1987</v>
      </c>
      <c r="B506" s="808" t="s">
        <v>2621</v>
      </c>
      <c r="C506" s="809">
        <v>27500000</v>
      </c>
      <c r="D506" s="808" t="s">
        <v>1758</v>
      </c>
      <c r="E506" s="808" t="s">
        <v>1758</v>
      </c>
      <c r="F506" s="808" t="s">
        <v>2000</v>
      </c>
      <c r="G506" s="808" t="s">
        <v>1990</v>
      </c>
      <c r="H506" s="808" t="s">
        <v>1991</v>
      </c>
      <c r="I506" s="808" t="s">
        <v>1992</v>
      </c>
      <c r="J506" s="810">
        <v>27500000</v>
      </c>
      <c r="K506" s="808" t="s">
        <v>1993</v>
      </c>
      <c r="L506" s="808" t="s">
        <v>1177</v>
      </c>
      <c r="M506" s="808" t="s">
        <v>1973</v>
      </c>
      <c r="N506" s="808" t="s">
        <v>1973</v>
      </c>
      <c r="O506" s="808" t="s">
        <v>2005</v>
      </c>
      <c r="P506" s="808" t="s">
        <v>1995</v>
      </c>
      <c r="Q506" s="808" t="s">
        <v>2006</v>
      </c>
    </row>
    <row r="507" spans="1:17" x14ac:dyDescent="0.25">
      <c r="A507" s="808" t="s">
        <v>1987</v>
      </c>
      <c r="B507" s="808" t="s">
        <v>2622</v>
      </c>
      <c r="C507" s="809">
        <v>23162500</v>
      </c>
      <c r="D507" s="808" t="s">
        <v>1758</v>
      </c>
      <c r="E507" s="808" t="s">
        <v>1758</v>
      </c>
      <c r="F507" s="808" t="s">
        <v>2000</v>
      </c>
      <c r="G507" s="808" t="s">
        <v>1990</v>
      </c>
      <c r="H507" s="808" t="s">
        <v>1991</v>
      </c>
      <c r="I507" s="808" t="s">
        <v>1992</v>
      </c>
      <c r="J507" s="810">
        <v>23162500</v>
      </c>
      <c r="K507" s="808" t="s">
        <v>1993</v>
      </c>
      <c r="L507" s="808" t="s">
        <v>1177</v>
      </c>
      <c r="M507" s="808" t="s">
        <v>1973</v>
      </c>
      <c r="N507" s="808" t="s">
        <v>1973</v>
      </c>
      <c r="O507" s="808" t="s">
        <v>2005</v>
      </c>
      <c r="P507" s="808" t="s">
        <v>1995</v>
      </c>
      <c r="Q507" s="808" t="s">
        <v>2006</v>
      </c>
    </row>
    <row r="508" spans="1:17" x14ac:dyDescent="0.25">
      <c r="A508" s="808" t="s">
        <v>1987</v>
      </c>
      <c r="B508" s="808" t="s">
        <v>2623</v>
      </c>
      <c r="C508" s="809">
        <v>23162500</v>
      </c>
      <c r="D508" s="808" t="s">
        <v>1758</v>
      </c>
      <c r="E508" s="808" t="s">
        <v>1758</v>
      </c>
      <c r="F508" s="808" t="s">
        <v>2000</v>
      </c>
      <c r="G508" s="808" t="s">
        <v>1990</v>
      </c>
      <c r="H508" s="808" t="s">
        <v>1991</v>
      </c>
      <c r="I508" s="808" t="s">
        <v>1992</v>
      </c>
      <c r="J508" s="810">
        <v>23162500</v>
      </c>
      <c r="K508" s="808" t="s">
        <v>1993</v>
      </c>
      <c r="L508" s="808" t="s">
        <v>1177</v>
      </c>
      <c r="M508" s="808" t="s">
        <v>1973</v>
      </c>
      <c r="N508" s="808" t="s">
        <v>1973</v>
      </c>
      <c r="O508" s="808" t="s">
        <v>2005</v>
      </c>
      <c r="P508" s="808" t="s">
        <v>1995</v>
      </c>
      <c r="Q508" s="808" t="s">
        <v>2006</v>
      </c>
    </row>
    <row r="509" spans="1:17" x14ac:dyDescent="0.25">
      <c r="A509" s="808" t="s">
        <v>1987</v>
      </c>
      <c r="B509" s="808" t="s">
        <v>2624</v>
      </c>
      <c r="C509" s="809">
        <v>32500000</v>
      </c>
      <c r="D509" s="808" t="s">
        <v>1758</v>
      </c>
      <c r="E509" s="808" t="s">
        <v>1758</v>
      </c>
      <c r="F509" s="808" t="s">
        <v>2077</v>
      </c>
      <c r="G509" s="808" t="s">
        <v>1990</v>
      </c>
      <c r="H509" s="808" t="s">
        <v>1991</v>
      </c>
      <c r="I509" s="808" t="s">
        <v>1992</v>
      </c>
      <c r="J509" s="810">
        <v>32500000</v>
      </c>
      <c r="K509" s="808" t="s">
        <v>1993</v>
      </c>
      <c r="L509" s="808" t="s">
        <v>1177</v>
      </c>
      <c r="M509" s="808" t="s">
        <v>1973</v>
      </c>
      <c r="N509" s="808" t="s">
        <v>1973</v>
      </c>
      <c r="O509" s="808" t="s">
        <v>2005</v>
      </c>
      <c r="P509" s="808" t="s">
        <v>1995</v>
      </c>
      <c r="Q509" s="808" t="s">
        <v>2006</v>
      </c>
    </row>
    <row r="510" spans="1:17" x14ac:dyDescent="0.25">
      <c r="A510" s="808" t="s">
        <v>1987</v>
      </c>
      <c r="B510" s="808" t="s">
        <v>2625</v>
      </c>
      <c r="C510" s="809">
        <v>22440000</v>
      </c>
      <c r="D510" s="808" t="s">
        <v>1762</v>
      </c>
      <c r="E510" s="808" t="s">
        <v>1762</v>
      </c>
      <c r="F510" s="808" t="s">
        <v>2056</v>
      </c>
      <c r="G510" s="808" t="s">
        <v>1990</v>
      </c>
      <c r="H510" s="808" t="s">
        <v>1991</v>
      </c>
      <c r="I510" s="808" t="s">
        <v>1992</v>
      </c>
      <c r="J510" s="810">
        <v>22440000</v>
      </c>
      <c r="K510" s="808" t="s">
        <v>1993</v>
      </c>
      <c r="L510" s="808" t="s">
        <v>1177</v>
      </c>
      <c r="M510" s="808" t="s">
        <v>1973</v>
      </c>
      <c r="N510" s="808" t="s">
        <v>1973</v>
      </c>
      <c r="O510" s="808" t="s">
        <v>2005</v>
      </c>
      <c r="P510" s="808" t="s">
        <v>1995</v>
      </c>
      <c r="Q510" s="808" t="s">
        <v>2006</v>
      </c>
    </row>
    <row r="511" spans="1:17" x14ac:dyDescent="0.25">
      <c r="A511" s="808" t="s">
        <v>1987</v>
      </c>
      <c r="B511" s="808" t="s">
        <v>2626</v>
      </c>
      <c r="C511" s="809">
        <v>53460000</v>
      </c>
      <c r="D511" s="808" t="s">
        <v>1753</v>
      </c>
      <c r="E511" s="808" t="s">
        <v>1753</v>
      </c>
      <c r="F511" s="808" t="s">
        <v>2027</v>
      </c>
      <c r="G511" s="808" t="s">
        <v>1990</v>
      </c>
      <c r="H511" s="808" t="s">
        <v>1991</v>
      </c>
      <c r="I511" s="808" t="s">
        <v>1992</v>
      </c>
      <c r="J511" s="810">
        <v>53460000</v>
      </c>
      <c r="K511" s="808" t="s">
        <v>1993</v>
      </c>
      <c r="L511" s="808" t="s">
        <v>1177</v>
      </c>
      <c r="M511" s="808" t="s">
        <v>1973</v>
      </c>
      <c r="N511" s="808" t="s">
        <v>1973</v>
      </c>
      <c r="O511" s="808" t="s">
        <v>2107</v>
      </c>
      <c r="P511" s="808" t="s">
        <v>1995</v>
      </c>
      <c r="Q511" s="808" t="s">
        <v>2043</v>
      </c>
    </row>
    <row r="512" spans="1:17" x14ac:dyDescent="0.25">
      <c r="A512" s="808" t="s">
        <v>1987</v>
      </c>
      <c r="B512" s="808" t="s">
        <v>2627</v>
      </c>
      <c r="C512" s="809">
        <v>31000000</v>
      </c>
      <c r="D512" s="808" t="s">
        <v>1753</v>
      </c>
      <c r="E512" s="808" t="s">
        <v>1753</v>
      </c>
      <c r="F512" s="808" t="s">
        <v>2027</v>
      </c>
      <c r="G512" s="808" t="s">
        <v>1990</v>
      </c>
      <c r="H512" s="808" t="s">
        <v>1991</v>
      </c>
      <c r="I512" s="808" t="s">
        <v>1992</v>
      </c>
      <c r="J512" s="810">
        <v>31000000</v>
      </c>
      <c r="K512" s="808" t="s">
        <v>1993</v>
      </c>
      <c r="L512" s="808" t="s">
        <v>1177</v>
      </c>
      <c r="M512" s="808" t="s">
        <v>1973</v>
      </c>
      <c r="N512" s="808" t="s">
        <v>1973</v>
      </c>
      <c r="O512" s="808" t="s">
        <v>2107</v>
      </c>
      <c r="P512" s="808" t="s">
        <v>1995</v>
      </c>
      <c r="Q512" s="808" t="s">
        <v>2043</v>
      </c>
    </row>
    <row r="513" spans="1:17" x14ac:dyDescent="0.25">
      <c r="A513" s="808" t="s">
        <v>1987</v>
      </c>
      <c r="B513" s="808" t="s">
        <v>2628</v>
      </c>
      <c r="C513" s="809">
        <v>12000000</v>
      </c>
      <c r="D513" s="808" t="s">
        <v>1753</v>
      </c>
      <c r="E513" s="808" t="s">
        <v>1753</v>
      </c>
      <c r="F513" s="808" t="s">
        <v>2056</v>
      </c>
      <c r="G513" s="808" t="s">
        <v>1990</v>
      </c>
      <c r="H513" s="808" t="s">
        <v>1991</v>
      </c>
      <c r="I513" s="808" t="s">
        <v>1992</v>
      </c>
      <c r="J513" s="810">
        <v>12000000</v>
      </c>
      <c r="K513" s="808" t="s">
        <v>1993</v>
      </c>
      <c r="L513" s="808" t="s">
        <v>1177</v>
      </c>
      <c r="M513" s="808" t="s">
        <v>1973</v>
      </c>
      <c r="N513" s="808" t="s">
        <v>1973</v>
      </c>
      <c r="O513" s="808" t="s">
        <v>2107</v>
      </c>
      <c r="P513" s="808" t="s">
        <v>1995</v>
      </c>
      <c r="Q513" s="808" t="s">
        <v>2043</v>
      </c>
    </row>
    <row r="514" spans="1:17" x14ac:dyDescent="0.25">
      <c r="A514" s="808" t="s">
        <v>1987</v>
      </c>
      <c r="B514" s="808" t="s">
        <v>2629</v>
      </c>
      <c r="C514" s="809">
        <v>27000000</v>
      </c>
      <c r="D514" s="808" t="s">
        <v>1749</v>
      </c>
      <c r="E514" s="808" t="s">
        <v>1749</v>
      </c>
      <c r="F514" s="808" t="s">
        <v>2004</v>
      </c>
      <c r="G514" s="808" t="s">
        <v>1990</v>
      </c>
      <c r="H514" s="808" t="s">
        <v>1991</v>
      </c>
      <c r="I514" s="808" t="s">
        <v>1992</v>
      </c>
      <c r="J514" s="810">
        <v>27000000</v>
      </c>
      <c r="K514" s="808" t="s">
        <v>1993</v>
      </c>
      <c r="L514" s="808" t="s">
        <v>1177</v>
      </c>
      <c r="M514" s="808" t="s">
        <v>1973</v>
      </c>
      <c r="N514" s="808" t="s">
        <v>1973</v>
      </c>
      <c r="O514" s="808" t="s">
        <v>2107</v>
      </c>
      <c r="P514" s="808" t="s">
        <v>1995</v>
      </c>
      <c r="Q514" s="808" t="s">
        <v>2043</v>
      </c>
    </row>
    <row r="515" spans="1:17" x14ac:dyDescent="0.25">
      <c r="A515" s="808" t="s">
        <v>1987</v>
      </c>
      <c r="B515" s="808" t="s">
        <v>2630</v>
      </c>
      <c r="C515" s="809">
        <v>45500000</v>
      </c>
      <c r="D515" s="808" t="s">
        <v>1757</v>
      </c>
      <c r="E515" s="808" t="s">
        <v>1757</v>
      </c>
      <c r="F515" s="808" t="s">
        <v>2036</v>
      </c>
      <c r="G515" s="808" t="s">
        <v>1990</v>
      </c>
      <c r="H515" s="808" t="s">
        <v>1991</v>
      </c>
      <c r="I515" s="808" t="s">
        <v>1992</v>
      </c>
      <c r="J515" s="810">
        <v>45500000</v>
      </c>
      <c r="K515" s="808" t="s">
        <v>1993</v>
      </c>
      <c r="L515" s="808" t="s">
        <v>1177</v>
      </c>
      <c r="M515" s="808" t="s">
        <v>1973</v>
      </c>
      <c r="N515" s="808" t="s">
        <v>1973</v>
      </c>
      <c r="O515" s="808" t="s">
        <v>2107</v>
      </c>
      <c r="P515" s="808" t="s">
        <v>1995</v>
      </c>
      <c r="Q515" s="808" t="s">
        <v>2043</v>
      </c>
    </row>
    <row r="516" spans="1:17" x14ac:dyDescent="0.25">
      <c r="A516" s="808" t="s">
        <v>1987</v>
      </c>
      <c r="B516" s="808" t="s">
        <v>2631</v>
      </c>
      <c r="C516" s="809">
        <v>80000000</v>
      </c>
      <c r="D516" s="808" t="s">
        <v>1753</v>
      </c>
      <c r="E516" s="808" t="s">
        <v>1753</v>
      </c>
      <c r="F516" s="808" t="s">
        <v>2023</v>
      </c>
      <c r="G516" s="808" t="s">
        <v>1990</v>
      </c>
      <c r="H516" s="808" t="s">
        <v>1991</v>
      </c>
      <c r="I516" s="808" t="s">
        <v>1992</v>
      </c>
      <c r="J516" s="810">
        <v>80000000</v>
      </c>
      <c r="K516" s="808" t="s">
        <v>1993</v>
      </c>
      <c r="L516" s="808" t="s">
        <v>1177</v>
      </c>
      <c r="M516" s="808" t="s">
        <v>1973</v>
      </c>
      <c r="N516" s="808" t="s">
        <v>1973</v>
      </c>
      <c r="O516" s="808" t="s">
        <v>2457</v>
      </c>
      <c r="P516" s="808" t="s">
        <v>2458</v>
      </c>
      <c r="Q516" s="808" t="s">
        <v>2459</v>
      </c>
    </row>
    <row r="517" spans="1:17" x14ac:dyDescent="0.25">
      <c r="A517" s="808" t="s">
        <v>1987</v>
      </c>
      <c r="B517" s="808" t="s">
        <v>2632</v>
      </c>
      <c r="C517" s="809">
        <v>80000000</v>
      </c>
      <c r="D517" s="808" t="s">
        <v>1753</v>
      </c>
      <c r="E517" s="808" t="s">
        <v>1753</v>
      </c>
      <c r="F517" s="808" t="s">
        <v>2023</v>
      </c>
      <c r="G517" s="808" t="s">
        <v>1990</v>
      </c>
      <c r="H517" s="808" t="s">
        <v>1991</v>
      </c>
      <c r="I517" s="808" t="s">
        <v>1992</v>
      </c>
      <c r="J517" s="810">
        <v>80000000</v>
      </c>
      <c r="K517" s="808" t="s">
        <v>1993</v>
      </c>
      <c r="L517" s="808" t="s">
        <v>1177</v>
      </c>
      <c r="M517" s="808" t="s">
        <v>1973</v>
      </c>
      <c r="N517" s="808" t="s">
        <v>1973</v>
      </c>
      <c r="O517" s="808" t="s">
        <v>2457</v>
      </c>
      <c r="P517" s="808" t="s">
        <v>2458</v>
      </c>
      <c r="Q517" s="808" t="s">
        <v>2459</v>
      </c>
    </row>
    <row r="518" spans="1:17" x14ac:dyDescent="0.25">
      <c r="A518" s="808" t="s">
        <v>1987</v>
      </c>
      <c r="B518" s="808" t="s">
        <v>2633</v>
      </c>
      <c r="C518" s="809">
        <v>65000000</v>
      </c>
      <c r="D518" s="808" t="s">
        <v>1753</v>
      </c>
      <c r="E518" s="808" t="s">
        <v>1753</v>
      </c>
      <c r="F518" s="808" t="s">
        <v>2023</v>
      </c>
      <c r="G518" s="808" t="s">
        <v>1990</v>
      </c>
      <c r="H518" s="808" t="s">
        <v>1991</v>
      </c>
      <c r="I518" s="808" t="s">
        <v>1992</v>
      </c>
      <c r="J518" s="810">
        <v>65000000</v>
      </c>
      <c r="K518" s="808" t="s">
        <v>1993</v>
      </c>
      <c r="L518" s="808" t="s">
        <v>1177</v>
      </c>
      <c r="M518" s="808" t="s">
        <v>1973</v>
      </c>
      <c r="N518" s="808" t="s">
        <v>1973</v>
      </c>
      <c r="O518" s="808" t="s">
        <v>2457</v>
      </c>
      <c r="P518" s="808" t="s">
        <v>2458</v>
      </c>
      <c r="Q518" s="808" t="s">
        <v>2459</v>
      </c>
    </row>
    <row r="519" spans="1:17" x14ac:dyDescent="0.25">
      <c r="A519" s="808" t="s">
        <v>1987</v>
      </c>
      <c r="B519" s="808" t="s">
        <v>2634</v>
      </c>
      <c r="C519" s="809">
        <v>30000000</v>
      </c>
      <c r="D519" s="808" t="s">
        <v>1753</v>
      </c>
      <c r="E519" s="808" t="s">
        <v>1753</v>
      </c>
      <c r="F519" s="808" t="s">
        <v>2023</v>
      </c>
      <c r="G519" s="808" t="s">
        <v>1990</v>
      </c>
      <c r="H519" s="808" t="s">
        <v>1991</v>
      </c>
      <c r="I519" s="808" t="s">
        <v>1992</v>
      </c>
      <c r="J519" s="810">
        <v>30000000</v>
      </c>
      <c r="K519" s="808" t="s">
        <v>1993</v>
      </c>
      <c r="L519" s="808" t="s">
        <v>1177</v>
      </c>
      <c r="M519" s="808" t="s">
        <v>1973</v>
      </c>
      <c r="N519" s="808" t="s">
        <v>1973</v>
      </c>
      <c r="O519" s="808" t="s">
        <v>2457</v>
      </c>
      <c r="P519" s="808" t="s">
        <v>2458</v>
      </c>
      <c r="Q519" s="808" t="s">
        <v>2459</v>
      </c>
    </row>
    <row r="520" spans="1:17" x14ac:dyDescent="0.25">
      <c r="A520" s="808" t="s">
        <v>1987</v>
      </c>
      <c r="B520" s="808" t="s">
        <v>2635</v>
      </c>
      <c r="C520" s="809">
        <v>41337934</v>
      </c>
      <c r="D520" s="808" t="s">
        <v>1743</v>
      </c>
      <c r="E520" s="808" t="s">
        <v>1743</v>
      </c>
      <c r="F520" s="808" t="s">
        <v>2036</v>
      </c>
      <c r="G520" s="808" t="s">
        <v>1990</v>
      </c>
      <c r="H520" s="808" t="s">
        <v>1991</v>
      </c>
      <c r="I520" s="808" t="s">
        <v>1992</v>
      </c>
      <c r="J520" s="810">
        <v>41337934</v>
      </c>
      <c r="K520" s="808" t="s">
        <v>1993</v>
      </c>
      <c r="L520" s="808" t="s">
        <v>1177</v>
      </c>
      <c r="M520" s="808" t="s">
        <v>1973</v>
      </c>
      <c r="N520" s="808" t="s">
        <v>1973</v>
      </c>
      <c r="O520" s="808" t="s">
        <v>2472</v>
      </c>
      <c r="P520" s="808" t="s">
        <v>1995</v>
      </c>
      <c r="Q520" s="808" t="s">
        <v>2062</v>
      </c>
    </row>
    <row r="521" spans="1:17" x14ac:dyDescent="0.25">
      <c r="A521" s="808" t="s">
        <v>1987</v>
      </c>
      <c r="B521" s="808" t="s">
        <v>2636</v>
      </c>
      <c r="C521" s="809">
        <v>34978255</v>
      </c>
      <c r="D521" s="808" t="s">
        <v>1743</v>
      </c>
      <c r="E521" s="808" t="s">
        <v>1743</v>
      </c>
      <c r="F521" s="808" t="s">
        <v>2036</v>
      </c>
      <c r="G521" s="808" t="s">
        <v>1990</v>
      </c>
      <c r="H521" s="808" t="s">
        <v>1991</v>
      </c>
      <c r="I521" s="808" t="s">
        <v>1992</v>
      </c>
      <c r="J521" s="810">
        <v>34978255</v>
      </c>
      <c r="K521" s="808" t="s">
        <v>1993</v>
      </c>
      <c r="L521" s="808" t="s">
        <v>1177</v>
      </c>
      <c r="M521" s="808" t="s">
        <v>1973</v>
      </c>
      <c r="N521" s="808" t="s">
        <v>1973</v>
      </c>
      <c r="O521" s="808" t="s">
        <v>2472</v>
      </c>
      <c r="P521" s="808" t="s">
        <v>1995</v>
      </c>
      <c r="Q521" s="808" t="s">
        <v>2062</v>
      </c>
    </row>
    <row r="522" spans="1:17" x14ac:dyDescent="0.25">
      <c r="A522" s="808" t="s">
        <v>1987</v>
      </c>
      <c r="B522" s="808" t="s">
        <v>2637</v>
      </c>
      <c r="C522" s="809">
        <v>81767340</v>
      </c>
      <c r="D522" s="808" t="s">
        <v>1749</v>
      </c>
      <c r="E522" s="808" t="s">
        <v>1749</v>
      </c>
      <c r="F522" s="808" t="s">
        <v>2023</v>
      </c>
      <c r="G522" s="808" t="s">
        <v>1990</v>
      </c>
      <c r="H522" s="808" t="s">
        <v>1991</v>
      </c>
      <c r="I522" s="808" t="s">
        <v>1992</v>
      </c>
      <c r="J522" s="810">
        <v>81767340</v>
      </c>
      <c r="K522" s="808" t="s">
        <v>1993</v>
      </c>
      <c r="L522" s="808" t="s">
        <v>1177</v>
      </c>
      <c r="M522" s="808" t="s">
        <v>1973</v>
      </c>
      <c r="N522" s="808" t="s">
        <v>1973</v>
      </c>
      <c r="O522" s="808" t="s">
        <v>2183</v>
      </c>
      <c r="P522" s="808" t="s">
        <v>1995</v>
      </c>
      <c r="Q522" s="808" t="s">
        <v>2048</v>
      </c>
    </row>
    <row r="523" spans="1:17" x14ac:dyDescent="0.25">
      <c r="A523" s="808" t="s">
        <v>1987</v>
      </c>
      <c r="B523" s="808" t="s">
        <v>2638</v>
      </c>
      <c r="C523" s="809">
        <v>65413872</v>
      </c>
      <c r="D523" s="808" t="s">
        <v>1866</v>
      </c>
      <c r="E523" s="808" t="s">
        <v>1866</v>
      </c>
      <c r="F523" s="808" t="s">
        <v>2004</v>
      </c>
      <c r="G523" s="808" t="s">
        <v>1990</v>
      </c>
      <c r="H523" s="808" t="s">
        <v>1991</v>
      </c>
      <c r="I523" s="808" t="s">
        <v>1992</v>
      </c>
      <c r="J523" s="810">
        <v>65413872</v>
      </c>
      <c r="K523" s="808" t="s">
        <v>1993</v>
      </c>
      <c r="L523" s="808" t="s">
        <v>1177</v>
      </c>
      <c r="M523" s="808" t="s">
        <v>1973</v>
      </c>
      <c r="N523" s="808" t="s">
        <v>1973</v>
      </c>
      <c r="O523" s="808" t="s">
        <v>2183</v>
      </c>
      <c r="P523" s="808" t="s">
        <v>1995</v>
      </c>
      <c r="Q523" s="808" t="s">
        <v>2048</v>
      </c>
    </row>
    <row r="524" spans="1:17" x14ac:dyDescent="0.25">
      <c r="A524" s="808" t="s">
        <v>1987</v>
      </c>
      <c r="B524" s="808" t="s">
        <v>2639</v>
      </c>
      <c r="C524" s="809">
        <v>65413872</v>
      </c>
      <c r="D524" s="808" t="s">
        <v>1866</v>
      </c>
      <c r="E524" s="808" t="s">
        <v>1866</v>
      </c>
      <c r="F524" s="808" t="s">
        <v>2004</v>
      </c>
      <c r="G524" s="808" t="s">
        <v>1990</v>
      </c>
      <c r="H524" s="808" t="s">
        <v>1991</v>
      </c>
      <c r="I524" s="808" t="s">
        <v>1992</v>
      </c>
      <c r="J524" s="810">
        <v>65413872</v>
      </c>
      <c r="K524" s="808" t="s">
        <v>1993</v>
      </c>
      <c r="L524" s="808" t="s">
        <v>1177</v>
      </c>
      <c r="M524" s="808" t="s">
        <v>1973</v>
      </c>
      <c r="N524" s="808" t="s">
        <v>1973</v>
      </c>
      <c r="O524" s="808" t="s">
        <v>2183</v>
      </c>
      <c r="P524" s="808" t="s">
        <v>1995</v>
      </c>
      <c r="Q524" s="808" t="s">
        <v>2048</v>
      </c>
    </row>
    <row r="525" spans="1:17" x14ac:dyDescent="0.25">
      <c r="A525" s="808" t="s">
        <v>1987</v>
      </c>
      <c r="B525" s="808" t="s">
        <v>2640</v>
      </c>
      <c r="C525" s="809">
        <v>36784368</v>
      </c>
      <c r="D525" s="808" t="s">
        <v>1866</v>
      </c>
      <c r="E525" s="808" t="s">
        <v>1866</v>
      </c>
      <c r="F525" s="808" t="s">
        <v>2004</v>
      </c>
      <c r="G525" s="808" t="s">
        <v>1990</v>
      </c>
      <c r="H525" s="808" t="s">
        <v>1991</v>
      </c>
      <c r="I525" s="808" t="s">
        <v>1992</v>
      </c>
      <c r="J525" s="810">
        <v>36784368</v>
      </c>
      <c r="K525" s="808" t="s">
        <v>1993</v>
      </c>
      <c r="L525" s="808" t="s">
        <v>1177</v>
      </c>
      <c r="M525" s="808" t="s">
        <v>1973</v>
      </c>
      <c r="N525" s="808" t="s">
        <v>1973</v>
      </c>
      <c r="O525" s="808" t="s">
        <v>2183</v>
      </c>
      <c r="P525" s="808" t="s">
        <v>1995</v>
      </c>
      <c r="Q525" s="808" t="s">
        <v>2048</v>
      </c>
    </row>
    <row r="526" spans="1:17" x14ac:dyDescent="0.25">
      <c r="A526" s="808" t="s">
        <v>1987</v>
      </c>
      <c r="B526" s="808" t="s">
        <v>2641</v>
      </c>
      <c r="C526" s="809">
        <v>65394432</v>
      </c>
      <c r="D526" s="808" t="s">
        <v>1866</v>
      </c>
      <c r="E526" s="808" t="s">
        <v>1866</v>
      </c>
      <c r="F526" s="808" t="s">
        <v>2004</v>
      </c>
      <c r="G526" s="808" t="s">
        <v>1990</v>
      </c>
      <c r="H526" s="808" t="s">
        <v>1991</v>
      </c>
      <c r="I526" s="808" t="s">
        <v>1992</v>
      </c>
      <c r="J526" s="810">
        <v>65394432</v>
      </c>
      <c r="K526" s="808" t="s">
        <v>1993</v>
      </c>
      <c r="L526" s="808" t="s">
        <v>1177</v>
      </c>
      <c r="M526" s="808" t="s">
        <v>1973</v>
      </c>
      <c r="N526" s="808" t="s">
        <v>1973</v>
      </c>
      <c r="O526" s="808" t="s">
        <v>2183</v>
      </c>
      <c r="P526" s="808" t="s">
        <v>1995</v>
      </c>
      <c r="Q526" s="808" t="s">
        <v>2048</v>
      </c>
    </row>
    <row r="527" spans="1:17" x14ac:dyDescent="0.25">
      <c r="A527" s="808" t="s">
        <v>1987</v>
      </c>
      <c r="B527" s="808" t="s">
        <v>2642</v>
      </c>
      <c r="C527" s="809">
        <v>65413872</v>
      </c>
      <c r="D527" s="808" t="s">
        <v>1866</v>
      </c>
      <c r="E527" s="808" t="s">
        <v>1866</v>
      </c>
      <c r="F527" s="808" t="s">
        <v>2004</v>
      </c>
      <c r="G527" s="808" t="s">
        <v>1990</v>
      </c>
      <c r="H527" s="808" t="s">
        <v>1991</v>
      </c>
      <c r="I527" s="808" t="s">
        <v>1992</v>
      </c>
      <c r="J527" s="810">
        <v>65413872</v>
      </c>
      <c r="K527" s="808" t="s">
        <v>1993</v>
      </c>
      <c r="L527" s="808" t="s">
        <v>1177</v>
      </c>
      <c r="M527" s="808" t="s">
        <v>1973</v>
      </c>
      <c r="N527" s="808" t="s">
        <v>1973</v>
      </c>
      <c r="O527" s="808" t="s">
        <v>2183</v>
      </c>
      <c r="P527" s="808" t="s">
        <v>1995</v>
      </c>
      <c r="Q527" s="808" t="s">
        <v>2048</v>
      </c>
    </row>
    <row r="528" spans="1:17" x14ac:dyDescent="0.25">
      <c r="A528" s="808" t="s">
        <v>1987</v>
      </c>
      <c r="B528" s="808" t="s">
        <v>2643</v>
      </c>
      <c r="C528" s="809">
        <v>32706936</v>
      </c>
      <c r="D528" s="808" t="s">
        <v>1866</v>
      </c>
      <c r="E528" s="808" t="s">
        <v>1866</v>
      </c>
      <c r="F528" s="808" t="s">
        <v>2004</v>
      </c>
      <c r="G528" s="808" t="s">
        <v>1990</v>
      </c>
      <c r="H528" s="808" t="s">
        <v>1991</v>
      </c>
      <c r="I528" s="808" t="s">
        <v>1992</v>
      </c>
      <c r="J528" s="810">
        <v>32706936</v>
      </c>
      <c r="K528" s="808" t="s">
        <v>1993</v>
      </c>
      <c r="L528" s="808" t="s">
        <v>1177</v>
      </c>
      <c r="M528" s="808" t="s">
        <v>1973</v>
      </c>
      <c r="N528" s="808" t="s">
        <v>1973</v>
      </c>
      <c r="O528" s="808" t="s">
        <v>2183</v>
      </c>
      <c r="P528" s="808" t="s">
        <v>1995</v>
      </c>
      <c r="Q528" s="808" t="s">
        <v>2048</v>
      </c>
    </row>
    <row r="529" spans="1:17" x14ac:dyDescent="0.25">
      <c r="A529" s="808" t="s">
        <v>1987</v>
      </c>
      <c r="B529" s="808" t="s">
        <v>2644</v>
      </c>
      <c r="C529" s="809">
        <v>65413872</v>
      </c>
      <c r="D529" s="808" t="s">
        <v>1866</v>
      </c>
      <c r="E529" s="808" t="s">
        <v>1866</v>
      </c>
      <c r="F529" s="808" t="s">
        <v>2004</v>
      </c>
      <c r="G529" s="808" t="s">
        <v>1990</v>
      </c>
      <c r="H529" s="808" t="s">
        <v>1991</v>
      </c>
      <c r="I529" s="808" t="s">
        <v>1992</v>
      </c>
      <c r="J529" s="810">
        <v>65413872</v>
      </c>
      <c r="K529" s="808" t="s">
        <v>1993</v>
      </c>
      <c r="L529" s="808" t="s">
        <v>1177</v>
      </c>
      <c r="M529" s="808" t="s">
        <v>1973</v>
      </c>
      <c r="N529" s="808" t="s">
        <v>1973</v>
      </c>
      <c r="O529" s="808" t="s">
        <v>2183</v>
      </c>
      <c r="P529" s="808" t="s">
        <v>1995</v>
      </c>
      <c r="Q529" s="808" t="s">
        <v>2048</v>
      </c>
    </row>
    <row r="530" spans="1:17" x14ac:dyDescent="0.25">
      <c r="A530" s="808" t="s">
        <v>1987</v>
      </c>
      <c r="B530" s="808" t="s">
        <v>2645</v>
      </c>
      <c r="C530" s="809">
        <v>32706936</v>
      </c>
      <c r="D530" s="808" t="s">
        <v>1866</v>
      </c>
      <c r="E530" s="808" t="s">
        <v>1866</v>
      </c>
      <c r="F530" s="808" t="s">
        <v>2000</v>
      </c>
      <c r="G530" s="808" t="s">
        <v>1990</v>
      </c>
      <c r="H530" s="808" t="s">
        <v>1991</v>
      </c>
      <c r="I530" s="808" t="s">
        <v>1992</v>
      </c>
      <c r="J530" s="810">
        <v>32706936</v>
      </c>
      <c r="K530" s="808" t="s">
        <v>1993</v>
      </c>
      <c r="L530" s="808" t="s">
        <v>1177</v>
      </c>
      <c r="M530" s="808" t="s">
        <v>1973</v>
      </c>
      <c r="N530" s="808" t="s">
        <v>1973</v>
      </c>
      <c r="O530" s="808" t="s">
        <v>2183</v>
      </c>
      <c r="P530" s="808" t="s">
        <v>1995</v>
      </c>
      <c r="Q530" s="808" t="s">
        <v>2048</v>
      </c>
    </row>
    <row r="531" spans="1:17" x14ac:dyDescent="0.25">
      <c r="A531" s="808" t="s">
        <v>2646</v>
      </c>
      <c r="B531" s="808" t="s">
        <v>2647</v>
      </c>
      <c r="C531" s="809">
        <v>60000000</v>
      </c>
      <c r="D531" s="808" t="s">
        <v>1750</v>
      </c>
      <c r="E531" s="808" t="s">
        <v>1750</v>
      </c>
      <c r="F531" s="808" t="s">
        <v>2000</v>
      </c>
      <c r="G531" s="808" t="s">
        <v>1990</v>
      </c>
      <c r="H531" s="808" t="s">
        <v>1905</v>
      </c>
      <c r="I531" s="808" t="s">
        <v>1992</v>
      </c>
      <c r="J531" s="810">
        <v>60000000</v>
      </c>
      <c r="K531" s="808" t="s">
        <v>1993</v>
      </c>
      <c r="L531" s="808" t="s">
        <v>1177</v>
      </c>
      <c r="M531" s="808" t="s">
        <v>1973</v>
      </c>
      <c r="N531" s="808" t="s">
        <v>1973</v>
      </c>
      <c r="O531" s="808" t="s">
        <v>2131</v>
      </c>
      <c r="P531" s="808" t="s">
        <v>1995</v>
      </c>
      <c r="Q531" s="808" t="s">
        <v>2048</v>
      </c>
    </row>
    <row r="532" spans="1:17" x14ac:dyDescent="0.25">
      <c r="A532" s="808" t="s">
        <v>1987</v>
      </c>
      <c r="B532" s="808" t="s">
        <v>2648</v>
      </c>
      <c r="C532" s="809">
        <v>35000000</v>
      </c>
      <c r="D532" s="808" t="s">
        <v>1757</v>
      </c>
      <c r="E532" s="808" t="s">
        <v>1757</v>
      </c>
      <c r="F532" s="808" t="s">
        <v>2036</v>
      </c>
      <c r="G532" s="808" t="s">
        <v>1990</v>
      </c>
      <c r="H532" s="808" t="s">
        <v>1991</v>
      </c>
      <c r="I532" s="808" t="s">
        <v>1992</v>
      </c>
      <c r="J532" s="810">
        <v>35000000</v>
      </c>
      <c r="K532" s="808" t="s">
        <v>1993</v>
      </c>
      <c r="L532" s="808" t="s">
        <v>1177</v>
      </c>
      <c r="M532" s="808" t="s">
        <v>1973</v>
      </c>
      <c r="N532" s="808" t="s">
        <v>1973</v>
      </c>
      <c r="O532" s="808" t="s">
        <v>2649</v>
      </c>
      <c r="P532" s="808" t="s">
        <v>1995</v>
      </c>
      <c r="Q532" s="808" t="s">
        <v>2020</v>
      </c>
    </row>
    <row r="533" spans="1:17" x14ac:dyDescent="0.25">
      <c r="A533" s="808" t="s">
        <v>1987</v>
      </c>
      <c r="B533" s="808" t="s">
        <v>2650</v>
      </c>
      <c r="C533" s="809">
        <v>32706936</v>
      </c>
      <c r="D533" s="808" t="s">
        <v>1753</v>
      </c>
      <c r="E533" s="808" t="s">
        <v>1753</v>
      </c>
      <c r="F533" s="808" t="s">
        <v>1989</v>
      </c>
      <c r="G533" s="808" t="s">
        <v>1990</v>
      </c>
      <c r="H533" s="808" t="s">
        <v>1991</v>
      </c>
      <c r="I533" s="808" t="s">
        <v>1992</v>
      </c>
      <c r="J533" s="810">
        <v>32706936</v>
      </c>
      <c r="K533" s="808" t="s">
        <v>1993</v>
      </c>
      <c r="L533" s="808" t="s">
        <v>1177</v>
      </c>
      <c r="M533" s="808" t="s">
        <v>1973</v>
      </c>
      <c r="N533" s="808" t="s">
        <v>1973</v>
      </c>
      <c r="O533" s="808" t="s">
        <v>2067</v>
      </c>
      <c r="P533" s="808" t="s">
        <v>1995</v>
      </c>
      <c r="Q533" s="808" t="s">
        <v>2002</v>
      </c>
    </row>
    <row r="534" spans="1:17" x14ac:dyDescent="0.25">
      <c r="A534" s="808" t="s">
        <v>1987</v>
      </c>
      <c r="B534" s="808" t="s">
        <v>2651</v>
      </c>
      <c r="C534" s="809">
        <v>56000000</v>
      </c>
      <c r="D534" s="808" t="s">
        <v>1753</v>
      </c>
      <c r="E534" s="808" t="s">
        <v>1753</v>
      </c>
      <c r="F534" s="808" t="s">
        <v>1989</v>
      </c>
      <c r="G534" s="808" t="s">
        <v>1990</v>
      </c>
      <c r="H534" s="808" t="s">
        <v>1991</v>
      </c>
      <c r="I534" s="808" t="s">
        <v>1992</v>
      </c>
      <c r="J534" s="810">
        <v>56000000</v>
      </c>
      <c r="K534" s="808" t="s">
        <v>1993</v>
      </c>
      <c r="L534" s="808" t="s">
        <v>1177</v>
      </c>
      <c r="M534" s="808" t="s">
        <v>1973</v>
      </c>
      <c r="N534" s="808" t="s">
        <v>1973</v>
      </c>
      <c r="O534" s="808" t="s">
        <v>2067</v>
      </c>
      <c r="P534" s="808" t="s">
        <v>1995</v>
      </c>
      <c r="Q534" s="808" t="s">
        <v>2002</v>
      </c>
    </row>
    <row r="535" spans="1:17" x14ac:dyDescent="0.25">
      <c r="A535" s="808" t="s">
        <v>1987</v>
      </c>
      <c r="B535" s="808" t="s">
        <v>2652</v>
      </c>
      <c r="C535" s="809">
        <v>12000000</v>
      </c>
      <c r="D535" s="808" t="s">
        <v>1753</v>
      </c>
      <c r="E535" s="808" t="s">
        <v>1753</v>
      </c>
      <c r="F535" s="808" t="s">
        <v>2056</v>
      </c>
      <c r="G535" s="808" t="s">
        <v>1990</v>
      </c>
      <c r="H535" s="808" t="s">
        <v>1991</v>
      </c>
      <c r="I535" s="808" t="s">
        <v>1992</v>
      </c>
      <c r="J535" s="810">
        <v>12000000</v>
      </c>
      <c r="K535" s="808" t="s">
        <v>1993</v>
      </c>
      <c r="L535" s="808" t="s">
        <v>1177</v>
      </c>
      <c r="M535" s="808" t="s">
        <v>1973</v>
      </c>
      <c r="N535" s="808" t="s">
        <v>1973</v>
      </c>
      <c r="O535" s="808" t="s">
        <v>2067</v>
      </c>
      <c r="P535" s="808" t="s">
        <v>1995</v>
      </c>
      <c r="Q535" s="808" t="s">
        <v>2002</v>
      </c>
    </row>
    <row r="536" spans="1:17" x14ac:dyDescent="0.25">
      <c r="A536" s="808" t="s">
        <v>1987</v>
      </c>
      <c r="B536" s="808" t="s">
        <v>2653</v>
      </c>
      <c r="C536" s="809">
        <v>56000000</v>
      </c>
      <c r="D536" s="808" t="s">
        <v>1753</v>
      </c>
      <c r="E536" s="808" t="s">
        <v>1753</v>
      </c>
      <c r="F536" s="808" t="s">
        <v>1989</v>
      </c>
      <c r="G536" s="808" t="s">
        <v>1990</v>
      </c>
      <c r="H536" s="808" t="s">
        <v>1991</v>
      </c>
      <c r="I536" s="808" t="s">
        <v>1992</v>
      </c>
      <c r="J536" s="810">
        <v>56000000</v>
      </c>
      <c r="K536" s="808" t="s">
        <v>1993</v>
      </c>
      <c r="L536" s="808" t="s">
        <v>1177</v>
      </c>
      <c r="M536" s="808" t="s">
        <v>1973</v>
      </c>
      <c r="N536" s="808" t="s">
        <v>1973</v>
      </c>
      <c r="O536" s="808" t="s">
        <v>2067</v>
      </c>
      <c r="P536" s="808" t="s">
        <v>1995</v>
      </c>
      <c r="Q536" s="808" t="s">
        <v>2002</v>
      </c>
    </row>
    <row r="537" spans="1:17" x14ac:dyDescent="0.25">
      <c r="A537" s="808" t="s">
        <v>1987</v>
      </c>
      <c r="B537" s="808" t="s">
        <v>2654</v>
      </c>
      <c r="C537" s="809">
        <v>13926000</v>
      </c>
      <c r="D537" s="808" t="s">
        <v>1753</v>
      </c>
      <c r="E537" s="808" t="s">
        <v>1753</v>
      </c>
      <c r="F537" s="808" t="s">
        <v>2000</v>
      </c>
      <c r="G537" s="808" t="s">
        <v>1990</v>
      </c>
      <c r="H537" s="808" t="s">
        <v>1991</v>
      </c>
      <c r="I537" s="808" t="s">
        <v>1992</v>
      </c>
      <c r="J537" s="810">
        <v>13926000</v>
      </c>
      <c r="K537" s="808" t="s">
        <v>1993</v>
      </c>
      <c r="L537" s="808" t="s">
        <v>1177</v>
      </c>
      <c r="M537" s="808" t="s">
        <v>1973</v>
      </c>
      <c r="N537" s="808" t="s">
        <v>1973</v>
      </c>
      <c r="O537" s="808" t="s">
        <v>2067</v>
      </c>
      <c r="P537" s="808" t="s">
        <v>1995</v>
      </c>
      <c r="Q537" s="808" t="s">
        <v>2002</v>
      </c>
    </row>
    <row r="538" spans="1:17" x14ac:dyDescent="0.25">
      <c r="A538" s="808" t="s">
        <v>1987</v>
      </c>
      <c r="B538" s="808" t="s">
        <v>2655</v>
      </c>
      <c r="C538" s="809">
        <v>42000000</v>
      </c>
      <c r="D538" s="808" t="s">
        <v>1753</v>
      </c>
      <c r="E538" s="808" t="s">
        <v>1753</v>
      </c>
      <c r="F538" s="808" t="s">
        <v>2000</v>
      </c>
      <c r="G538" s="808" t="s">
        <v>1990</v>
      </c>
      <c r="H538" s="808" t="s">
        <v>1991</v>
      </c>
      <c r="I538" s="808" t="s">
        <v>1992</v>
      </c>
      <c r="J538" s="810">
        <v>42000000</v>
      </c>
      <c r="K538" s="808" t="s">
        <v>1993</v>
      </c>
      <c r="L538" s="808" t="s">
        <v>1177</v>
      </c>
      <c r="M538" s="808" t="s">
        <v>1973</v>
      </c>
      <c r="N538" s="808" t="s">
        <v>1973</v>
      </c>
      <c r="O538" s="808" t="s">
        <v>2067</v>
      </c>
      <c r="P538" s="808" t="s">
        <v>1995</v>
      </c>
      <c r="Q538" s="808" t="s">
        <v>2002</v>
      </c>
    </row>
    <row r="539" spans="1:17" x14ac:dyDescent="0.25">
      <c r="A539" s="808" t="s">
        <v>1987</v>
      </c>
      <c r="B539" s="808" t="s">
        <v>2656</v>
      </c>
      <c r="C539" s="809">
        <v>58145664</v>
      </c>
      <c r="D539" s="808" t="s">
        <v>1753</v>
      </c>
      <c r="E539" s="808" t="s">
        <v>1753</v>
      </c>
      <c r="F539" s="808" t="s">
        <v>1989</v>
      </c>
      <c r="G539" s="808" t="s">
        <v>1990</v>
      </c>
      <c r="H539" s="808" t="s">
        <v>1991</v>
      </c>
      <c r="I539" s="808" t="s">
        <v>1992</v>
      </c>
      <c r="J539" s="810">
        <v>58145664</v>
      </c>
      <c r="K539" s="808" t="s">
        <v>1993</v>
      </c>
      <c r="L539" s="808" t="s">
        <v>1177</v>
      </c>
      <c r="M539" s="808" t="s">
        <v>1973</v>
      </c>
      <c r="N539" s="808" t="s">
        <v>1973</v>
      </c>
      <c r="O539" s="808" t="s">
        <v>2183</v>
      </c>
      <c r="P539" s="808" t="s">
        <v>1995</v>
      </c>
      <c r="Q539" s="808" t="s">
        <v>2048</v>
      </c>
    </row>
    <row r="540" spans="1:17" x14ac:dyDescent="0.25">
      <c r="A540" s="808" t="s">
        <v>1987</v>
      </c>
      <c r="B540" s="808" t="s">
        <v>2657</v>
      </c>
      <c r="C540" s="809">
        <v>19987572</v>
      </c>
      <c r="D540" s="808" t="s">
        <v>1753</v>
      </c>
      <c r="E540" s="808" t="s">
        <v>1753</v>
      </c>
      <c r="F540" s="808" t="s">
        <v>2027</v>
      </c>
      <c r="G540" s="808" t="s">
        <v>1990</v>
      </c>
      <c r="H540" s="808" t="s">
        <v>1991</v>
      </c>
      <c r="I540" s="808" t="s">
        <v>1992</v>
      </c>
      <c r="J540" s="810">
        <v>19987572</v>
      </c>
      <c r="K540" s="808" t="s">
        <v>1993</v>
      </c>
      <c r="L540" s="808" t="s">
        <v>1177</v>
      </c>
      <c r="M540" s="808" t="s">
        <v>1973</v>
      </c>
      <c r="N540" s="808" t="s">
        <v>1973</v>
      </c>
      <c r="O540" s="808" t="s">
        <v>2183</v>
      </c>
      <c r="P540" s="808" t="s">
        <v>1995</v>
      </c>
      <c r="Q540" s="808" t="s">
        <v>2048</v>
      </c>
    </row>
    <row r="541" spans="1:17" x14ac:dyDescent="0.25">
      <c r="A541" s="808" t="s">
        <v>1987</v>
      </c>
      <c r="B541" s="808" t="s">
        <v>2658</v>
      </c>
      <c r="C541" s="809">
        <v>77000000</v>
      </c>
      <c r="D541" s="808" t="s">
        <v>1753</v>
      </c>
      <c r="E541" s="808" t="s">
        <v>1753</v>
      </c>
      <c r="F541" s="808" t="s">
        <v>2027</v>
      </c>
      <c r="G541" s="808" t="s">
        <v>1990</v>
      </c>
      <c r="H541" s="808" t="s">
        <v>1991</v>
      </c>
      <c r="I541" s="808" t="s">
        <v>1992</v>
      </c>
      <c r="J541" s="810">
        <v>77000000</v>
      </c>
      <c r="K541" s="808" t="s">
        <v>1993</v>
      </c>
      <c r="L541" s="808" t="s">
        <v>1177</v>
      </c>
      <c r="M541" s="808" t="s">
        <v>1973</v>
      </c>
      <c r="N541" s="808" t="s">
        <v>1973</v>
      </c>
      <c r="O541" s="808" t="s">
        <v>2097</v>
      </c>
      <c r="P541" s="808" t="s">
        <v>2098</v>
      </c>
      <c r="Q541" s="808" t="s">
        <v>1996</v>
      </c>
    </row>
    <row r="542" spans="1:17" x14ac:dyDescent="0.25">
      <c r="A542" s="808" t="s">
        <v>1987</v>
      </c>
      <c r="B542" s="808" t="s">
        <v>2361</v>
      </c>
      <c r="C542" s="809">
        <v>64900000</v>
      </c>
      <c r="D542" s="808" t="s">
        <v>1753</v>
      </c>
      <c r="E542" s="808" t="s">
        <v>1753</v>
      </c>
      <c r="F542" s="808" t="s">
        <v>2010</v>
      </c>
      <c r="G542" s="808" t="s">
        <v>1990</v>
      </c>
      <c r="H542" s="808" t="s">
        <v>1991</v>
      </c>
      <c r="I542" s="808" t="s">
        <v>1992</v>
      </c>
      <c r="J542" s="810">
        <v>64900000</v>
      </c>
      <c r="K542" s="808" t="s">
        <v>1993</v>
      </c>
      <c r="L542" s="808" t="s">
        <v>1177</v>
      </c>
      <c r="M542" s="808" t="s">
        <v>1973</v>
      </c>
      <c r="N542" s="808" t="s">
        <v>1973</v>
      </c>
      <c r="O542" s="808" t="s">
        <v>2097</v>
      </c>
      <c r="P542" s="808" t="s">
        <v>2098</v>
      </c>
      <c r="Q542" s="808" t="s">
        <v>1996</v>
      </c>
    </row>
    <row r="543" spans="1:17" x14ac:dyDescent="0.25">
      <c r="A543" s="808" t="s">
        <v>1987</v>
      </c>
      <c r="B543" s="808" t="s">
        <v>2659</v>
      </c>
      <c r="C543" s="809">
        <v>77000000</v>
      </c>
      <c r="D543" s="808" t="s">
        <v>1753</v>
      </c>
      <c r="E543" s="808" t="s">
        <v>1753</v>
      </c>
      <c r="F543" s="808" t="s">
        <v>2027</v>
      </c>
      <c r="G543" s="808" t="s">
        <v>1990</v>
      </c>
      <c r="H543" s="808" t="s">
        <v>1991</v>
      </c>
      <c r="I543" s="808" t="s">
        <v>1992</v>
      </c>
      <c r="J543" s="810">
        <v>77000000</v>
      </c>
      <c r="K543" s="808" t="s">
        <v>1993</v>
      </c>
      <c r="L543" s="808" t="s">
        <v>1177</v>
      </c>
      <c r="M543" s="808" t="s">
        <v>1973</v>
      </c>
      <c r="N543" s="808" t="s">
        <v>1973</v>
      </c>
      <c r="O543" s="808" t="s">
        <v>2097</v>
      </c>
      <c r="P543" s="808" t="s">
        <v>2098</v>
      </c>
      <c r="Q543" s="808" t="s">
        <v>1996</v>
      </c>
    </row>
    <row r="544" spans="1:17" x14ac:dyDescent="0.25">
      <c r="A544" s="808" t="s">
        <v>1987</v>
      </c>
      <c r="B544" s="808" t="s">
        <v>2660</v>
      </c>
      <c r="C544" s="809">
        <v>29700000</v>
      </c>
      <c r="D544" s="808" t="s">
        <v>1743</v>
      </c>
      <c r="E544" s="808" t="s">
        <v>1743</v>
      </c>
      <c r="F544" s="808" t="s">
        <v>2027</v>
      </c>
      <c r="G544" s="808" t="s">
        <v>1990</v>
      </c>
      <c r="H544" s="808" t="s">
        <v>1991</v>
      </c>
      <c r="I544" s="808" t="s">
        <v>1992</v>
      </c>
      <c r="J544" s="810">
        <v>29700000</v>
      </c>
      <c r="K544" s="808" t="s">
        <v>1993</v>
      </c>
      <c r="L544" s="808" t="s">
        <v>1177</v>
      </c>
      <c r="M544" s="808" t="s">
        <v>1973</v>
      </c>
      <c r="N544" s="808" t="s">
        <v>1973</v>
      </c>
      <c r="O544" s="808" t="s">
        <v>2019</v>
      </c>
      <c r="P544" s="808" t="s">
        <v>1995</v>
      </c>
      <c r="Q544" s="808" t="s">
        <v>2020</v>
      </c>
    </row>
    <row r="545" spans="1:17" x14ac:dyDescent="0.25">
      <c r="A545" s="808" t="s">
        <v>1987</v>
      </c>
      <c r="B545" s="808" t="s">
        <v>2661</v>
      </c>
      <c r="C545" s="809">
        <v>64260000</v>
      </c>
      <c r="D545" s="808" t="s">
        <v>1749</v>
      </c>
      <c r="E545" s="808" t="s">
        <v>1749</v>
      </c>
      <c r="F545" s="808" t="s">
        <v>2004</v>
      </c>
      <c r="G545" s="808" t="s">
        <v>1990</v>
      </c>
      <c r="H545" s="808" t="s">
        <v>1991</v>
      </c>
      <c r="I545" s="808" t="s">
        <v>1992</v>
      </c>
      <c r="J545" s="810">
        <v>64260000</v>
      </c>
      <c r="K545" s="808" t="s">
        <v>1993</v>
      </c>
      <c r="L545" s="808" t="s">
        <v>1177</v>
      </c>
      <c r="M545" s="808" t="s">
        <v>1973</v>
      </c>
      <c r="N545" s="808" t="s">
        <v>1973</v>
      </c>
      <c r="O545" s="808" t="s">
        <v>2005</v>
      </c>
      <c r="P545" s="808" t="s">
        <v>1995</v>
      </c>
      <c r="Q545" s="808" t="s">
        <v>2006</v>
      </c>
    </row>
    <row r="546" spans="1:17" x14ac:dyDescent="0.25">
      <c r="A546" s="808" t="s">
        <v>1987</v>
      </c>
      <c r="B546" s="808" t="s">
        <v>2662</v>
      </c>
      <c r="C546" s="809">
        <v>36720000</v>
      </c>
      <c r="D546" s="808" t="s">
        <v>1866</v>
      </c>
      <c r="E546" s="808" t="s">
        <v>1866</v>
      </c>
      <c r="F546" s="808" t="s">
        <v>2004</v>
      </c>
      <c r="G546" s="808" t="s">
        <v>1990</v>
      </c>
      <c r="H546" s="808" t="s">
        <v>1991</v>
      </c>
      <c r="I546" s="808" t="s">
        <v>1992</v>
      </c>
      <c r="J546" s="810">
        <v>36720000</v>
      </c>
      <c r="K546" s="808" t="s">
        <v>1993</v>
      </c>
      <c r="L546" s="808" t="s">
        <v>1177</v>
      </c>
      <c r="M546" s="808" t="s">
        <v>1973</v>
      </c>
      <c r="N546" s="808" t="s">
        <v>1973</v>
      </c>
      <c r="O546" s="808" t="s">
        <v>2005</v>
      </c>
      <c r="P546" s="808" t="s">
        <v>1995</v>
      </c>
      <c r="Q546" s="808" t="s">
        <v>2006</v>
      </c>
    </row>
    <row r="547" spans="1:17" x14ac:dyDescent="0.25">
      <c r="A547" s="808" t="s">
        <v>1987</v>
      </c>
      <c r="B547" s="808" t="s">
        <v>2663</v>
      </c>
      <c r="C547" s="809">
        <v>51754800</v>
      </c>
      <c r="D547" s="808" t="s">
        <v>1749</v>
      </c>
      <c r="E547" s="808" t="s">
        <v>1749</v>
      </c>
      <c r="F547" s="808" t="s">
        <v>2023</v>
      </c>
      <c r="G547" s="808" t="s">
        <v>1990</v>
      </c>
      <c r="H547" s="808" t="s">
        <v>1991</v>
      </c>
      <c r="I547" s="808" t="s">
        <v>1992</v>
      </c>
      <c r="J547" s="810">
        <v>51754800</v>
      </c>
      <c r="K547" s="808" t="s">
        <v>1993</v>
      </c>
      <c r="L547" s="808" t="s">
        <v>1177</v>
      </c>
      <c r="M547" s="808" t="s">
        <v>1973</v>
      </c>
      <c r="N547" s="808" t="s">
        <v>1973</v>
      </c>
      <c r="O547" s="808" t="s">
        <v>2005</v>
      </c>
      <c r="P547" s="808" t="s">
        <v>1995</v>
      </c>
      <c r="Q547" s="808" t="s">
        <v>2006</v>
      </c>
    </row>
    <row r="548" spans="1:17" x14ac:dyDescent="0.25">
      <c r="A548" s="808" t="s">
        <v>1987</v>
      </c>
      <c r="B548" s="808" t="s">
        <v>2664</v>
      </c>
      <c r="C548" s="809">
        <v>48144000</v>
      </c>
      <c r="D548" s="808" t="s">
        <v>1749</v>
      </c>
      <c r="E548" s="808" t="s">
        <v>1749</v>
      </c>
      <c r="F548" s="808" t="s">
        <v>2023</v>
      </c>
      <c r="G548" s="808" t="s">
        <v>1990</v>
      </c>
      <c r="H548" s="808" t="s">
        <v>1991</v>
      </c>
      <c r="I548" s="808" t="s">
        <v>1992</v>
      </c>
      <c r="J548" s="810">
        <v>48144000</v>
      </c>
      <c r="K548" s="808" t="s">
        <v>1993</v>
      </c>
      <c r="L548" s="808" t="s">
        <v>1177</v>
      </c>
      <c r="M548" s="808" t="s">
        <v>1973</v>
      </c>
      <c r="N548" s="808" t="s">
        <v>1973</v>
      </c>
      <c r="O548" s="808" t="s">
        <v>2005</v>
      </c>
      <c r="P548" s="808" t="s">
        <v>1995</v>
      </c>
      <c r="Q548" s="808" t="s">
        <v>2006</v>
      </c>
    </row>
    <row r="549" spans="1:17" x14ac:dyDescent="0.25">
      <c r="A549" s="808" t="s">
        <v>1987</v>
      </c>
      <c r="B549" s="808" t="s">
        <v>2665</v>
      </c>
      <c r="C549" s="809">
        <v>36000000</v>
      </c>
      <c r="D549" s="808" t="s">
        <v>1749</v>
      </c>
      <c r="E549" s="808" t="s">
        <v>1749</v>
      </c>
      <c r="F549" s="808" t="s">
        <v>1989</v>
      </c>
      <c r="G549" s="808" t="s">
        <v>1990</v>
      </c>
      <c r="H549" s="808" t="s">
        <v>1991</v>
      </c>
      <c r="I549" s="808" t="s">
        <v>1992</v>
      </c>
      <c r="J549" s="810">
        <v>36000000</v>
      </c>
      <c r="K549" s="808" t="s">
        <v>1993</v>
      </c>
      <c r="L549" s="808" t="s">
        <v>1177</v>
      </c>
      <c r="M549" s="808" t="s">
        <v>1973</v>
      </c>
      <c r="N549" s="808" t="s">
        <v>1973</v>
      </c>
      <c r="O549" s="808" t="s">
        <v>2037</v>
      </c>
      <c r="P549" s="808" t="s">
        <v>1995</v>
      </c>
      <c r="Q549" s="808" t="s">
        <v>2038</v>
      </c>
    </row>
    <row r="550" spans="1:17" x14ac:dyDescent="0.25">
      <c r="A550" s="808" t="s">
        <v>1987</v>
      </c>
      <c r="B550" s="808" t="s">
        <v>2666</v>
      </c>
      <c r="C550" s="809">
        <v>19078983</v>
      </c>
      <c r="D550" s="808" t="s">
        <v>1750</v>
      </c>
      <c r="E550" s="808" t="s">
        <v>1750</v>
      </c>
      <c r="F550" s="808" t="s">
        <v>2036</v>
      </c>
      <c r="G550" s="808" t="s">
        <v>1990</v>
      </c>
      <c r="H550" s="808" t="s">
        <v>1991</v>
      </c>
      <c r="I550" s="808" t="s">
        <v>1992</v>
      </c>
      <c r="J550" s="810">
        <v>19078983</v>
      </c>
      <c r="K550" s="808" t="s">
        <v>1993</v>
      </c>
      <c r="L550" s="808" t="s">
        <v>1177</v>
      </c>
      <c r="M550" s="808" t="s">
        <v>1973</v>
      </c>
      <c r="N550" s="808" t="s">
        <v>1973</v>
      </c>
      <c r="O550" s="808" t="s">
        <v>2037</v>
      </c>
      <c r="P550" s="808" t="s">
        <v>1995</v>
      </c>
      <c r="Q550" s="808" t="s">
        <v>2038</v>
      </c>
    </row>
    <row r="551" spans="1:17" x14ac:dyDescent="0.25">
      <c r="A551" s="808" t="s">
        <v>2667</v>
      </c>
      <c r="B551" s="808" t="s">
        <v>2668</v>
      </c>
      <c r="C551" s="809">
        <v>239251158</v>
      </c>
      <c r="D551" s="808" t="s">
        <v>1758</v>
      </c>
      <c r="E551" s="808" t="s">
        <v>1758</v>
      </c>
      <c r="F551" s="808" t="s">
        <v>2004</v>
      </c>
      <c r="G551" s="808" t="s">
        <v>1990</v>
      </c>
      <c r="H551" s="808" t="s">
        <v>1991</v>
      </c>
      <c r="I551" s="808" t="s">
        <v>1992</v>
      </c>
      <c r="J551" s="810">
        <v>239251158</v>
      </c>
      <c r="K551" s="808" t="s">
        <v>1993</v>
      </c>
      <c r="L551" s="808" t="s">
        <v>1177</v>
      </c>
      <c r="M551" s="808" t="s">
        <v>1973</v>
      </c>
      <c r="N551" s="808" t="s">
        <v>1973</v>
      </c>
      <c r="O551" s="808" t="s">
        <v>2183</v>
      </c>
      <c r="P551" s="808" t="s">
        <v>1995</v>
      </c>
      <c r="Q551" s="808" t="s">
        <v>2048</v>
      </c>
    </row>
    <row r="552" spans="1:17" x14ac:dyDescent="0.25">
      <c r="A552" s="808" t="s">
        <v>1987</v>
      </c>
      <c r="B552" s="808" t="s">
        <v>2669</v>
      </c>
      <c r="C552" s="809">
        <v>36000000</v>
      </c>
      <c r="D552" s="808" t="s">
        <v>1866</v>
      </c>
      <c r="E552" s="808" t="s">
        <v>1866</v>
      </c>
      <c r="F552" s="808" t="s">
        <v>2000</v>
      </c>
      <c r="G552" s="808" t="s">
        <v>1990</v>
      </c>
      <c r="H552" s="808" t="s">
        <v>1991</v>
      </c>
      <c r="I552" s="808" t="s">
        <v>1992</v>
      </c>
      <c r="J552" s="810">
        <v>36000000</v>
      </c>
      <c r="K552" s="808" t="s">
        <v>1993</v>
      </c>
      <c r="L552" s="808" t="s">
        <v>1177</v>
      </c>
      <c r="M552" s="808" t="s">
        <v>1973</v>
      </c>
      <c r="N552" s="808" t="s">
        <v>1973</v>
      </c>
      <c r="O552" s="808" t="s">
        <v>2183</v>
      </c>
      <c r="P552" s="808" t="s">
        <v>1995</v>
      </c>
      <c r="Q552" s="808" t="s">
        <v>2048</v>
      </c>
    </row>
    <row r="553" spans="1:17" x14ac:dyDescent="0.25">
      <c r="A553" s="808" t="s">
        <v>1987</v>
      </c>
      <c r="B553" s="808" t="s">
        <v>2670</v>
      </c>
      <c r="C553" s="809">
        <v>22725578</v>
      </c>
      <c r="D553" s="808" t="s">
        <v>1753</v>
      </c>
      <c r="E553" s="808" t="s">
        <v>1753</v>
      </c>
      <c r="F553" s="808" t="s">
        <v>2027</v>
      </c>
      <c r="G553" s="808" t="s">
        <v>1990</v>
      </c>
      <c r="H553" s="808" t="s">
        <v>1991</v>
      </c>
      <c r="I553" s="808" t="s">
        <v>1992</v>
      </c>
      <c r="J553" s="810">
        <v>22725578</v>
      </c>
      <c r="K553" s="808" t="s">
        <v>1993</v>
      </c>
      <c r="L553" s="808" t="s">
        <v>1177</v>
      </c>
      <c r="M553" s="808" t="s">
        <v>1973</v>
      </c>
      <c r="N553" s="808" t="s">
        <v>1973</v>
      </c>
      <c r="O553" s="808" t="s">
        <v>2183</v>
      </c>
      <c r="P553" s="808" t="s">
        <v>1995</v>
      </c>
      <c r="Q553" s="808" t="s">
        <v>2048</v>
      </c>
    </row>
    <row r="554" spans="1:17" x14ac:dyDescent="0.25">
      <c r="A554" s="808" t="s">
        <v>1987</v>
      </c>
      <c r="B554" s="808" t="s">
        <v>2671</v>
      </c>
      <c r="C554" s="809">
        <v>29981358</v>
      </c>
      <c r="D554" s="808" t="s">
        <v>1753</v>
      </c>
      <c r="E554" s="808" t="s">
        <v>1753</v>
      </c>
      <c r="F554" s="808" t="s">
        <v>2027</v>
      </c>
      <c r="G554" s="808" t="s">
        <v>1990</v>
      </c>
      <c r="H554" s="808" t="s">
        <v>1991</v>
      </c>
      <c r="I554" s="808" t="s">
        <v>1992</v>
      </c>
      <c r="J554" s="810">
        <v>29981358</v>
      </c>
      <c r="K554" s="808" t="s">
        <v>1993</v>
      </c>
      <c r="L554" s="808" t="s">
        <v>1177</v>
      </c>
      <c r="M554" s="808" t="s">
        <v>1973</v>
      </c>
      <c r="N554" s="808" t="s">
        <v>1973</v>
      </c>
      <c r="O554" s="808" t="s">
        <v>2183</v>
      </c>
      <c r="P554" s="808" t="s">
        <v>1995</v>
      </c>
      <c r="Q554" s="808" t="s">
        <v>2048</v>
      </c>
    </row>
    <row r="555" spans="1:17" x14ac:dyDescent="0.25">
      <c r="A555" s="808" t="s">
        <v>1987</v>
      </c>
      <c r="B555" s="808" t="s">
        <v>2672</v>
      </c>
      <c r="C555" s="809">
        <v>65413872</v>
      </c>
      <c r="D555" s="808" t="s">
        <v>1753</v>
      </c>
      <c r="E555" s="808" t="s">
        <v>1753</v>
      </c>
      <c r="F555" s="808" t="s">
        <v>2004</v>
      </c>
      <c r="G555" s="808" t="s">
        <v>1990</v>
      </c>
      <c r="H555" s="808" t="s">
        <v>1991</v>
      </c>
      <c r="I555" s="808" t="s">
        <v>1992</v>
      </c>
      <c r="J555" s="810">
        <v>65413872</v>
      </c>
      <c r="K555" s="808" t="s">
        <v>1993</v>
      </c>
      <c r="L555" s="808" t="s">
        <v>1177</v>
      </c>
      <c r="M555" s="808" t="s">
        <v>1973</v>
      </c>
      <c r="N555" s="808" t="s">
        <v>1973</v>
      </c>
      <c r="O555" s="808" t="s">
        <v>2183</v>
      </c>
      <c r="P555" s="808" t="s">
        <v>1995</v>
      </c>
      <c r="Q555" s="808" t="s">
        <v>2048</v>
      </c>
    </row>
    <row r="556" spans="1:17" x14ac:dyDescent="0.25">
      <c r="A556" s="808" t="s">
        <v>1987</v>
      </c>
      <c r="B556" s="808" t="s">
        <v>2673</v>
      </c>
      <c r="C556" s="809">
        <v>65413872</v>
      </c>
      <c r="D556" s="808" t="s">
        <v>1753</v>
      </c>
      <c r="E556" s="808" t="s">
        <v>1753</v>
      </c>
      <c r="F556" s="808" t="s">
        <v>2004</v>
      </c>
      <c r="G556" s="808" t="s">
        <v>1990</v>
      </c>
      <c r="H556" s="808" t="s">
        <v>1991</v>
      </c>
      <c r="I556" s="808" t="s">
        <v>1992</v>
      </c>
      <c r="J556" s="810">
        <v>65413872</v>
      </c>
      <c r="K556" s="808" t="s">
        <v>1993</v>
      </c>
      <c r="L556" s="808" t="s">
        <v>1177</v>
      </c>
      <c r="M556" s="808" t="s">
        <v>1973</v>
      </c>
      <c r="N556" s="808" t="s">
        <v>1973</v>
      </c>
      <c r="O556" s="808" t="s">
        <v>2183</v>
      </c>
      <c r="P556" s="808" t="s">
        <v>1995</v>
      </c>
      <c r="Q556" s="808" t="s">
        <v>2048</v>
      </c>
    </row>
    <row r="557" spans="1:17" x14ac:dyDescent="0.25">
      <c r="A557" s="808" t="s">
        <v>1987</v>
      </c>
      <c r="B557" s="808" t="s">
        <v>2674</v>
      </c>
      <c r="C557" s="809">
        <v>65413872</v>
      </c>
      <c r="D557" s="808" t="s">
        <v>1753</v>
      </c>
      <c r="E557" s="808" t="s">
        <v>1753</v>
      </c>
      <c r="F557" s="808" t="s">
        <v>2004</v>
      </c>
      <c r="G557" s="808" t="s">
        <v>1990</v>
      </c>
      <c r="H557" s="808" t="s">
        <v>1991</v>
      </c>
      <c r="I557" s="808" t="s">
        <v>1992</v>
      </c>
      <c r="J557" s="810">
        <v>65413872</v>
      </c>
      <c r="K557" s="808" t="s">
        <v>1993</v>
      </c>
      <c r="L557" s="808" t="s">
        <v>1177</v>
      </c>
      <c r="M557" s="808" t="s">
        <v>1973</v>
      </c>
      <c r="N557" s="808" t="s">
        <v>1973</v>
      </c>
      <c r="O557" s="808" t="s">
        <v>2183</v>
      </c>
      <c r="P557" s="808" t="s">
        <v>1995</v>
      </c>
      <c r="Q557" s="808" t="s">
        <v>2048</v>
      </c>
    </row>
    <row r="558" spans="1:17" x14ac:dyDescent="0.25">
      <c r="A558" s="808" t="s">
        <v>1987</v>
      </c>
      <c r="B558" s="808" t="s">
        <v>2675</v>
      </c>
      <c r="C558" s="809">
        <v>65413872</v>
      </c>
      <c r="D558" s="808" t="s">
        <v>1753</v>
      </c>
      <c r="E558" s="808" t="s">
        <v>1753</v>
      </c>
      <c r="F558" s="808" t="s">
        <v>2004</v>
      </c>
      <c r="G558" s="808" t="s">
        <v>1990</v>
      </c>
      <c r="H558" s="808" t="s">
        <v>1991</v>
      </c>
      <c r="I558" s="808" t="s">
        <v>1992</v>
      </c>
      <c r="J558" s="810">
        <v>65413872</v>
      </c>
      <c r="K558" s="808" t="s">
        <v>1993</v>
      </c>
      <c r="L558" s="808" t="s">
        <v>1177</v>
      </c>
      <c r="M558" s="808" t="s">
        <v>1973</v>
      </c>
      <c r="N558" s="808" t="s">
        <v>1973</v>
      </c>
      <c r="O558" s="808" t="s">
        <v>2183</v>
      </c>
      <c r="P558" s="808" t="s">
        <v>1995</v>
      </c>
      <c r="Q558" s="808" t="s">
        <v>2048</v>
      </c>
    </row>
    <row r="559" spans="1:17" x14ac:dyDescent="0.25">
      <c r="A559" s="808" t="s">
        <v>1987</v>
      </c>
      <c r="B559" s="808" t="s">
        <v>2676</v>
      </c>
      <c r="C559" s="809">
        <v>65413872</v>
      </c>
      <c r="D559" s="808" t="s">
        <v>1753</v>
      </c>
      <c r="E559" s="808" t="s">
        <v>1753</v>
      </c>
      <c r="F559" s="808" t="s">
        <v>2004</v>
      </c>
      <c r="G559" s="808" t="s">
        <v>1990</v>
      </c>
      <c r="H559" s="808" t="s">
        <v>1991</v>
      </c>
      <c r="I559" s="808" t="s">
        <v>1992</v>
      </c>
      <c r="J559" s="810">
        <v>65413872</v>
      </c>
      <c r="K559" s="808" t="s">
        <v>1993</v>
      </c>
      <c r="L559" s="808" t="s">
        <v>1177</v>
      </c>
      <c r="M559" s="808" t="s">
        <v>1973</v>
      </c>
      <c r="N559" s="808" t="s">
        <v>1973</v>
      </c>
      <c r="O559" s="808" t="s">
        <v>2183</v>
      </c>
      <c r="P559" s="808" t="s">
        <v>1995</v>
      </c>
      <c r="Q559" s="808" t="s">
        <v>2048</v>
      </c>
    </row>
    <row r="560" spans="1:17" x14ac:dyDescent="0.25">
      <c r="A560" s="808" t="s">
        <v>1987</v>
      </c>
      <c r="B560" s="808" t="s">
        <v>2677</v>
      </c>
      <c r="C560" s="809">
        <v>79314319</v>
      </c>
      <c r="D560" s="808" t="s">
        <v>1753</v>
      </c>
      <c r="E560" s="808" t="s">
        <v>1753</v>
      </c>
      <c r="F560" s="808" t="s">
        <v>2004</v>
      </c>
      <c r="G560" s="808" t="s">
        <v>1990</v>
      </c>
      <c r="H560" s="808" t="s">
        <v>1991</v>
      </c>
      <c r="I560" s="808" t="s">
        <v>1992</v>
      </c>
      <c r="J560" s="810">
        <v>79314319</v>
      </c>
      <c r="K560" s="808" t="s">
        <v>1993</v>
      </c>
      <c r="L560" s="808" t="s">
        <v>1177</v>
      </c>
      <c r="M560" s="808" t="s">
        <v>1973</v>
      </c>
      <c r="N560" s="808" t="s">
        <v>1973</v>
      </c>
      <c r="O560" s="808" t="s">
        <v>2183</v>
      </c>
      <c r="P560" s="808" t="s">
        <v>1995</v>
      </c>
      <c r="Q560" s="808" t="s">
        <v>2048</v>
      </c>
    </row>
    <row r="561" spans="1:17" x14ac:dyDescent="0.25">
      <c r="A561" s="808" t="s">
        <v>1987</v>
      </c>
      <c r="B561" s="808" t="s">
        <v>2678</v>
      </c>
      <c r="C561" s="809">
        <v>34978251</v>
      </c>
      <c r="D561" s="808" t="s">
        <v>1753</v>
      </c>
      <c r="E561" s="808" t="s">
        <v>1753</v>
      </c>
      <c r="F561" s="808" t="s">
        <v>2027</v>
      </c>
      <c r="G561" s="808" t="s">
        <v>1990</v>
      </c>
      <c r="H561" s="808" t="s">
        <v>1991</v>
      </c>
      <c r="I561" s="808" t="s">
        <v>1992</v>
      </c>
      <c r="J561" s="810">
        <v>34978251</v>
      </c>
      <c r="K561" s="808" t="s">
        <v>1993</v>
      </c>
      <c r="L561" s="808" t="s">
        <v>1177</v>
      </c>
      <c r="M561" s="808" t="s">
        <v>1973</v>
      </c>
      <c r="N561" s="808" t="s">
        <v>1973</v>
      </c>
      <c r="O561" s="808" t="s">
        <v>2183</v>
      </c>
      <c r="P561" s="808" t="s">
        <v>1995</v>
      </c>
      <c r="Q561" s="808" t="s">
        <v>2048</v>
      </c>
    </row>
    <row r="562" spans="1:17" x14ac:dyDescent="0.25">
      <c r="A562" s="808" t="s">
        <v>1987</v>
      </c>
      <c r="B562" s="808" t="s">
        <v>2679</v>
      </c>
      <c r="C562" s="809">
        <v>19597151</v>
      </c>
      <c r="D562" s="808" t="s">
        <v>1749</v>
      </c>
      <c r="E562" s="808" t="s">
        <v>1749</v>
      </c>
      <c r="F562" s="808" t="s">
        <v>2004</v>
      </c>
      <c r="G562" s="808" t="s">
        <v>1990</v>
      </c>
      <c r="H562" s="808" t="s">
        <v>1991</v>
      </c>
      <c r="I562" s="808" t="s">
        <v>1992</v>
      </c>
      <c r="J562" s="810">
        <v>19597151</v>
      </c>
      <c r="K562" s="808" t="s">
        <v>1993</v>
      </c>
      <c r="L562" s="808" t="s">
        <v>1177</v>
      </c>
      <c r="M562" s="808" t="s">
        <v>1973</v>
      </c>
      <c r="N562" s="808" t="s">
        <v>1973</v>
      </c>
      <c r="O562" s="808" t="s">
        <v>2005</v>
      </c>
      <c r="P562" s="808" t="s">
        <v>1995</v>
      </c>
      <c r="Q562" s="808" t="s">
        <v>2006</v>
      </c>
    </row>
    <row r="563" spans="1:17" x14ac:dyDescent="0.25">
      <c r="A563" s="808" t="s">
        <v>1987</v>
      </c>
      <c r="B563" s="808" t="s">
        <v>2680</v>
      </c>
      <c r="C563" s="809">
        <v>44311860</v>
      </c>
      <c r="D563" s="808" t="s">
        <v>1749</v>
      </c>
      <c r="E563" s="808" t="s">
        <v>1749</v>
      </c>
      <c r="F563" s="808" t="s">
        <v>2004</v>
      </c>
      <c r="G563" s="808" t="s">
        <v>1990</v>
      </c>
      <c r="H563" s="808" t="s">
        <v>1991</v>
      </c>
      <c r="I563" s="808" t="s">
        <v>1992</v>
      </c>
      <c r="J563" s="810">
        <v>44311860</v>
      </c>
      <c r="K563" s="808" t="s">
        <v>1993</v>
      </c>
      <c r="L563" s="808" t="s">
        <v>1177</v>
      </c>
      <c r="M563" s="808" t="s">
        <v>1973</v>
      </c>
      <c r="N563" s="808" t="s">
        <v>1973</v>
      </c>
      <c r="O563" s="808" t="s">
        <v>2005</v>
      </c>
      <c r="P563" s="808" t="s">
        <v>1995</v>
      </c>
      <c r="Q563" s="808" t="s">
        <v>2006</v>
      </c>
    </row>
    <row r="564" spans="1:17" x14ac:dyDescent="0.25">
      <c r="A564" s="808" t="s">
        <v>1987</v>
      </c>
      <c r="B564" s="808" t="s">
        <v>2681</v>
      </c>
      <c r="C564" s="809">
        <v>64260000</v>
      </c>
      <c r="D564" s="808" t="s">
        <v>1749</v>
      </c>
      <c r="E564" s="808" t="s">
        <v>1749</v>
      </c>
      <c r="F564" s="808" t="s">
        <v>2004</v>
      </c>
      <c r="G564" s="808" t="s">
        <v>1990</v>
      </c>
      <c r="H564" s="808" t="s">
        <v>1991</v>
      </c>
      <c r="I564" s="808" t="s">
        <v>1992</v>
      </c>
      <c r="J564" s="810">
        <v>64260000</v>
      </c>
      <c r="K564" s="808" t="s">
        <v>1993</v>
      </c>
      <c r="L564" s="808" t="s">
        <v>1177</v>
      </c>
      <c r="M564" s="808" t="s">
        <v>1973</v>
      </c>
      <c r="N564" s="808" t="s">
        <v>1973</v>
      </c>
      <c r="O564" s="808" t="s">
        <v>2005</v>
      </c>
      <c r="P564" s="808" t="s">
        <v>1995</v>
      </c>
      <c r="Q564" s="808" t="s">
        <v>2006</v>
      </c>
    </row>
    <row r="565" spans="1:17" x14ac:dyDescent="0.25">
      <c r="A565" s="808" t="s">
        <v>1987</v>
      </c>
      <c r="B565" s="808" t="s">
        <v>2682</v>
      </c>
      <c r="C565" s="809">
        <v>44064000</v>
      </c>
      <c r="D565" s="808" t="s">
        <v>1749</v>
      </c>
      <c r="E565" s="808" t="s">
        <v>1749</v>
      </c>
      <c r="F565" s="808" t="s">
        <v>2004</v>
      </c>
      <c r="G565" s="808" t="s">
        <v>1990</v>
      </c>
      <c r="H565" s="808" t="s">
        <v>1991</v>
      </c>
      <c r="I565" s="808" t="s">
        <v>1992</v>
      </c>
      <c r="J565" s="810">
        <v>44064000</v>
      </c>
      <c r="K565" s="808" t="s">
        <v>1993</v>
      </c>
      <c r="L565" s="808" t="s">
        <v>1177</v>
      </c>
      <c r="M565" s="808" t="s">
        <v>1973</v>
      </c>
      <c r="N565" s="808" t="s">
        <v>1973</v>
      </c>
      <c r="O565" s="808" t="s">
        <v>2005</v>
      </c>
      <c r="P565" s="808" t="s">
        <v>1995</v>
      </c>
      <c r="Q565" s="808" t="s">
        <v>2006</v>
      </c>
    </row>
    <row r="566" spans="1:17" x14ac:dyDescent="0.25">
      <c r="A566" s="808" t="s">
        <v>1987</v>
      </c>
      <c r="B566" s="808" t="s">
        <v>2683</v>
      </c>
      <c r="C566" s="809">
        <v>64260000</v>
      </c>
      <c r="D566" s="808" t="s">
        <v>1749</v>
      </c>
      <c r="E566" s="808" t="s">
        <v>1749</v>
      </c>
      <c r="F566" s="808" t="s">
        <v>2004</v>
      </c>
      <c r="G566" s="808" t="s">
        <v>1990</v>
      </c>
      <c r="H566" s="808" t="s">
        <v>1991</v>
      </c>
      <c r="I566" s="808" t="s">
        <v>1992</v>
      </c>
      <c r="J566" s="810">
        <v>64260000</v>
      </c>
      <c r="K566" s="808" t="s">
        <v>1993</v>
      </c>
      <c r="L566" s="808" t="s">
        <v>1177</v>
      </c>
      <c r="M566" s="808" t="s">
        <v>1973</v>
      </c>
      <c r="N566" s="808" t="s">
        <v>1973</v>
      </c>
      <c r="O566" s="808" t="s">
        <v>2005</v>
      </c>
      <c r="P566" s="808" t="s">
        <v>1995</v>
      </c>
      <c r="Q566" s="808" t="s">
        <v>2006</v>
      </c>
    </row>
    <row r="567" spans="1:17" x14ac:dyDescent="0.25">
      <c r="A567" s="808" t="s">
        <v>1987</v>
      </c>
      <c r="B567" s="808" t="s">
        <v>2684</v>
      </c>
      <c r="C567" s="809">
        <v>64260000</v>
      </c>
      <c r="D567" s="808" t="s">
        <v>1749</v>
      </c>
      <c r="E567" s="808" t="s">
        <v>1749</v>
      </c>
      <c r="F567" s="808" t="s">
        <v>2004</v>
      </c>
      <c r="G567" s="808" t="s">
        <v>1990</v>
      </c>
      <c r="H567" s="808" t="s">
        <v>1991</v>
      </c>
      <c r="I567" s="808" t="s">
        <v>1992</v>
      </c>
      <c r="J567" s="810">
        <v>64260000</v>
      </c>
      <c r="K567" s="808" t="s">
        <v>1993</v>
      </c>
      <c r="L567" s="808" t="s">
        <v>1177</v>
      </c>
      <c r="M567" s="808" t="s">
        <v>1973</v>
      </c>
      <c r="N567" s="808" t="s">
        <v>1973</v>
      </c>
      <c r="O567" s="808" t="s">
        <v>2005</v>
      </c>
      <c r="P567" s="808" t="s">
        <v>1995</v>
      </c>
      <c r="Q567" s="808" t="s">
        <v>2006</v>
      </c>
    </row>
    <row r="568" spans="1:17" x14ac:dyDescent="0.25">
      <c r="A568" s="808" t="s">
        <v>1987</v>
      </c>
      <c r="B568" s="808" t="s">
        <v>2685</v>
      </c>
      <c r="C568" s="809">
        <v>64260000</v>
      </c>
      <c r="D568" s="808" t="s">
        <v>1749</v>
      </c>
      <c r="E568" s="808" t="s">
        <v>1749</v>
      </c>
      <c r="F568" s="808" t="s">
        <v>2004</v>
      </c>
      <c r="G568" s="808" t="s">
        <v>1990</v>
      </c>
      <c r="H568" s="808" t="s">
        <v>1991</v>
      </c>
      <c r="I568" s="808" t="s">
        <v>1992</v>
      </c>
      <c r="J568" s="810">
        <v>64260000</v>
      </c>
      <c r="K568" s="808" t="s">
        <v>1993</v>
      </c>
      <c r="L568" s="808" t="s">
        <v>1177</v>
      </c>
      <c r="M568" s="808" t="s">
        <v>1973</v>
      </c>
      <c r="N568" s="808" t="s">
        <v>1973</v>
      </c>
      <c r="O568" s="808" t="s">
        <v>2005</v>
      </c>
      <c r="P568" s="808" t="s">
        <v>1995</v>
      </c>
      <c r="Q568" s="808" t="s">
        <v>2006</v>
      </c>
    </row>
    <row r="569" spans="1:17" x14ac:dyDescent="0.25">
      <c r="A569" s="808" t="s">
        <v>1987</v>
      </c>
      <c r="B569" s="808" t="s">
        <v>2686</v>
      </c>
      <c r="C569" s="809">
        <v>24530202</v>
      </c>
      <c r="D569" s="808" t="s">
        <v>1866</v>
      </c>
      <c r="E569" s="808" t="s">
        <v>1866</v>
      </c>
      <c r="F569" s="808" t="s">
        <v>2004</v>
      </c>
      <c r="G569" s="808" t="s">
        <v>1990</v>
      </c>
      <c r="H569" s="808" t="s">
        <v>1991</v>
      </c>
      <c r="I569" s="808" t="s">
        <v>1992</v>
      </c>
      <c r="J569" s="810">
        <v>24530202</v>
      </c>
      <c r="K569" s="808" t="s">
        <v>1993</v>
      </c>
      <c r="L569" s="808" t="s">
        <v>1177</v>
      </c>
      <c r="M569" s="808" t="s">
        <v>1973</v>
      </c>
      <c r="N569" s="808" t="s">
        <v>1973</v>
      </c>
      <c r="O569" s="808" t="s">
        <v>2183</v>
      </c>
      <c r="P569" s="808" t="s">
        <v>1995</v>
      </c>
      <c r="Q569" s="808" t="s">
        <v>2048</v>
      </c>
    </row>
    <row r="570" spans="1:17" x14ac:dyDescent="0.25">
      <c r="A570" s="808" t="s">
        <v>1987</v>
      </c>
      <c r="B570" s="808" t="s">
        <v>2687</v>
      </c>
      <c r="C570" s="809">
        <v>24530202</v>
      </c>
      <c r="D570" s="808" t="s">
        <v>1866</v>
      </c>
      <c r="E570" s="808" t="s">
        <v>1866</v>
      </c>
      <c r="F570" s="808" t="s">
        <v>2004</v>
      </c>
      <c r="G570" s="808" t="s">
        <v>1990</v>
      </c>
      <c r="H570" s="808" t="s">
        <v>1991</v>
      </c>
      <c r="I570" s="808" t="s">
        <v>1992</v>
      </c>
      <c r="J570" s="810">
        <v>24530202</v>
      </c>
      <c r="K570" s="808" t="s">
        <v>1993</v>
      </c>
      <c r="L570" s="808" t="s">
        <v>1177</v>
      </c>
      <c r="M570" s="808" t="s">
        <v>1973</v>
      </c>
      <c r="N570" s="808" t="s">
        <v>1973</v>
      </c>
      <c r="O570" s="808" t="s">
        <v>2183</v>
      </c>
      <c r="P570" s="808" t="s">
        <v>1995</v>
      </c>
      <c r="Q570" s="808" t="s">
        <v>2048</v>
      </c>
    </row>
    <row r="571" spans="1:17" x14ac:dyDescent="0.25">
      <c r="A571" s="808" t="s">
        <v>2141</v>
      </c>
      <c r="B571" s="808" t="s">
        <v>2688</v>
      </c>
      <c r="C571" s="809">
        <v>55000000</v>
      </c>
      <c r="D571" s="808" t="s">
        <v>1750</v>
      </c>
      <c r="E571" s="808" t="s">
        <v>1750</v>
      </c>
      <c r="F571" s="808" t="s">
        <v>2010</v>
      </c>
      <c r="G571" s="808" t="s">
        <v>1990</v>
      </c>
      <c r="H571" s="808" t="s">
        <v>1991</v>
      </c>
      <c r="I571" s="808" t="s">
        <v>1992</v>
      </c>
      <c r="J571" s="810">
        <v>55000000</v>
      </c>
      <c r="K571" s="808" t="s">
        <v>1993</v>
      </c>
      <c r="L571" s="808" t="s">
        <v>1177</v>
      </c>
      <c r="M571" s="808" t="s">
        <v>1973</v>
      </c>
      <c r="N571" s="808" t="s">
        <v>1973</v>
      </c>
      <c r="O571" s="808" t="s">
        <v>2024</v>
      </c>
      <c r="P571" s="808" t="s">
        <v>1995</v>
      </c>
      <c r="Q571" s="808" t="s">
        <v>1996</v>
      </c>
    </row>
    <row r="572" spans="1:17" x14ac:dyDescent="0.25">
      <c r="A572" s="808" t="s">
        <v>1987</v>
      </c>
      <c r="B572" s="808" t="s">
        <v>2689</v>
      </c>
      <c r="C572" s="809">
        <v>54000000</v>
      </c>
      <c r="D572" s="808" t="s">
        <v>1749</v>
      </c>
      <c r="E572" s="808" t="s">
        <v>1749</v>
      </c>
      <c r="F572" s="808" t="s">
        <v>2004</v>
      </c>
      <c r="G572" s="808" t="s">
        <v>1990</v>
      </c>
      <c r="H572" s="808" t="s">
        <v>1991</v>
      </c>
      <c r="I572" s="808" t="s">
        <v>1992</v>
      </c>
      <c r="J572" s="810">
        <v>54000000</v>
      </c>
      <c r="K572" s="808" t="s">
        <v>1993</v>
      </c>
      <c r="L572" s="808" t="s">
        <v>1177</v>
      </c>
      <c r="M572" s="808" t="s">
        <v>1973</v>
      </c>
      <c r="N572" s="808" t="s">
        <v>1973</v>
      </c>
      <c r="O572" s="808" t="s">
        <v>2024</v>
      </c>
      <c r="P572" s="808" t="s">
        <v>1995</v>
      </c>
      <c r="Q572" s="808" t="s">
        <v>1996</v>
      </c>
    </row>
    <row r="573" spans="1:17" x14ac:dyDescent="0.25">
      <c r="A573" s="808" t="s">
        <v>1987</v>
      </c>
      <c r="B573" s="808" t="s">
        <v>2690</v>
      </c>
      <c r="C573" s="809">
        <v>50150000</v>
      </c>
      <c r="D573" s="808" t="s">
        <v>1866</v>
      </c>
      <c r="E573" s="808" t="s">
        <v>1866</v>
      </c>
      <c r="F573" s="808" t="s">
        <v>1989</v>
      </c>
      <c r="G573" s="808" t="s">
        <v>1990</v>
      </c>
      <c r="H573" s="808" t="s">
        <v>1991</v>
      </c>
      <c r="I573" s="808" t="s">
        <v>1992</v>
      </c>
      <c r="J573" s="810">
        <v>50150000</v>
      </c>
      <c r="K573" s="808" t="s">
        <v>1993</v>
      </c>
      <c r="L573" s="808" t="s">
        <v>1177</v>
      </c>
      <c r="M573" s="808" t="s">
        <v>1973</v>
      </c>
      <c r="N573" s="808" t="s">
        <v>1973</v>
      </c>
      <c r="O573" s="808" t="s">
        <v>2024</v>
      </c>
      <c r="P573" s="808" t="s">
        <v>1995</v>
      </c>
      <c r="Q573" s="808" t="s">
        <v>1996</v>
      </c>
    </row>
    <row r="574" spans="1:17" x14ac:dyDescent="0.25">
      <c r="A574" s="808" t="s">
        <v>1987</v>
      </c>
      <c r="B574" s="808" t="s">
        <v>2691</v>
      </c>
      <c r="C574" s="809">
        <v>42500000</v>
      </c>
      <c r="D574" s="808" t="s">
        <v>1749</v>
      </c>
      <c r="E574" s="808" t="s">
        <v>1749</v>
      </c>
      <c r="F574" s="808" t="s">
        <v>1989</v>
      </c>
      <c r="G574" s="808" t="s">
        <v>1990</v>
      </c>
      <c r="H574" s="808" t="s">
        <v>1991</v>
      </c>
      <c r="I574" s="808" t="s">
        <v>1992</v>
      </c>
      <c r="J574" s="810">
        <v>42500000</v>
      </c>
      <c r="K574" s="808" t="s">
        <v>1993</v>
      </c>
      <c r="L574" s="808" t="s">
        <v>1177</v>
      </c>
      <c r="M574" s="808" t="s">
        <v>1973</v>
      </c>
      <c r="N574" s="808" t="s">
        <v>1973</v>
      </c>
      <c r="O574" s="808" t="s">
        <v>2024</v>
      </c>
      <c r="P574" s="808" t="s">
        <v>1995</v>
      </c>
      <c r="Q574" s="808" t="s">
        <v>1996</v>
      </c>
    </row>
    <row r="575" spans="1:17" x14ac:dyDescent="0.25">
      <c r="A575" s="808" t="s">
        <v>1987</v>
      </c>
      <c r="B575" s="808" t="s">
        <v>2692</v>
      </c>
      <c r="C575" s="809">
        <v>42500000</v>
      </c>
      <c r="D575" s="808" t="s">
        <v>1749</v>
      </c>
      <c r="E575" s="808" t="s">
        <v>1749</v>
      </c>
      <c r="F575" s="808" t="s">
        <v>1989</v>
      </c>
      <c r="G575" s="808" t="s">
        <v>1990</v>
      </c>
      <c r="H575" s="808" t="s">
        <v>1991</v>
      </c>
      <c r="I575" s="808" t="s">
        <v>1992</v>
      </c>
      <c r="J575" s="810">
        <v>42500000</v>
      </c>
      <c r="K575" s="808" t="s">
        <v>1993</v>
      </c>
      <c r="L575" s="808" t="s">
        <v>1177</v>
      </c>
      <c r="M575" s="808" t="s">
        <v>1973</v>
      </c>
      <c r="N575" s="808" t="s">
        <v>1973</v>
      </c>
      <c r="O575" s="808" t="s">
        <v>2024</v>
      </c>
      <c r="P575" s="808" t="s">
        <v>1995</v>
      </c>
      <c r="Q575" s="808" t="s">
        <v>1996</v>
      </c>
    </row>
    <row r="576" spans="1:17" x14ac:dyDescent="0.25">
      <c r="A576" s="808" t="s">
        <v>1987</v>
      </c>
      <c r="B576" s="808" t="s">
        <v>2693</v>
      </c>
      <c r="C576" s="809">
        <v>28800000</v>
      </c>
      <c r="D576" s="808" t="s">
        <v>1866</v>
      </c>
      <c r="E576" s="808" t="s">
        <v>1866</v>
      </c>
      <c r="F576" s="808" t="s">
        <v>1989</v>
      </c>
      <c r="G576" s="808" t="s">
        <v>1990</v>
      </c>
      <c r="H576" s="808" t="s">
        <v>1991</v>
      </c>
      <c r="I576" s="808" t="s">
        <v>1992</v>
      </c>
      <c r="J576" s="810">
        <v>28800000</v>
      </c>
      <c r="K576" s="808" t="s">
        <v>1993</v>
      </c>
      <c r="L576" s="808" t="s">
        <v>1177</v>
      </c>
      <c r="M576" s="808" t="s">
        <v>1973</v>
      </c>
      <c r="N576" s="808" t="s">
        <v>1973</v>
      </c>
      <c r="O576" s="808" t="s">
        <v>2024</v>
      </c>
      <c r="P576" s="808" t="s">
        <v>1995</v>
      </c>
      <c r="Q576" s="808" t="s">
        <v>1996</v>
      </c>
    </row>
    <row r="577" spans="1:17" x14ac:dyDescent="0.25">
      <c r="A577" s="808" t="s">
        <v>1987</v>
      </c>
      <c r="B577" s="808" t="s">
        <v>2694</v>
      </c>
      <c r="C577" s="809">
        <v>28800000</v>
      </c>
      <c r="D577" s="808" t="s">
        <v>1866</v>
      </c>
      <c r="E577" s="808" t="s">
        <v>1866</v>
      </c>
      <c r="F577" s="808" t="s">
        <v>1989</v>
      </c>
      <c r="G577" s="808" t="s">
        <v>1990</v>
      </c>
      <c r="H577" s="808" t="s">
        <v>1991</v>
      </c>
      <c r="I577" s="808" t="s">
        <v>1992</v>
      </c>
      <c r="J577" s="810">
        <v>28800000</v>
      </c>
      <c r="K577" s="808" t="s">
        <v>1993</v>
      </c>
      <c r="L577" s="808" t="s">
        <v>1177</v>
      </c>
      <c r="M577" s="808" t="s">
        <v>1973</v>
      </c>
      <c r="N577" s="808" t="s">
        <v>1973</v>
      </c>
      <c r="O577" s="808" t="s">
        <v>2024</v>
      </c>
      <c r="P577" s="808" t="s">
        <v>1995</v>
      </c>
      <c r="Q577" s="808" t="s">
        <v>1996</v>
      </c>
    </row>
    <row r="578" spans="1:17" x14ac:dyDescent="0.25">
      <c r="A578" s="808" t="s">
        <v>1987</v>
      </c>
      <c r="B578" s="808" t="s">
        <v>2695</v>
      </c>
      <c r="C578" s="809">
        <v>42400000</v>
      </c>
      <c r="D578" s="808" t="s">
        <v>1866</v>
      </c>
      <c r="E578" s="808" t="s">
        <v>1866</v>
      </c>
      <c r="F578" s="808" t="s">
        <v>1989</v>
      </c>
      <c r="G578" s="808" t="s">
        <v>1990</v>
      </c>
      <c r="H578" s="808" t="s">
        <v>1991</v>
      </c>
      <c r="I578" s="808" t="s">
        <v>1992</v>
      </c>
      <c r="J578" s="810">
        <v>42400000</v>
      </c>
      <c r="K578" s="808" t="s">
        <v>1993</v>
      </c>
      <c r="L578" s="808" t="s">
        <v>1177</v>
      </c>
      <c r="M578" s="808" t="s">
        <v>1973</v>
      </c>
      <c r="N578" s="808" t="s">
        <v>1973</v>
      </c>
      <c r="O578" s="808" t="s">
        <v>2024</v>
      </c>
      <c r="P578" s="808" t="s">
        <v>1995</v>
      </c>
      <c r="Q578" s="808" t="s">
        <v>1996</v>
      </c>
    </row>
    <row r="579" spans="1:17" x14ac:dyDescent="0.25">
      <c r="A579" s="808" t="s">
        <v>1987</v>
      </c>
      <c r="B579" s="808" t="s">
        <v>2696</v>
      </c>
      <c r="C579" s="809">
        <v>42400000</v>
      </c>
      <c r="D579" s="808" t="s">
        <v>1866</v>
      </c>
      <c r="E579" s="808" t="s">
        <v>1866</v>
      </c>
      <c r="F579" s="808" t="s">
        <v>1989</v>
      </c>
      <c r="G579" s="808" t="s">
        <v>1990</v>
      </c>
      <c r="H579" s="808" t="s">
        <v>1991</v>
      </c>
      <c r="I579" s="808" t="s">
        <v>1992</v>
      </c>
      <c r="J579" s="810">
        <v>42400000</v>
      </c>
      <c r="K579" s="808" t="s">
        <v>1993</v>
      </c>
      <c r="L579" s="808" t="s">
        <v>1177</v>
      </c>
      <c r="M579" s="808" t="s">
        <v>1973</v>
      </c>
      <c r="N579" s="808" t="s">
        <v>1973</v>
      </c>
      <c r="O579" s="808" t="s">
        <v>2024</v>
      </c>
      <c r="P579" s="808" t="s">
        <v>1995</v>
      </c>
      <c r="Q579" s="808" t="s">
        <v>1996</v>
      </c>
    </row>
    <row r="580" spans="1:17" x14ac:dyDescent="0.25">
      <c r="A580" s="808" t="s">
        <v>1987</v>
      </c>
      <c r="B580" s="808" t="s">
        <v>2697</v>
      </c>
      <c r="C580" s="809">
        <v>42400000</v>
      </c>
      <c r="D580" s="808" t="s">
        <v>1866</v>
      </c>
      <c r="E580" s="808" t="s">
        <v>1866</v>
      </c>
      <c r="F580" s="808" t="s">
        <v>1989</v>
      </c>
      <c r="G580" s="808" t="s">
        <v>1990</v>
      </c>
      <c r="H580" s="808" t="s">
        <v>1991</v>
      </c>
      <c r="I580" s="808" t="s">
        <v>1992</v>
      </c>
      <c r="J580" s="810">
        <v>42400000</v>
      </c>
      <c r="K580" s="808" t="s">
        <v>1993</v>
      </c>
      <c r="L580" s="808" t="s">
        <v>1177</v>
      </c>
      <c r="M580" s="808" t="s">
        <v>1973</v>
      </c>
      <c r="N580" s="808" t="s">
        <v>1973</v>
      </c>
      <c r="O580" s="808" t="s">
        <v>2024</v>
      </c>
      <c r="P580" s="808" t="s">
        <v>1995</v>
      </c>
      <c r="Q580" s="808" t="s">
        <v>1996</v>
      </c>
    </row>
    <row r="581" spans="1:17" x14ac:dyDescent="0.25">
      <c r="A581" s="808" t="s">
        <v>1987</v>
      </c>
      <c r="B581" s="808" t="s">
        <v>2698</v>
      </c>
      <c r="C581" s="809">
        <v>36000000</v>
      </c>
      <c r="D581" s="808" t="s">
        <v>1749</v>
      </c>
      <c r="E581" s="808" t="s">
        <v>1749</v>
      </c>
      <c r="F581" s="808" t="s">
        <v>2004</v>
      </c>
      <c r="G581" s="808" t="s">
        <v>1990</v>
      </c>
      <c r="H581" s="808" t="s">
        <v>1991</v>
      </c>
      <c r="I581" s="808" t="s">
        <v>1992</v>
      </c>
      <c r="J581" s="810">
        <v>36000000</v>
      </c>
      <c r="K581" s="808" t="s">
        <v>1993</v>
      </c>
      <c r="L581" s="808" t="s">
        <v>1177</v>
      </c>
      <c r="M581" s="808" t="s">
        <v>1973</v>
      </c>
      <c r="N581" s="808" t="s">
        <v>1973</v>
      </c>
      <c r="O581" s="808" t="s">
        <v>2024</v>
      </c>
      <c r="P581" s="808" t="s">
        <v>1995</v>
      </c>
      <c r="Q581" s="808" t="s">
        <v>1996</v>
      </c>
    </row>
    <row r="582" spans="1:17" x14ac:dyDescent="0.25">
      <c r="A582" s="808" t="s">
        <v>1987</v>
      </c>
      <c r="B582" s="808" t="s">
        <v>2699</v>
      </c>
      <c r="C582" s="809">
        <v>63600000</v>
      </c>
      <c r="D582" s="808" t="s">
        <v>1753</v>
      </c>
      <c r="E582" s="808" t="s">
        <v>1753</v>
      </c>
      <c r="F582" s="808" t="s">
        <v>2027</v>
      </c>
      <c r="G582" s="808" t="s">
        <v>1990</v>
      </c>
      <c r="H582" s="808" t="s">
        <v>1991</v>
      </c>
      <c r="I582" s="808" t="s">
        <v>1992</v>
      </c>
      <c r="J582" s="810">
        <v>63600000</v>
      </c>
      <c r="K582" s="808" t="s">
        <v>1993</v>
      </c>
      <c r="L582" s="808" t="s">
        <v>1177</v>
      </c>
      <c r="M582" s="808" t="s">
        <v>1973</v>
      </c>
      <c r="N582" s="808" t="s">
        <v>1973</v>
      </c>
      <c r="O582" s="808" t="s">
        <v>2024</v>
      </c>
      <c r="P582" s="808" t="s">
        <v>1995</v>
      </c>
      <c r="Q582" s="808" t="s">
        <v>1996</v>
      </c>
    </row>
    <row r="583" spans="1:17" x14ac:dyDescent="0.25">
      <c r="A583" s="808" t="s">
        <v>1987</v>
      </c>
      <c r="B583" s="808" t="s">
        <v>2700</v>
      </c>
      <c r="C583" s="809">
        <v>44000000</v>
      </c>
      <c r="D583" s="808" t="s">
        <v>1866</v>
      </c>
      <c r="E583" s="808" t="s">
        <v>1866</v>
      </c>
      <c r="F583" s="808" t="s">
        <v>1989</v>
      </c>
      <c r="G583" s="808" t="s">
        <v>1990</v>
      </c>
      <c r="H583" s="808" t="s">
        <v>1991</v>
      </c>
      <c r="I583" s="808" t="s">
        <v>1992</v>
      </c>
      <c r="J583" s="810">
        <v>44000000</v>
      </c>
      <c r="K583" s="808" t="s">
        <v>1993</v>
      </c>
      <c r="L583" s="808" t="s">
        <v>1177</v>
      </c>
      <c r="M583" s="808" t="s">
        <v>1973</v>
      </c>
      <c r="N583" s="808" t="s">
        <v>1973</v>
      </c>
      <c r="O583" s="808" t="s">
        <v>2024</v>
      </c>
      <c r="P583" s="808" t="s">
        <v>1995</v>
      </c>
      <c r="Q583" s="808" t="s">
        <v>1996</v>
      </c>
    </row>
    <row r="584" spans="1:17" x14ac:dyDescent="0.25">
      <c r="A584" s="808" t="s">
        <v>1987</v>
      </c>
      <c r="B584" s="808" t="s">
        <v>2701</v>
      </c>
      <c r="C584" s="809">
        <v>43470000</v>
      </c>
      <c r="D584" s="808" t="s">
        <v>1753</v>
      </c>
      <c r="E584" s="808" t="s">
        <v>1753</v>
      </c>
      <c r="F584" s="808" t="s">
        <v>2036</v>
      </c>
      <c r="G584" s="808" t="s">
        <v>1990</v>
      </c>
      <c r="H584" s="808" t="s">
        <v>1991</v>
      </c>
      <c r="I584" s="808" t="s">
        <v>1992</v>
      </c>
      <c r="J584" s="810">
        <v>43470000</v>
      </c>
      <c r="K584" s="808" t="s">
        <v>1993</v>
      </c>
      <c r="L584" s="808" t="s">
        <v>1177</v>
      </c>
      <c r="M584" s="808" t="s">
        <v>1973</v>
      </c>
      <c r="N584" s="808" t="s">
        <v>1973</v>
      </c>
      <c r="O584" s="808" t="s">
        <v>2037</v>
      </c>
      <c r="P584" s="808" t="s">
        <v>1995</v>
      </c>
      <c r="Q584" s="808" t="s">
        <v>2038</v>
      </c>
    </row>
    <row r="585" spans="1:17" x14ac:dyDescent="0.25">
      <c r="A585" s="808" t="s">
        <v>1987</v>
      </c>
      <c r="B585" s="808" t="s">
        <v>2702</v>
      </c>
      <c r="C585" s="809">
        <v>60000000</v>
      </c>
      <c r="D585" s="808" t="s">
        <v>1743</v>
      </c>
      <c r="E585" s="808" t="s">
        <v>1743</v>
      </c>
      <c r="F585" s="808" t="s">
        <v>2023</v>
      </c>
      <c r="G585" s="808" t="s">
        <v>1990</v>
      </c>
      <c r="H585" s="808" t="s">
        <v>1991</v>
      </c>
      <c r="I585" s="808" t="s">
        <v>1992</v>
      </c>
      <c r="J585" s="810">
        <v>60000000</v>
      </c>
      <c r="K585" s="808" t="s">
        <v>1993</v>
      </c>
      <c r="L585" s="808" t="s">
        <v>1177</v>
      </c>
      <c r="M585" s="808" t="s">
        <v>1973</v>
      </c>
      <c r="N585" s="808" t="s">
        <v>1973</v>
      </c>
      <c r="O585" s="808" t="s">
        <v>2457</v>
      </c>
      <c r="P585" s="808" t="s">
        <v>2458</v>
      </c>
      <c r="Q585" s="808" t="s">
        <v>2459</v>
      </c>
    </row>
    <row r="586" spans="1:17" x14ac:dyDescent="0.25">
      <c r="A586" s="808" t="s">
        <v>1987</v>
      </c>
      <c r="B586" s="808" t="s">
        <v>2703</v>
      </c>
      <c r="C586" s="809">
        <v>65000000</v>
      </c>
      <c r="D586" s="808" t="s">
        <v>1753</v>
      </c>
      <c r="E586" s="808" t="s">
        <v>1753</v>
      </c>
      <c r="F586" s="808" t="s">
        <v>2023</v>
      </c>
      <c r="G586" s="808" t="s">
        <v>1990</v>
      </c>
      <c r="H586" s="808" t="s">
        <v>1991</v>
      </c>
      <c r="I586" s="808" t="s">
        <v>1992</v>
      </c>
      <c r="J586" s="810">
        <v>65000000</v>
      </c>
      <c r="K586" s="808" t="s">
        <v>1993</v>
      </c>
      <c r="L586" s="808" t="s">
        <v>1177</v>
      </c>
      <c r="M586" s="808" t="s">
        <v>1973</v>
      </c>
      <c r="N586" s="808" t="s">
        <v>1973</v>
      </c>
      <c r="O586" s="808" t="s">
        <v>2457</v>
      </c>
      <c r="P586" s="808" t="s">
        <v>2458</v>
      </c>
      <c r="Q586" s="808" t="s">
        <v>2459</v>
      </c>
    </row>
    <row r="587" spans="1:17" x14ac:dyDescent="0.25">
      <c r="A587" s="808" t="s">
        <v>1987</v>
      </c>
      <c r="B587" s="808" t="s">
        <v>2704</v>
      </c>
      <c r="C587" s="809">
        <v>37500000</v>
      </c>
      <c r="D587" s="808" t="s">
        <v>1750</v>
      </c>
      <c r="E587" s="808" t="s">
        <v>1750</v>
      </c>
      <c r="F587" s="808" t="s">
        <v>2036</v>
      </c>
      <c r="G587" s="808" t="s">
        <v>1990</v>
      </c>
      <c r="H587" s="808" t="s">
        <v>1991</v>
      </c>
      <c r="I587" s="808" t="s">
        <v>1992</v>
      </c>
      <c r="J587" s="810">
        <v>37500000</v>
      </c>
      <c r="K587" s="808" t="s">
        <v>1993</v>
      </c>
      <c r="L587" s="808" t="s">
        <v>1177</v>
      </c>
      <c r="M587" s="808" t="s">
        <v>1973</v>
      </c>
      <c r="N587" s="808" t="s">
        <v>1973</v>
      </c>
      <c r="O587" s="808" t="s">
        <v>1994</v>
      </c>
      <c r="P587" s="808" t="s">
        <v>1995</v>
      </c>
      <c r="Q587" s="808" t="s">
        <v>1996</v>
      </c>
    </row>
    <row r="588" spans="1:17" x14ac:dyDescent="0.25">
      <c r="A588" s="808" t="s">
        <v>2705</v>
      </c>
      <c r="B588" s="808" t="s">
        <v>2706</v>
      </c>
      <c r="C588" s="809">
        <v>292754108</v>
      </c>
      <c r="D588" s="808" t="s">
        <v>1750</v>
      </c>
      <c r="E588" s="808" t="s">
        <v>1757</v>
      </c>
      <c r="F588" s="808" t="s">
        <v>2010</v>
      </c>
      <c r="G588" s="808" t="s">
        <v>1990</v>
      </c>
      <c r="H588" s="808" t="s">
        <v>2078</v>
      </c>
      <c r="I588" s="808" t="s">
        <v>1992</v>
      </c>
      <c r="J588" s="810">
        <v>292754108</v>
      </c>
      <c r="K588" s="808" t="s">
        <v>1993</v>
      </c>
      <c r="L588" s="808" t="s">
        <v>1177</v>
      </c>
      <c r="M588" s="808" t="s">
        <v>1973</v>
      </c>
      <c r="N588" s="808" t="s">
        <v>1973</v>
      </c>
      <c r="O588" s="808" t="s">
        <v>2037</v>
      </c>
      <c r="P588" s="808" t="s">
        <v>1995</v>
      </c>
      <c r="Q588" s="808" t="s">
        <v>2038</v>
      </c>
    </row>
    <row r="589" spans="1:17" x14ac:dyDescent="0.25">
      <c r="A589" s="808" t="s">
        <v>1987</v>
      </c>
      <c r="B589" s="808" t="s">
        <v>2707</v>
      </c>
      <c r="C589" s="809">
        <v>18600000</v>
      </c>
      <c r="D589" s="808" t="s">
        <v>1750</v>
      </c>
      <c r="E589" s="808" t="s">
        <v>1750</v>
      </c>
      <c r="F589" s="808" t="s">
        <v>2000</v>
      </c>
      <c r="G589" s="808" t="s">
        <v>1990</v>
      </c>
      <c r="H589" s="808" t="s">
        <v>1991</v>
      </c>
      <c r="I589" s="808" t="s">
        <v>1992</v>
      </c>
      <c r="J589" s="810">
        <v>18600000</v>
      </c>
      <c r="K589" s="808" t="s">
        <v>1993</v>
      </c>
      <c r="L589" s="808" t="s">
        <v>1177</v>
      </c>
      <c r="M589" s="808" t="s">
        <v>1973</v>
      </c>
      <c r="N589" s="808" t="s">
        <v>1973</v>
      </c>
      <c r="O589" s="808" t="s">
        <v>2047</v>
      </c>
      <c r="P589" s="808" t="s">
        <v>1995</v>
      </c>
      <c r="Q589" s="808" t="s">
        <v>2048</v>
      </c>
    </row>
    <row r="590" spans="1:17" x14ac:dyDescent="0.25">
      <c r="A590" s="808" t="s">
        <v>2708</v>
      </c>
      <c r="B590" s="808" t="s">
        <v>2709</v>
      </c>
      <c r="C590" s="809">
        <v>10000000</v>
      </c>
      <c r="D590" s="808" t="s">
        <v>1750</v>
      </c>
      <c r="E590" s="808" t="s">
        <v>1750</v>
      </c>
      <c r="F590" s="808" t="s">
        <v>2077</v>
      </c>
      <c r="G590" s="808" t="s">
        <v>1990</v>
      </c>
      <c r="H590" s="808" t="s">
        <v>1905</v>
      </c>
      <c r="I590" s="808" t="s">
        <v>1992</v>
      </c>
      <c r="J590" s="810">
        <v>10000000</v>
      </c>
      <c r="K590" s="808" t="s">
        <v>1993</v>
      </c>
      <c r="L590" s="808" t="s">
        <v>1177</v>
      </c>
      <c r="M590" s="808" t="s">
        <v>1973</v>
      </c>
      <c r="N590" s="808" t="s">
        <v>1973</v>
      </c>
      <c r="O590" s="808" t="s">
        <v>2047</v>
      </c>
      <c r="P590" s="808" t="s">
        <v>1995</v>
      </c>
      <c r="Q590" s="808" t="s">
        <v>2048</v>
      </c>
    </row>
    <row r="591" spans="1:17" x14ac:dyDescent="0.25">
      <c r="A591" s="808" t="s">
        <v>1987</v>
      </c>
      <c r="B591" s="808" t="s">
        <v>2710</v>
      </c>
      <c r="C591" s="809">
        <v>18600000</v>
      </c>
      <c r="D591" s="808" t="s">
        <v>1750</v>
      </c>
      <c r="E591" s="808" t="s">
        <v>1750</v>
      </c>
      <c r="F591" s="808" t="s">
        <v>2000</v>
      </c>
      <c r="G591" s="808" t="s">
        <v>1990</v>
      </c>
      <c r="H591" s="808" t="s">
        <v>1991</v>
      </c>
      <c r="I591" s="808" t="s">
        <v>1992</v>
      </c>
      <c r="J591" s="810">
        <v>18600000</v>
      </c>
      <c r="K591" s="808" t="s">
        <v>1993</v>
      </c>
      <c r="L591" s="808" t="s">
        <v>1177</v>
      </c>
      <c r="M591" s="808" t="s">
        <v>1973</v>
      </c>
      <c r="N591" s="808" t="s">
        <v>1973</v>
      </c>
      <c r="O591" s="808" t="s">
        <v>2047</v>
      </c>
      <c r="P591" s="808" t="s">
        <v>1995</v>
      </c>
      <c r="Q591" s="808" t="s">
        <v>2048</v>
      </c>
    </row>
    <row r="592" spans="1:17" x14ac:dyDescent="0.25">
      <c r="A592" s="808" t="s">
        <v>1987</v>
      </c>
      <c r="B592" s="808" t="s">
        <v>2711</v>
      </c>
      <c r="C592" s="809">
        <v>18600000</v>
      </c>
      <c r="D592" s="808" t="s">
        <v>1750</v>
      </c>
      <c r="E592" s="808" t="s">
        <v>1750</v>
      </c>
      <c r="F592" s="808" t="s">
        <v>2000</v>
      </c>
      <c r="G592" s="808" t="s">
        <v>1990</v>
      </c>
      <c r="H592" s="808" t="s">
        <v>1991</v>
      </c>
      <c r="I592" s="808" t="s">
        <v>1992</v>
      </c>
      <c r="J592" s="810">
        <v>18600000</v>
      </c>
      <c r="K592" s="808" t="s">
        <v>1993</v>
      </c>
      <c r="L592" s="808" t="s">
        <v>1177</v>
      </c>
      <c r="M592" s="808" t="s">
        <v>1973</v>
      </c>
      <c r="N592" s="808" t="s">
        <v>1973</v>
      </c>
      <c r="O592" s="808" t="s">
        <v>2047</v>
      </c>
      <c r="P592" s="808" t="s">
        <v>1995</v>
      </c>
      <c r="Q592" s="808" t="s">
        <v>2048</v>
      </c>
    </row>
    <row r="593" spans="1:17" x14ac:dyDescent="0.25">
      <c r="A593" s="808" t="s">
        <v>1987</v>
      </c>
      <c r="B593" s="808" t="s">
        <v>2712</v>
      </c>
      <c r="C593" s="809">
        <v>18000000</v>
      </c>
      <c r="D593" s="808" t="s">
        <v>1750</v>
      </c>
      <c r="E593" s="808" t="s">
        <v>1750</v>
      </c>
      <c r="F593" s="808" t="s">
        <v>2000</v>
      </c>
      <c r="G593" s="808" t="s">
        <v>1990</v>
      </c>
      <c r="H593" s="808" t="s">
        <v>1991</v>
      </c>
      <c r="I593" s="808" t="s">
        <v>1992</v>
      </c>
      <c r="J593" s="810">
        <v>18000000</v>
      </c>
      <c r="K593" s="808" t="s">
        <v>1993</v>
      </c>
      <c r="L593" s="808" t="s">
        <v>1177</v>
      </c>
      <c r="M593" s="808" t="s">
        <v>1973</v>
      </c>
      <c r="N593" s="808" t="s">
        <v>1973</v>
      </c>
      <c r="O593" s="808" t="s">
        <v>2047</v>
      </c>
      <c r="P593" s="808" t="s">
        <v>1995</v>
      </c>
      <c r="Q593" s="808" t="s">
        <v>2048</v>
      </c>
    </row>
    <row r="594" spans="1:17" x14ac:dyDescent="0.25">
      <c r="A594" s="808" t="s">
        <v>1987</v>
      </c>
      <c r="B594" s="808" t="s">
        <v>2713</v>
      </c>
      <c r="C594" s="809">
        <v>17025000</v>
      </c>
      <c r="D594" s="808" t="s">
        <v>1750</v>
      </c>
      <c r="E594" s="808" t="s">
        <v>1750</v>
      </c>
      <c r="F594" s="808" t="s">
        <v>1989</v>
      </c>
      <c r="G594" s="808" t="s">
        <v>1990</v>
      </c>
      <c r="H594" s="808" t="s">
        <v>1991</v>
      </c>
      <c r="I594" s="808" t="s">
        <v>1992</v>
      </c>
      <c r="J594" s="810">
        <v>17025000</v>
      </c>
      <c r="K594" s="808" t="s">
        <v>1993</v>
      </c>
      <c r="L594" s="808" t="s">
        <v>1177</v>
      </c>
      <c r="M594" s="808" t="s">
        <v>1973</v>
      </c>
      <c r="N594" s="808" t="s">
        <v>1973</v>
      </c>
      <c r="O594" s="808" t="s">
        <v>2005</v>
      </c>
      <c r="P594" s="808" t="s">
        <v>1995</v>
      </c>
      <c r="Q594" s="808" t="s">
        <v>2006</v>
      </c>
    </row>
    <row r="595" spans="1:17" x14ac:dyDescent="0.25">
      <c r="A595" s="808" t="s">
        <v>1987</v>
      </c>
      <c r="B595" s="808" t="s">
        <v>2714</v>
      </c>
      <c r="C595" s="809">
        <v>42075000</v>
      </c>
      <c r="D595" s="808" t="s">
        <v>1750</v>
      </c>
      <c r="E595" s="808" t="s">
        <v>1750</v>
      </c>
      <c r="F595" s="808" t="s">
        <v>1989</v>
      </c>
      <c r="G595" s="808" t="s">
        <v>1990</v>
      </c>
      <c r="H595" s="808" t="s">
        <v>1991</v>
      </c>
      <c r="I595" s="808" t="s">
        <v>1992</v>
      </c>
      <c r="J595" s="810">
        <v>42075000</v>
      </c>
      <c r="K595" s="808" t="s">
        <v>1993</v>
      </c>
      <c r="L595" s="808" t="s">
        <v>1177</v>
      </c>
      <c r="M595" s="808" t="s">
        <v>1973</v>
      </c>
      <c r="N595" s="808" t="s">
        <v>1973</v>
      </c>
      <c r="O595" s="808" t="s">
        <v>2005</v>
      </c>
      <c r="P595" s="808" t="s">
        <v>1995</v>
      </c>
      <c r="Q595" s="808" t="s">
        <v>2006</v>
      </c>
    </row>
    <row r="596" spans="1:17" x14ac:dyDescent="0.25">
      <c r="A596" s="808" t="s">
        <v>1987</v>
      </c>
      <c r="B596" s="808" t="s">
        <v>2715</v>
      </c>
      <c r="C596" s="809">
        <v>35432514</v>
      </c>
      <c r="D596" s="808" t="s">
        <v>1750</v>
      </c>
      <c r="E596" s="808" t="s">
        <v>1750</v>
      </c>
      <c r="F596" s="808" t="s">
        <v>2000</v>
      </c>
      <c r="G596" s="808" t="s">
        <v>1990</v>
      </c>
      <c r="H596" s="808" t="s">
        <v>1991</v>
      </c>
      <c r="I596" s="808" t="s">
        <v>1992</v>
      </c>
      <c r="J596" s="810">
        <v>35432514</v>
      </c>
      <c r="K596" s="808" t="s">
        <v>1993</v>
      </c>
      <c r="L596" s="808" t="s">
        <v>1177</v>
      </c>
      <c r="M596" s="808" t="s">
        <v>1973</v>
      </c>
      <c r="N596" s="808" t="s">
        <v>1973</v>
      </c>
      <c r="O596" s="808" t="s">
        <v>2061</v>
      </c>
      <c r="P596" s="808" t="s">
        <v>1995</v>
      </c>
      <c r="Q596" s="808" t="s">
        <v>2062</v>
      </c>
    </row>
    <row r="597" spans="1:17" x14ac:dyDescent="0.25">
      <c r="A597" s="808" t="s">
        <v>1987</v>
      </c>
      <c r="B597" s="808" t="s">
        <v>2716</v>
      </c>
      <c r="C597" s="809">
        <v>14536416</v>
      </c>
      <c r="D597" s="808" t="s">
        <v>1750</v>
      </c>
      <c r="E597" s="808" t="s">
        <v>1750</v>
      </c>
      <c r="F597" s="808" t="s">
        <v>2056</v>
      </c>
      <c r="G597" s="808" t="s">
        <v>1990</v>
      </c>
      <c r="H597" s="808" t="s">
        <v>1991</v>
      </c>
      <c r="I597" s="808" t="s">
        <v>1992</v>
      </c>
      <c r="J597" s="810">
        <v>14536416</v>
      </c>
      <c r="K597" s="808" t="s">
        <v>1993</v>
      </c>
      <c r="L597" s="808" t="s">
        <v>1177</v>
      </c>
      <c r="M597" s="808" t="s">
        <v>1973</v>
      </c>
      <c r="N597" s="808" t="s">
        <v>1973</v>
      </c>
      <c r="O597" s="808" t="s">
        <v>2061</v>
      </c>
      <c r="P597" s="808" t="s">
        <v>1995</v>
      </c>
      <c r="Q597" s="808" t="s">
        <v>2062</v>
      </c>
    </row>
    <row r="598" spans="1:17" x14ac:dyDescent="0.25">
      <c r="A598" s="808" t="s">
        <v>1987</v>
      </c>
      <c r="B598" s="808" t="s">
        <v>2717</v>
      </c>
      <c r="C598" s="809">
        <v>20441835</v>
      </c>
      <c r="D598" s="808" t="s">
        <v>1866</v>
      </c>
      <c r="E598" s="808" t="s">
        <v>1866</v>
      </c>
      <c r="F598" s="808" t="s">
        <v>2077</v>
      </c>
      <c r="G598" s="808" t="s">
        <v>1990</v>
      </c>
      <c r="H598" s="808" t="s">
        <v>1991</v>
      </c>
      <c r="I598" s="808" t="s">
        <v>1992</v>
      </c>
      <c r="J598" s="810">
        <v>20441835</v>
      </c>
      <c r="K598" s="808" t="s">
        <v>1993</v>
      </c>
      <c r="L598" s="808" t="s">
        <v>1177</v>
      </c>
      <c r="M598" s="808" t="s">
        <v>1973</v>
      </c>
      <c r="N598" s="808" t="s">
        <v>1973</v>
      </c>
      <c r="O598" s="808" t="s">
        <v>2183</v>
      </c>
      <c r="P598" s="808" t="s">
        <v>1995</v>
      </c>
      <c r="Q598" s="808" t="s">
        <v>2048</v>
      </c>
    </row>
    <row r="599" spans="1:17" x14ac:dyDescent="0.25">
      <c r="A599" s="808" t="s">
        <v>1987</v>
      </c>
      <c r="B599" s="808" t="s">
        <v>2718</v>
      </c>
      <c r="C599" s="809">
        <v>44958672</v>
      </c>
      <c r="D599" s="808" t="s">
        <v>1753</v>
      </c>
      <c r="E599" s="808" t="s">
        <v>1753</v>
      </c>
      <c r="F599" s="808" t="s">
        <v>2027</v>
      </c>
      <c r="G599" s="808" t="s">
        <v>1990</v>
      </c>
      <c r="H599" s="808" t="s">
        <v>1991</v>
      </c>
      <c r="I599" s="808" t="s">
        <v>1992</v>
      </c>
      <c r="J599" s="810">
        <v>44958672</v>
      </c>
      <c r="K599" s="808" t="s">
        <v>1993</v>
      </c>
      <c r="L599" s="808" t="s">
        <v>1177</v>
      </c>
      <c r="M599" s="808" t="s">
        <v>1973</v>
      </c>
      <c r="N599" s="808" t="s">
        <v>1973</v>
      </c>
      <c r="O599" s="808" t="s">
        <v>2183</v>
      </c>
      <c r="P599" s="808" t="s">
        <v>1995</v>
      </c>
      <c r="Q599" s="808" t="s">
        <v>2048</v>
      </c>
    </row>
    <row r="600" spans="1:17" x14ac:dyDescent="0.25">
      <c r="A600" s="808" t="s">
        <v>1987</v>
      </c>
      <c r="B600" s="808" t="s">
        <v>2719</v>
      </c>
      <c r="C600" s="809">
        <v>43056000</v>
      </c>
      <c r="D600" s="808" t="s">
        <v>1749</v>
      </c>
      <c r="E600" s="808" t="s">
        <v>1866</v>
      </c>
      <c r="F600" s="808" t="s">
        <v>1989</v>
      </c>
      <c r="G600" s="808" t="s">
        <v>1990</v>
      </c>
      <c r="H600" s="808" t="s">
        <v>1991</v>
      </c>
      <c r="I600" s="808" t="s">
        <v>1992</v>
      </c>
      <c r="J600" s="810">
        <v>43056000</v>
      </c>
      <c r="K600" s="808" t="s">
        <v>1993</v>
      </c>
      <c r="L600" s="808" t="s">
        <v>1177</v>
      </c>
      <c r="M600" s="808" t="s">
        <v>1973</v>
      </c>
      <c r="N600" s="808" t="s">
        <v>1973</v>
      </c>
      <c r="O600" s="808" t="s">
        <v>2037</v>
      </c>
      <c r="P600" s="808" t="s">
        <v>1995</v>
      </c>
      <c r="Q600" s="808" t="s">
        <v>2038</v>
      </c>
    </row>
    <row r="601" spans="1:17" x14ac:dyDescent="0.25">
      <c r="A601" s="808" t="s">
        <v>1987</v>
      </c>
      <c r="B601" s="808" t="s">
        <v>2720</v>
      </c>
      <c r="C601" s="809">
        <v>56000000</v>
      </c>
      <c r="D601" s="808" t="s">
        <v>1749</v>
      </c>
      <c r="E601" s="808" t="s">
        <v>1749</v>
      </c>
      <c r="F601" s="808" t="s">
        <v>1989</v>
      </c>
      <c r="G601" s="808" t="s">
        <v>1990</v>
      </c>
      <c r="H601" s="808" t="s">
        <v>1991</v>
      </c>
      <c r="I601" s="808" t="s">
        <v>1992</v>
      </c>
      <c r="J601" s="810">
        <v>56000000</v>
      </c>
      <c r="K601" s="808" t="s">
        <v>1993</v>
      </c>
      <c r="L601" s="808" t="s">
        <v>1177</v>
      </c>
      <c r="M601" s="808" t="s">
        <v>1973</v>
      </c>
      <c r="N601" s="808" t="s">
        <v>1973</v>
      </c>
      <c r="O601" s="808" t="s">
        <v>2067</v>
      </c>
      <c r="P601" s="808" t="s">
        <v>1995</v>
      </c>
      <c r="Q601" s="808" t="s">
        <v>2002</v>
      </c>
    </row>
    <row r="602" spans="1:17" x14ac:dyDescent="0.25">
      <c r="A602" s="808" t="s">
        <v>1987</v>
      </c>
      <c r="B602" s="808" t="s">
        <v>2721</v>
      </c>
      <c r="C602" s="809">
        <v>13926000</v>
      </c>
      <c r="D602" s="808" t="s">
        <v>1749</v>
      </c>
      <c r="E602" s="808" t="s">
        <v>1749</v>
      </c>
      <c r="F602" s="808" t="s">
        <v>2000</v>
      </c>
      <c r="G602" s="808" t="s">
        <v>1990</v>
      </c>
      <c r="H602" s="808" t="s">
        <v>1991</v>
      </c>
      <c r="I602" s="808" t="s">
        <v>1992</v>
      </c>
      <c r="J602" s="810">
        <v>13926000</v>
      </c>
      <c r="K602" s="808" t="s">
        <v>1993</v>
      </c>
      <c r="L602" s="808" t="s">
        <v>1177</v>
      </c>
      <c r="M602" s="808" t="s">
        <v>1973</v>
      </c>
      <c r="N602" s="808" t="s">
        <v>1973</v>
      </c>
      <c r="O602" s="808" t="s">
        <v>2067</v>
      </c>
      <c r="P602" s="808" t="s">
        <v>1995</v>
      </c>
      <c r="Q602" s="808" t="s">
        <v>2002</v>
      </c>
    </row>
    <row r="603" spans="1:17" x14ac:dyDescent="0.25">
      <c r="A603" s="808" t="s">
        <v>1987</v>
      </c>
      <c r="B603" s="808" t="s">
        <v>2722</v>
      </c>
      <c r="C603" s="809">
        <v>13926000</v>
      </c>
      <c r="D603" s="808" t="s">
        <v>1749</v>
      </c>
      <c r="E603" s="808" t="s">
        <v>1749</v>
      </c>
      <c r="F603" s="808" t="s">
        <v>2000</v>
      </c>
      <c r="G603" s="808" t="s">
        <v>1990</v>
      </c>
      <c r="H603" s="808" t="s">
        <v>1991</v>
      </c>
      <c r="I603" s="808" t="s">
        <v>1992</v>
      </c>
      <c r="J603" s="810">
        <v>13926000</v>
      </c>
      <c r="K603" s="808" t="s">
        <v>1993</v>
      </c>
      <c r="L603" s="808" t="s">
        <v>1177</v>
      </c>
      <c r="M603" s="808" t="s">
        <v>1973</v>
      </c>
      <c r="N603" s="808" t="s">
        <v>1973</v>
      </c>
      <c r="O603" s="808" t="s">
        <v>2067</v>
      </c>
      <c r="P603" s="808" t="s">
        <v>1995</v>
      </c>
      <c r="Q603" s="808" t="s">
        <v>2002</v>
      </c>
    </row>
    <row r="604" spans="1:17" x14ac:dyDescent="0.25">
      <c r="A604" s="808" t="s">
        <v>1987</v>
      </c>
      <c r="B604" s="808" t="s">
        <v>2723</v>
      </c>
      <c r="C604" s="809">
        <v>25200000</v>
      </c>
      <c r="D604" s="808" t="s">
        <v>1749</v>
      </c>
      <c r="E604" s="808" t="s">
        <v>1749</v>
      </c>
      <c r="F604" s="808" t="s">
        <v>2000</v>
      </c>
      <c r="G604" s="808" t="s">
        <v>1990</v>
      </c>
      <c r="H604" s="808" t="s">
        <v>1991</v>
      </c>
      <c r="I604" s="808" t="s">
        <v>1992</v>
      </c>
      <c r="J604" s="810">
        <v>25200000</v>
      </c>
      <c r="K604" s="808" t="s">
        <v>1993</v>
      </c>
      <c r="L604" s="808" t="s">
        <v>1177</v>
      </c>
      <c r="M604" s="808" t="s">
        <v>1973</v>
      </c>
      <c r="N604" s="808" t="s">
        <v>1973</v>
      </c>
      <c r="O604" s="808" t="s">
        <v>2067</v>
      </c>
      <c r="P604" s="808" t="s">
        <v>1995</v>
      </c>
      <c r="Q604" s="808" t="s">
        <v>2002</v>
      </c>
    </row>
    <row r="605" spans="1:17" x14ac:dyDescent="0.25">
      <c r="A605" s="808" t="s">
        <v>1987</v>
      </c>
      <c r="B605" s="808" t="s">
        <v>2724</v>
      </c>
      <c r="C605" s="809">
        <v>45000000</v>
      </c>
      <c r="D605" s="808" t="s">
        <v>1749</v>
      </c>
      <c r="E605" s="808" t="s">
        <v>1749</v>
      </c>
      <c r="F605" s="808" t="s">
        <v>2000</v>
      </c>
      <c r="G605" s="808" t="s">
        <v>1990</v>
      </c>
      <c r="H605" s="808" t="s">
        <v>1991</v>
      </c>
      <c r="I605" s="808" t="s">
        <v>1992</v>
      </c>
      <c r="J605" s="810">
        <v>45000000</v>
      </c>
      <c r="K605" s="808" t="s">
        <v>1993</v>
      </c>
      <c r="L605" s="808" t="s">
        <v>1177</v>
      </c>
      <c r="M605" s="808" t="s">
        <v>1973</v>
      </c>
      <c r="N605" s="808" t="s">
        <v>1973</v>
      </c>
      <c r="O605" s="808" t="s">
        <v>2067</v>
      </c>
      <c r="P605" s="808" t="s">
        <v>1995</v>
      </c>
      <c r="Q605" s="808" t="s">
        <v>2002</v>
      </c>
    </row>
    <row r="606" spans="1:17" x14ac:dyDescent="0.25">
      <c r="A606" s="808" t="s">
        <v>1987</v>
      </c>
      <c r="B606" s="808" t="s">
        <v>2725</v>
      </c>
      <c r="C606" s="809">
        <v>42000000</v>
      </c>
      <c r="D606" s="808" t="s">
        <v>1749</v>
      </c>
      <c r="E606" s="808" t="s">
        <v>1749</v>
      </c>
      <c r="F606" s="808" t="s">
        <v>2000</v>
      </c>
      <c r="G606" s="808" t="s">
        <v>1990</v>
      </c>
      <c r="H606" s="808" t="s">
        <v>1991</v>
      </c>
      <c r="I606" s="808" t="s">
        <v>1992</v>
      </c>
      <c r="J606" s="810">
        <v>42000000</v>
      </c>
      <c r="K606" s="808" t="s">
        <v>1993</v>
      </c>
      <c r="L606" s="808" t="s">
        <v>1177</v>
      </c>
      <c r="M606" s="808" t="s">
        <v>1973</v>
      </c>
      <c r="N606" s="808" t="s">
        <v>1973</v>
      </c>
      <c r="O606" s="808" t="s">
        <v>2067</v>
      </c>
      <c r="P606" s="808" t="s">
        <v>1995</v>
      </c>
      <c r="Q606" s="808" t="s">
        <v>2002</v>
      </c>
    </row>
    <row r="607" spans="1:17" x14ac:dyDescent="0.25">
      <c r="A607" s="808" t="s">
        <v>1987</v>
      </c>
      <c r="B607" s="808" t="s">
        <v>2726</v>
      </c>
      <c r="C607" s="809">
        <v>42000000</v>
      </c>
      <c r="D607" s="808" t="s">
        <v>1749</v>
      </c>
      <c r="E607" s="808" t="s">
        <v>1749</v>
      </c>
      <c r="F607" s="808" t="s">
        <v>2000</v>
      </c>
      <c r="G607" s="808" t="s">
        <v>1990</v>
      </c>
      <c r="H607" s="808" t="s">
        <v>1991</v>
      </c>
      <c r="I607" s="808" t="s">
        <v>1992</v>
      </c>
      <c r="J607" s="810">
        <v>42000000</v>
      </c>
      <c r="K607" s="808" t="s">
        <v>1993</v>
      </c>
      <c r="L607" s="808" t="s">
        <v>1177</v>
      </c>
      <c r="M607" s="808" t="s">
        <v>1973</v>
      </c>
      <c r="N607" s="808" t="s">
        <v>1973</v>
      </c>
      <c r="O607" s="808" t="s">
        <v>2067</v>
      </c>
      <c r="P607" s="808" t="s">
        <v>1995</v>
      </c>
      <c r="Q607" s="808" t="s">
        <v>2002</v>
      </c>
    </row>
    <row r="608" spans="1:17" x14ac:dyDescent="0.25">
      <c r="A608" s="808" t="s">
        <v>1987</v>
      </c>
      <c r="B608" s="808" t="s">
        <v>2727</v>
      </c>
      <c r="C608" s="809">
        <v>24589800</v>
      </c>
      <c r="D608" s="808" t="s">
        <v>1750</v>
      </c>
      <c r="E608" s="808" t="s">
        <v>1757</v>
      </c>
      <c r="F608" s="808" t="s">
        <v>2000</v>
      </c>
      <c r="G608" s="808" t="s">
        <v>1990</v>
      </c>
      <c r="H608" s="808" t="s">
        <v>1991</v>
      </c>
      <c r="I608" s="808" t="s">
        <v>1992</v>
      </c>
      <c r="J608" s="810">
        <v>24589800</v>
      </c>
      <c r="K608" s="808" t="s">
        <v>1993</v>
      </c>
      <c r="L608" s="808" t="s">
        <v>1177</v>
      </c>
      <c r="M608" s="808" t="s">
        <v>1973</v>
      </c>
      <c r="N608" s="808" t="s">
        <v>1973</v>
      </c>
      <c r="O608" s="808" t="s">
        <v>2067</v>
      </c>
      <c r="P608" s="808" t="s">
        <v>1995</v>
      </c>
      <c r="Q608" s="808" t="s">
        <v>2002</v>
      </c>
    </row>
    <row r="609" spans="1:17" x14ac:dyDescent="0.25">
      <c r="A609" s="808" t="s">
        <v>1987</v>
      </c>
      <c r="B609" s="808" t="s">
        <v>2728</v>
      </c>
      <c r="C609" s="809">
        <v>42000000</v>
      </c>
      <c r="D609" s="808" t="s">
        <v>1749</v>
      </c>
      <c r="E609" s="808" t="s">
        <v>1749</v>
      </c>
      <c r="F609" s="808" t="s">
        <v>2000</v>
      </c>
      <c r="G609" s="808" t="s">
        <v>1990</v>
      </c>
      <c r="H609" s="808" t="s">
        <v>1991</v>
      </c>
      <c r="I609" s="808" t="s">
        <v>1992</v>
      </c>
      <c r="J609" s="810">
        <v>42000000</v>
      </c>
      <c r="K609" s="808" t="s">
        <v>1993</v>
      </c>
      <c r="L609" s="808" t="s">
        <v>1177</v>
      </c>
      <c r="M609" s="808" t="s">
        <v>1973</v>
      </c>
      <c r="N609" s="808" t="s">
        <v>1973</v>
      </c>
      <c r="O609" s="808" t="s">
        <v>2067</v>
      </c>
      <c r="P609" s="808" t="s">
        <v>1995</v>
      </c>
      <c r="Q609" s="808" t="s">
        <v>2002</v>
      </c>
    </row>
    <row r="610" spans="1:17" x14ac:dyDescent="0.25">
      <c r="A610" s="808" t="s">
        <v>1987</v>
      </c>
      <c r="B610" s="808" t="s">
        <v>2729</v>
      </c>
      <c r="C610" s="809">
        <v>90000000</v>
      </c>
      <c r="D610" s="808" t="s">
        <v>1749</v>
      </c>
      <c r="E610" s="808" t="s">
        <v>1749</v>
      </c>
      <c r="F610" s="808" t="s">
        <v>2000</v>
      </c>
      <c r="G610" s="808" t="s">
        <v>1990</v>
      </c>
      <c r="H610" s="808" t="s">
        <v>1991</v>
      </c>
      <c r="I610" s="808" t="s">
        <v>1992</v>
      </c>
      <c r="J610" s="810">
        <v>90000000</v>
      </c>
      <c r="K610" s="808" t="s">
        <v>1993</v>
      </c>
      <c r="L610" s="808" t="s">
        <v>1177</v>
      </c>
      <c r="M610" s="808" t="s">
        <v>1973</v>
      </c>
      <c r="N610" s="808" t="s">
        <v>1973</v>
      </c>
      <c r="O610" s="808" t="s">
        <v>2067</v>
      </c>
      <c r="P610" s="808" t="s">
        <v>1995</v>
      </c>
      <c r="Q610" s="808" t="s">
        <v>2002</v>
      </c>
    </row>
    <row r="611" spans="1:17" x14ac:dyDescent="0.25">
      <c r="A611" s="808" t="s">
        <v>1987</v>
      </c>
      <c r="B611" s="808" t="s">
        <v>2730</v>
      </c>
      <c r="C611" s="809">
        <v>90000000</v>
      </c>
      <c r="D611" s="808" t="s">
        <v>1749</v>
      </c>
      <c r="E611" s="808" t="s">
        <v>1749</v>
      </c>
      <c r="F611" s="808" t="s">
        <v>2000</v>
      </c>
      <c r="G611" s="808" t="s">
        <v>1990</v>
      </c>
      <c r="H611" s="808" t="s">
        <v>1991</v>
      </c>
      <c r="I611" s="808" t="s">
        <v>1992</v>
      </c>
      <c r="J611" s="810">
        <v>90000000</v>
      </c>
      <c r="K611" s="808" t="s">
        <v>1993</v>
      </c>
      <c r="L611" s="808" t="s">
        <v>1177</v>
      </c>
      <c r="M611" s="808" t="s">
        <v>1973</v>
      </c>
      <c r="N611" s="808" t="s">
        <v>1973</v>
      </c>
      <c r="O611" s="808" t="s">
        <v>2067</v>
      </c>
      <c r="P611" s="808" t="s">
        <v>1995</v>
      </c>
      <c r="Q611" s="808" t="s">
        <v>2002</v>
      </c>
    </row>
    <row r="612" spans="1:17" x14ac:dyDescent="0.25">
      <c r="A612" s="808" t="s">
        <v>1987</v>
      </c>
      <c r="B612" s="808" t="s">
        <v>2731</v>
      </c>
      <c r="C612" s="809">
        <v>26100000</v>
      </c>
      <c r="D612" s="808" t="s">
        <v>1749</v>
      </c>
      <c r="E612" s="808" t="s">
        <v>1749</v>
      </c>
      <c r="F612" s="808" t="s">
        <v>2004</v>
      </c>
      <c r="G612" s="808" t="s">
        <v>1990</v>
      </c>
      <c r="H612" s="808" t="s">
        <v>1991</v>
      </c>
      <c r="I612" s="808" t="s">
        <v>1992</v>
      </c>
      <c r="J612" s="810">
        <v>26100000</v>
      </c>
      <c r="K612" s="808" t="s">
        <v>1993</v>
      </c>
      <c r="L612" s="808" t="s">
        <v>1177</v>
      </c>
      <c r="M612" s="808" t="s">
        <v>1973</v>
      </c>
      <c r="N612" s="808" t="s">
        <v>1973</v>
      </c>
      <c r="O612" s="808" t="s">
        <v>2019</v>
      </c>
      <c r="P612" s="808" t="s">
        <v>1995</v>
      </c>
      <c r="Q612" s="808" t="s">
        <v>2020</v>
      </c>
    </row>
    <row r="613" spans="1:17" x14ac:dyDescent="0.25">
      <c r="A613" s="808" t="s">
        <v>1987</v>
      </c>
      <c r="B613" s="808" t="s">
        <v>2732</v>
      </c>
      <c r="C613" s="809">
        <v>44972037</v>
      </c>
      <c r="D613" s="808" t="s">
        <v>1749</v>
      </c>
      <c r="E613" s="808" t="s">
        <v>1749</v>
      </c>
      <c r="F613" s="808" t="s">
        <v>2004</v>
      </c>
      <c r="G613" s="808" t="s">
        <v>1990</v>
      </c>
      <c r="H613" s="808" t="s">
        <v>1991</v>
      </c>
      <c r="I613" s="808" t="s">
        <v>1992</v>
      </c>
      <c r="J613" s="810">
        <v>44972037</v>
      </c>
      <c r="K613" s="808" t="s">
        <v>1993</v>
      </c>
      <c r="L613" s="808" t="s">
        <v>1177</v>
      </c>
      <c r="M613" s="808" t="s">
        <v>1973</v>
      </c>
      <c r="N613" s="808" t="s">
        <v>1973</v>
      </c>
      <c r="O613" s="808" t="s">
        <v>2019</v>
      </c>
      <c r="P613" s="808" t="s">
        <v>1995</v>
      </c>
      <c r="Q613" s="808" t="s">
        <v>2020</v>
      </c>
    </row>
    <row r="614" spans="1:17" x14ac:dyDescent="0.25">
      <c r="A614" s="808" t="s">
        <v>1987</v>
      </c>
      <c r="B614" s="808" t="s">
        <v>2733</v>
      </c>
      <c r="C614" s="809">
        <v>50150000</v>
      </c>
      <c r="D614" s="808" t="s">
        <v>1866</v>
      </c>
      <c r="E614" s="808" t="s">
        <v>1866</v>
      </c>
      <c r="F614" s="808" t="s">
        <v>1989</v>
      </c>
      <c r="G614" s="808" t="s">
        <v>1990</v>
      </c>
      <c r="H614" s="808" t="s">
        <v>1991</v>
      </c>
      <c r="I614" s="808" t="s">
        <v>1992</v>
      </c>
      <c r="J614" s="810">
        <v>50150000</v>
      </c>
      <c r="K614" s="808" t="s">
        <v>1993</v>
      </c>
      <c r="L614" s="808" t="s">
        <v>1177</v>
      </c>
      <c r="M614" s="808" t="s">
        <v>1973</v>
      </c>
      <c r="N614" s="808" t="s">
        <v>1973</v>
      </c>
      <c r="O614" s="808" t="s">
        <v>2024</v>
      </c>
      <c r="P614" s="808" t="s">
        <v>1995</v>
      </c>
      <c r="Q614" s="808" t="s">
        <v>1996</v>
      </c>
    </row>
    <row r="615" spans="1:17" x14ac:dyDescent="0.25">
      <c r="A615" s="808" t="s">
        <v>1987</v>
      </c>
      <c r="B615" s="808" t="s">
        <v>2734</v>
      </c>
      <c r="C615" s="809">
        <v>50150000</v>
      </c>
      <c r="D615" s="808" t="s">
        <v>1866</v>
      </c>
      <c r="E615" s="808" t="s">
        <v>1866</v>
      </c>
      <c r="F615" s="808" t="s">
        <v>1989</v>
      </c>
      <c r="G615" s="808" t="s">
        <v>1990</v>
      </c>
      <c r="H615" s="808" t="s">
        <v>1991</v>
      </c>
      <c r="I615" s="808" t="s">
        <v>1992</v>
      </c>
      <c r="J615" s="810">
        <v>50150000</v>
      </c>
      <c r="K615" s="808" t="s">
        <v>1993</v>
      </c>
      <c r="L615" s="808" t="s">
        <v>1177</v>
      </c>
      <c r="M615" s="808" t="s">
        <v>1973</v>
      </c>
      <c r="N615" s="808" t="s">
        <v>1973</v>
      </c>
      <c r="O615" s="808" t="s">
        <v>2024</v>
      </c>
      <c r="P615" s="808" t="s">
        <v>1995</v>
      </c>
      <c r="Q615" s="808" t="s">
        <v>1996</v>
      </c>
    </row>
    <row r="616" spans="1:17" x14ac:dyDescent="0.25">
      <c r="A616" s="808" t="s">
        <v>1987</v>
      </c>
      <c r="B616" s="808" t="s">
        <v>2735</v>
      </c>
      <c r="C616" s="809">
        <v>33000000</v>
      </c>
      <c r="D616" s="808" t="s">
        <v>1866</v>
      </c>
      <c r="E616" s="808" t="s">
        <v>1866</v>
      </c>
      <c r="F616" s="808" t="s">
        <v>1989</v>
      </c>
      <c r="G616" s="808" t="s">
        <v>1990</v>
      </c>
      <c r="H616" s="808" t="s">
        <v>1991</v>
      </c>
      <c r="I616" s="808" t="s">
        <v>1992</v>
      </c>
      <c r="J616" s="810">
        <v>33000000</v>
      </c>
      <c r="K616" s="808" t="s">
        <v>1993</v>
      </c>
      <c r="L616" s="808" t="s">
        <v>1177</v>
      </c>
      <c r="M616" s="808" t="s">
        <v>1973</v>
      </c>
      <c r="N616" s="808" t="s">
        <v>1973</v>
      </c>
      <c r="O616" s="808" t="s">
        <v>2024</v>
      </c>
      <c r="P616" s="808" t="s">
        <v>1995</v>
      </c>
      <c r="Q616" s="808" t="s">
        <v>1996</v>
      </c>
    </row>
    <row r="617" spans="1:17" x14ac:dyDescent="0.25">
      <c r="A617" s="808" t="s">
        <v>1987</v>
      </c>
      <c r="B617" s="808" t="s">
        <v>2736</v>
      </c>
      <c r="C617" s="809">
        <v>33000000</v>
      </c>
      <c r="D617" s="808" t="s">
        <v>1866</v>
      </c>
      <c r="E617" s="808" t="s">
        <v>1866</v>
      </c>
      <c r="F617" s="808" t="s">
        <v>1989</v>
      </c>
      <c r="G617" s="808" t="s">
        <v>1990</v>
      </c>
      <c r="H617" s="808" t="s">
        <v>1991</v>
      </c>
      <c r="I617" s="808" t="s">
        <v>1992</v>
      </c>
      <c r="J617" s="810">
        <v>33000000</v>
      </c>
      <c r="K617" s="808" t="s">
        <v>1993</v>
      </c>
      <c r="L617" s="808" t="s">
        <v>1177</v>
      </c>
      <c r="M617" s="808" t="s">
        <v>1973</v>
      </c>
      <c r="N617" s="808" t="s">
        <v>1973</v>
      </c>
      <c r="O617" s="808" t="s">
        <v>2024</v>
      </c>
      <c r="P617" s="808" t="s">
        <v>1995</v>
      </c>
      <c r="Q617" s="808" t="s">
        <v>1996</v>
      </c>
    </row>
    <row r="618" spans="1:17" x14ac:dyDescent="0.25">
      <c r="A618" s="808" t="s">
        <v>1987</v>
      </c>
      <c r="B618" s="808" t="s">
        <v>2737</v>
      </c>
      <c r="C618" s="809">
        <v>53100000</v>
      </c>
      <c r="D618" s="808" t="s">
        <v>1866</v>
      </c>
      <c r="E618" s="808" t="s">
        <v>1866</v>
      </c>
      <c r="F618" s="808" t="s">
        <v>1989</v>
      </c>
      <c r="G618" s="808" t="s">
        <v>1990</v>
      </c>
      <c r="H618" s="808" t="s">
        <v>1991</v>
      </c>
      <c r="I618" s="808" t="s">
        <v>1992</v>
      </c>
      <c r="J618" s="810">
        <v>53100000</v>
      </c>
      <c r="K618" s="808" t="s">
        <v>1993</v>
      </c>
      <c r="L618" s="808" t="s">
        <v>1177</v>
      </c>
      <c r="M618" s="808" t="s">
        <v>1973</v>
      </c>
      <c r="N618" s="808" t="s">
        <v>1973</v>
      </c>
      <c r="O618" s="808" t="s">
        <v>2024</v>
      </c>
      <c r="P618" s="808" t="s">
        <v>1995</v>
      </c>
      <c r="Q618" s="808" t="s">
        <v>1996</v>
      </c>
    </row>
    <row r="619" spans="1:17" x14ac:dyDescent="0.25">
      <c r="A619" s="808" t="s">
        <v>1987</v>
      </c>
      <c r="B619" s="808" t="s">
        <v>2738</v>
      </c>
      <c r="C619" s="809">
        <v>32400000</v>
      </c>
      <c r="D619" s="808" t="s">
        <v>1866</v>
      </c>
      <c r="E619" s="808" t="s">
        <v>1866</v>
      </c>
      <c r="F619" s="808" t="s">
        <v>1989</v>
      </c>
      <c r="G619" s="808" t="s">
        <v>1990</v>
      </c>
      <c r="H619" s="808" t="s">
        <v>1991</v>
      </c>
      <c r="I619" s="808" t="s">
        <v>1992</v>
      </c>
      <c r="J619" s="810">
        <v>32400000</v>
      </c>
      <c r="K619" s="808" t="s">
        <v>1993</v>
      </c>
      <c r="L619" s="808" t="s">
        <v>1177</v>
      </c>
      <c r="M619" s="808" t="s">
        <v>1973</v>
      </c>
      <c r="N619" s="808" t="s">
        <v>1973</v>
      </c>
      <c r="O619" s="808" t="s">
        <v>2024</v>
      </c>
      <c r="P619" s="808" t="s">
        <v>1995</v>
      </c>
      <c r="Q619" s="808" t="s">
        <v>1996</v>
      </c>
    </row>
    <row r="620" spans="1:17" x14ac:dyDescent="0.25">
      <c r="A620" s="808" t="s">
        <v>1987</v>
      </c>
      <c r="B620" s="808" t="s">
        <v>2739</v>
      </c>
      <c r="C620" s="809">
        <v>36000000</v>
      </c>
      <c r="D620" s="808" t="s">
        <v>1866</v>
      </c>
      <c r="E620" s="808" t="s">
        <v>1866</v>
      </c>
      <c r="F620" s="808" t="s">
        <v>1989</v>
      </c>
      <c r="G620" s="808" t="s">
        <v>1990</v>
      </c>
      <c r="H620" s="808" t="s">
        <v>1991</v>
      </c>
      <c r="I620" s="808" t="s">
        <v>1992</v>
      </c>
      <c r="J620" s="810">
        <v>36000000</v>
      </c>
      <c r="K620" s="808" t="s">
        <v>1993</v>
      </c>
      <c r="L620" s="808" t="s">
        <v>1177</v>
      </c>
      <c r="M620" s="808" t="s">
        <v>1973</v>
      </c>
      <c r="N620" s="808" t="s">
        <v>1973</v>
      </c>
      <c r="O620" s="808" t="s">
        <v>2024</v>
      </c>
      <c r="P620" s="808" t="s">
        <v>1995</v>
      </c>
      <c r="Q620" s="808" t="s">
        <v>1996</v>
      </c>
    </row>
    <row r="621" spans="1:17" x14ac:dyDescent="0.25">
      <c r="A621" s="808" t="s">
        <v>1987</v>
      </c>
      <c r="B621" s="808" t="s">
        <v>2740</v>
      </c>
      <c r="C621" s="809">
        <v>21804624</v>
      </c>
      <c r="D621" s="808" t="s">
        <v>1753</v>
      </c>
      <c r="E621" s="808" t="s">
        <v>1753</v>
      </c>
      <c r="F621" s="808" t="s">
        <v>2337</v>
      </c>
      <c r="G621" s="808" t="s">
        <v>1990</v>
      </c>
      <c r="H621" s="808" t="s">
        <v>1991</v>
      </c>
      <c r="I621" s="808" t="s">
        <v>1992</v>
      </c>
      <c r="J621" s="810">
        <v>21804624</v>
      </c>
      <c r="K621" s="808" t="s">
        <v>1993</v>
      </c>
      <c r="L621" s="808" t="s">
        <v>1177</v>
      </c>
      <c r="M621" s="808" t="s">
        <v>1973</v>
      </c>
      <c r="N621" s="808" t="s">
        <v>1973</v>
      </c>
      <c r="O621" s="808" t="s">
        <v>2472</v>
      </c>
      <c r="P621" s="808" t="s">
        <v>1995</v>
      </c>
      <c r="Q621" s="808" t="s">
        <v>2062</v>
      </c>
    </row>
    <row r="622" spans="1:17" x14ac:dyDescent="0.25">
      <c r="A622" s="808" t="s">
        <v>1987</v>
      </c>
      <c r="B622" s="808" t="s">
        <v>2741</v>
      </c>
      <c r="C622" s="809">
        <v>85250000</v>
      </c>
      <c r="D622" s="808" t="s">
        <v>1743</v>
      </c>
      <c r="E622" s="808" t="s">
        <v>1743</v>
      </c>
      <c r="F622" s="808" t="s">
        <v>2027</v>
      </c>
      <c r="G622" s="808" t="s">
        <v>1990</v>
      </c>
      <c r="H622" s="808" t="s">
        <v>1991</v>
      </c>
      <c r="I622" s="808" t="s">
        <v>1992</v>
      </c>
      <c r="J622" s="810">
        <v>85250000</v>
      </c>
      <c r="K622" s="808" t="s">
        <v>1993</v>
      </c>
      <c r="L622" s="808" t="s">
        <v>1177</v>
      </c>
      <c r="M622" s="808" t="s">
        <v>1973</v>
      </c>
      <c r="N622" s="808" t="s">
        <v>1973</v>
      </c>
      <c r="O622" s="808" t="s">
        <v>2019</v>
      </c>
      <c r="P622" s="808" t="s">
        <v>1995</v>
      </c>
      <c r="Q622" s="808" t="s">
        <v>2020</v>
      </c>
    </row>
    <row r="623" spans="1:17" x14ac:dyDescent="0.25">
      <c r="A623" s="808" t="s">
        <v>1987</v>
      </c>
      <c r="B623" s="808" t="s">
        <v>2742</v>
      </c>
      <c r="C623" s="809">
        <v>58300000</v>
      </c>
      <c r="D623" s="808" t="s">
        <v>1866</v>
      </c>
      <c r="E623" s="808" t="s">
        <v>1866</v>
      </c>
      <c r="F623" s="808" t="s">
        <v>2027</v>
      </c>
      <c r="G623" s="808" t="s">
        <v>1990</v>
      </c>
      <c r="H623" s="808" t="s">
        <v>1991</v>
      </c>
      <c r="I623" s="808" t="s">
        <v>1992</v>
      </c>
      <c r="J623" s="810">
        <v>58300000</v>
      </c>
      <c r="K623" s="808" t="s">
        <v>1993</v>
      </c>
      <c r="L623" s="808" t="s">
        <v>1177</v>
      </c>
      <c r="M623" s="808" t="s">
        <v>1973</v>
      </c>
      <c r="N623" s="808" t="s">
        <v>1973</v>
      </c>
      <c r="O623" s="808" t="s">
        <v>2097</v>
      </c>
      <c r="P623" s="808" t="s">
        <v>2098</v>
      </c>
      <c r="Q623" s="808" t="s">
        <v>1996</v>
      </c>
    </row>
    <row r="624" spans="1:17" x14ac:dyDescent="0.25">
      <c r="A624" s="808" t="s">
        <v>1987</v>
      </c>
      <c r="B624" s="808" t="s">
        <v>2743</v>
      </c>
      <c r="C624" s="809">
        <v>54712000</v>
      </c>
      <c r="D624" s="808" t="s">
        <v>1753</v>
      </c>
      <c r="E624" s="808" t="s">
        <v>1753</v>
      </c>
      <c r="F624" s="808" t="s">
        <v>2027</v>
      </c>
      <c r="G624" s="808" t="s">
        <v>1990</v>
      </c>
      <c r="H624" s="808" t="s">
        <v>1991</v>
      </c>
      <c r="I624" s="808" t="s">
        <v>1992</v>
      </c>
      <c r="J624" s="810">
        <v>54712000</v>
      </c>
      <c r="K624" s="808" t="s">
        <v>1993</v>
      </c>
      <c r="L624" s="808" t="s">
        <v>1177</v>
      </c>
      <c r="M624" s="808" t="s">
        <v>1973</v>
      </c>
      <c r="N624" s="808" t="s">
        <v>1973</v>
      </c>
      <c r="O624" s="808" t="s">
        <v>2097</v>
      </c>
      <c r="P624" s="808" t="s">
        <v>2744</v>
      </c>
      <c r="Q624" s="808" t="s">
        <v>1996</v>
      </c>
    </row>
    <row r="625" spans="1:17" x14ac:dyDescent="0.25">
      <c r="A625" s="808" t="s">
        <v>1987</v>
      </c>
      <c r="B625" s="808" t="s">
        <v>2745</v>
      </c>
      <c r="C625" s="809">
        <v>82133333</v>
      </c>
      <c r="D625" s="808" t="s">
        <v>1753</v>
      </c>
      <c r="E625" s="808" t="s">
        <v>1753</v>
      </c>
      <c r="F625" s="808" t="s">
        <v>2027</v>
      </c>
      <c r="G625" s="808" t="s">
        <v>1990</v>
      </c>
      <c r="H625" s="808" t="s">
        <v>1991</v>
      </c>
      <c r="I625" s="808" t="s">
        <v>1992</v>
      </c>
      <c r="J625" s="810">
        <v>82133333</v>
      </c>
      <c r="K625" s="808" t="s">
        <v>1993</v>
      </c>
      <c r="L625" s="808" t="s">
        <v>1177</v>
      </c>
      <c r="M625" s="808" t="s">
        <v>1973</v>
      </c>
      <c r="N625" s="808" t="s">
        <v>1973</v>
      </c>
      <c r="O625" s="808" t="s">
        <v>2042</v>
      </c>
      <c r="P625" s="808" t="s">
        <v>1995</v>
      </c>
      <c r="Q625" s="808" t="s">
        <v>2043</v>
      </c>
    </row>
    <row r="626" spans="1:17" x14ac:dyDescent="0.25">
      <c r="A626" s="808" t="s">
        <v>1987</v>
      </c>
      <c r="B626" s="808" t="s">
        <v>2746</v>
      </c>
      <c r="C626" s="809">
        <v>82500000</v>
      </c>
      <c r="D626" s="808" t="s">
        <v>1743</v>
      </c>
      <c r="E626" s="808" t="s">
        <v>1743</v>
      </c>
      <c r="F626" s="808" t="s">
        <v>2027</v>
      </c>
      <c r="G626" s="808" t="s">
        <v>1990</v>
      </c>
      <c r="H626" s="808" t="s">
        <v>1991</v>
      </c>
      <c r="I626" s="808" t="s">
        <v>1992</v>
      </c>
      <c r="J626" s="810">
        <v>82500000</v>
      </c>
      <c r="K626" s="808" t="s">
        <v>1993</v>
      </c>
      <c r="L626" s="808" t="s">
        <v>1177</v>
      </c>
      <c r="M626" s="808" t="s">
        <v>1973</v>
      </c>
      <c r="N626" s="808" t="s">
        <v>1973</v>
      </c>
      <c r="O626" s="808" t="s">
        <v>2042</v>
      </c>
      <c r="P626" s="808" t="s">
        <v>1995</v>
      </c>
      <c r="Q626" s="808" t="s">
        <v>2043</v>
      </c>
    </row>
    <row r="627" spans="1:17" x14ac:dyDescent="0.25">
      <c r="A627" s="808" t="s">
        <v>1987</v>
      </c>
      <c r="B627" s="808" t="s">
        <v>2747</v>
      </c>
      <c r="C627" s="809">
        <v>54965093</v>
      </c>
      <c r="D627" s="808" t="s">
        <v>1753</v>
      </c>
      <c r="E627" s="808" t="s">
        <v>1753</v>
      </c>
      <c r="F627" s="808" t="s">
        <v>2023</v>
      </c>
      <c r="G627" s="808" t="s">
        <v>1990</v>
      </c>
      <c r="H627" s="808" t="s">
        <v>1991</v>
      </c>
      <c r="I627" s="808" t="s">
        <v>1992</v>
      </c>
      <c r="J627" s="810">
        <v>54965093</v>
      </c>
      <c r="K627" s="808" t="s">
        <v>1993</v>
      </c>
      <c r="L627" s="808" t="s">
        <v>1177</v>
      </c>
      <c r="M627" s="808" t="s">
        <v>1973</v>
      </c>
      <c r="N627" s="808" t="s">
        <v>1973</v>
      </c>
      <c r="O627" s="808" t="s">
        <v>2042</v>
      </c>
      <c r="P627" s="808" t="s">
        <v>1995</v>
      </c>
      <c r="Q627" s="808" t="s">
        <v>2043</v>
      </c>
    </row>
    <row r="628" spans="1:17" x14ac:dyDescent="0.25">
      <c r="A628" s="808" t="s">
        <v>1987</v>
      </c>
      <c r="B628" s="808" t="s">
        <v>2748</v>
      </c>
      <c r="C628" s="809">
        <v>24000000</v>
      </c>
      <c r="D628" s="808" t="s">
        <v>1753</v>
      </c>
      <c r="E628" s="808" t="s">
        <v>1753</v>
      </c>
      <c r="F628" s="808" t="s">
        <v>2056</v>
      </c>
      <c r="G628" s="808" t="s">
        <v>1990</v>
      </c>
      <c r="H628" s="808" t="s">
        <v>1991</v>
      </c>
      <c r="I628" s="808" t="s">
        <v>1992</v>
      </c>
      <c r="J628" s="810">
        <v>24000000</v>
      </c>
      <c r="K628" s="808" t="s">
        <v>1993</v>
      </c>
      <c r="L628" s="808" t="s">
        <v>1177</v>
      </c>
      <c r="M628" s="808" t="s">
        <v>1973</v>
      </c>
      <c r="N628" s="808" t="s">
        <v>1973</v>
      </c>
      <c r="O628" s="808" t="s">
        <v>2042</v>
      </c>
      <c r="P628" s="808" t="s">
        <v>1995</v>
      </c>
      <c r="Q628" s="808" t="s">
        <v>2043</v>
      </c>
    </row>
    <row r="629" spans="1:17" x14ac:dyDescent="0.25">
      <c r="A629" s="808" t="s">
        <v>1987</v>
      </c>
      <c r="B629" s="808" t="s">
        <v>2749</v>
      </c>
      <c r="C629" s="809">
        <v>12000000</v>
      </c>
      <c r="D629" s="808" t="s">
        <v>1753</v>
      </c>
      <c r="E629" s="808" t="s">
        <v>1753</v>
      </c>
      <c r="F629" s="808" t="s">
        <v>2056</v>
      </c>
      <c r="G629" s="808" t="s">
        <v>1990</v>
      </c>
      <c r="H629" s="808" t="s">
        <v>1991</v>
      </c>
      <c r="I629" s="808" t="s">
        <v>1992</v>
      </c>
      <c r="J629" s="810">
        <v>12000000</v>
      </c>
      <c r="K629" s="808" t="s">
        <v>1993</v>
      </c>
      <c r="L629" s="808" t="s">
        <v>1177</v>
      </c>
      <c r="M629" s="808" t="s">
        <v>1973</v>
      </c>
      <c r="N629" s="808" t="s">
        <v>1973</v>
      </c>
      <c r="O629" s="808" t="s">
        <v>2042</v>
      </c>
      <c r="P629" s="808" t="s">
        <v>1995</v>
      </c>
      <c r="Q629" s="808" t="s">
        <v>2043</v>
      </c>
    </row>
    <row r="630" spans="1:17" x14ac:dyDescent="0.25">
      <c r="A630" s="808" t="s">
        <v>1987</v>
      </c>
      <c r="B630" s="808" t="s">
        <v>2750</v>
      </c>
      <c r="C630" s="809">
        <v>26100000</v>
      </c>
      <c r="D630" s="808" t="s">
        <v>1773</v>
      </c>
      <c r="E630" s="808" t="s">
        <v>1773</v>
      </c>
      <c r="F630" s="808" t="s">
        <v>2077</v>
      </c>
      <c r="G630" s="808" t="s">
        <v>1990</v>
      </c>
      <c r="H630" s="808" t="s">
        <v>1991</v>
      </c>
      <c r="I630" s="808" t="s">
        <v>1992</v>
      </c>
      <c r="J630" s="810">
        <v>26100000</v>
      </c>
      <c r="K630" s="808" t="s">
        <v>1993</v>
      </c>
      <c r="L630" s="808" t="s">
        <v>1177</v>
      </c>
      <c r="M630" s="808" t="s">
        <v>1973</v>
      </c>
      <c r="N630" s="808" t="s">
        <v>1973</v>
      </c>
      <c r="O630" s="808" t="s">
        <v>2005</v>
      </c>
      <c r="P630" s="808" t="s">
        <v>1995</v>
      </c>
      <c r="Q630" s="808" t="s">
        <v>2006</v>
      </c>
    </row>
    <row r="631" spans="1:17" x14ac:dyDescent="0.25">
      <c r="A631" s="808" t="s">
        <v>1987</v>
      </c>
      <c r="B631" s="808" t="s">
        <v>2751</v>
      </c>
      <c r="C631" s="809">
        <v>44962500</v>
      </c>
      <c r="D631" s="808" t="s">
        <v>1758</v>
      </c>
      <c r="E631" s="808" t="s">
        <v>1758</v>
      </c>
      <c r="F631" s="808" t="s">
        <v>2000</v>
      </c>
      <c r="G631" s="808" t="s">
        <v>1990</v>
      </c>
      <c r="H631" s="808" t="s">
        <v>1991</v>
      </c>
      <c r="I631" s="808" t="s">
        <v>1992</v>
      </c>
      <c r="J631" s="810">
        <v>44962500</v>
      </c>
      <c r="K631" s="808" t="s">
        <v>1993</v>
      </c>
      <c r="L631" s="808" t="s">
        <v>1177</v>
      </c>
      <c r="M631" s="808" t="s">
        <v>1973</v>
      </c>
      <c r="N631" s="808" t="s">
        <v>1973</v>
      </c>
      <c r="O631" s="808" t="s">
        <v>2005</v>
      </c>
      <c r="P631" s="808" t="s">
        <v>1995</v>
      </c>
      <c r="Q631" s="808" t="s">
        <v>2006</v>
      </c>
    </row>
    <row r="632" spans="1:17" x14ac:dyDescent="0.25">
      <c r="A632" s="808" t="s">
        <v>1987</v>
      </c>
      <c r="B632" s="808" t="s">
        <v>2752</v>
      </c>
      <c r="C632" s="809">
        <v>21725000</v>
      </c>
      <c r="D632" s="808" t="s">
        <v>1758</v>
      </c>
      <c r="E632" s="808" t="s">
        <v>1758</v>
      </c>
      <c r="F632" s="808" t="s">
        <v>2000</v>
      </c>
      <c r="G632" s="808" t="s">
        <v>1990</v>
      </c>
      <c r="H632" s="808" t="s">
        <v>1991</v>
      </c>
      <c r="I632" s="808" t="s">
        <v>1992</v>
      </c>
      <c r="J632" s="810">
        <v>21725000</v>
      </c>
      <c r="K632" s="808" t="s">
        <v>1993</v>
      </c>
      <c r="L632" s="808" t="s">
        <v>1177</v>
      </c>
      <c r="M632" s="808" t="s">
        <v>1973</v>
      </c>
      <c r="N632" s="808" t="s">
        <v>1973</v>
      </c>
      <c r="O632" s="808" t="s">
        <v>2005</v>
      </c>
      <c r="P632" s="808" t="s">
        <v>1995</v>
      </c>
      <c r="Q632" s="808" t="s">
        <v>2006</v>
      </c>
    </row>
    <row r="633" spans="1:17" x14ac:dyDescent="0.25">
      <c r="A633" s="808" t="s">
        <v>1987</v>
      </c>
      <c r="B633" s="808" t="s">
        <v>2753</v>
      </c>
      <c r="C633" s="809">
        <v>51129000</v>
      </c>
      <c r="D633" s="808" t="s">
        <v>1773</v>
      </c>
      <c r="E633" s="808" t="s">
        <v>1773</v>
      </c>
      <c r="F633" s="808" t="s">
        <v>2077</v>
      </c>
      <c r="G633" s="808" t="s">
        <v>1990</v>
      </c>
      <c r="H633" s="808" t="s">
        <v>1991</v>
      </c>
      <c r="I633" s="808" t="s">
        <v>1992</v>
      </c>
      <c r="J633" s="810">
        <v>51129000</v>
      </c>
      <c r="K633" s="808" t="s">
        <v>1993</v>
      </c>
      <c r="L633" s="808" t="s">
        <v>1177</v>
      </c>
      <c r="M633" s="808" t="s">
        <v>1973</v>
      </c>
      <c r="N633" s="808" t="s">
        <v>1973</v>
      </c>
      <c r="O633" s="808" t="s">
        <v>2005</v>
      </c>
      <c r="P633" s="808" t="s">
        <v>1995</v>
      </c>
      <c r="Q633" s="808" t="s">
        <v>2006</v>
      </c>
    </row>
    <row r="634" spans="1:17" x14ac:dyDescent="0.25">
      <c r="A634" s="808" t="s">
        <v>1987</v>
      </c>
      <c r="B634" s="808" t="s">
        <v>2754</v>
      </c>
      <c r="C634" s="809">
        <v>39270000</v>
      </c>
      <c r="D634" s="808" t="s">
        <v>1758</v>
      </c>
      <c r="E634" s="808" t="s">
        <v>1758</v>
      </c>
      <c r="F634" s="808" t="s">
        <v>2000</v>
      </c>
      <c r="G634" s="808" t="s">
        <v>1990</v>
      </c>
      <c r="H634" s="808" t="s">
        <v>1991</v>
      </c>
      <c r="I634" s="808" t="s">
        <v>1992</v>
      </c>
      <c r="J634" s="810">
        <v>39270000</v>
      </c>
      <c r="K634" s="808" t="s">
        <v>1993</v>
      </c>
      <c r="L634" s="808" t="s">
        <v>1177</v>
      </c>
      <c r="M634" s="808" t="s">
        <v>1973</v>
      </c>
      <c r="N634" s="808" t="s">
        <v>1973</v>
      </c>
      <c r="O634" s="808" t="s">
        <v>2005</v>
      </c>
      <c r="P634" s="808" t="s">
        <v>1995</v>
      </c>
      <c r="Q634" s="808" t="s">
        <v>2006</v>
      </c>
    </row>
    <row r="635" spans="1:17" x14ac:dyDescent="0.25">
      <c r="A635" s="808" t="s">
        <v>1987</v>
      </c>
      <c r="B635" s="808" t="s">
        <v>2755</v>
      </c>
      <c r="C635" s="809">
        <v>12300000</v>
      </c>
      <c r="D635" s="808" t="s">
        <v>2499</v>
      </c>
      <c r="E635" s="808" t="s">
        <v>2499</v>
      </c>
      <c r="F635" s="808" t="s">
        <v>2337</v>
      </c>
      <c r="G635" s="808" t="s">
        <v>1990</v>
      </c>
      <c r="H635" s="808" t="s">
        <v>1991</v>
      </c>
      <c r="I635" s="808" t="s">
        <v>1992</v>
      </c>
      <c r="J635" s="810">
        <v>12300000</v>
      </c>
      <c r="K635" s="808" t="s">
        <v>1993</v>
      </c>
      <c r="L635" s="808" t="s">
        <v>1177</v>
      </c>
      <c r="M635" s="808" t="s">
        <v>1973</v>
      </c>
      <c r="N635" s="808" t="s">
        <v>1973</v>
      </c>
      <c r="O635" s="808" t="s">
        <v>2005</v>
      </c>
      <c r="P635" s="808" t="s">
        <v>1995</v>
      </c>
      <c r="Q635" s="808" t="s">
        <v>2006</v>
      </c>
    </row>
    <row r="636" spans="1:17" x14ac:dyDescent="0.25">
      <c r="A636" s="808" t="s">
        <v>1987</v>
      </c>
      <c r="B636" s="808" t="s">
        <v>2756</v>
      </c>
      <c r="C636" s="809">
        <v>16400000</v>
      </c>
      <c r="D636" s="808" t="s">
        <v>1762</v>
      </c>
      <c r="E636" s="808" t="s">
        <v>1762</v>
      </c>
      <c r="F636" s="808" t="s">
        <v>2056</v>
      </c>
      <c r="G636" s="808" t="s">
        <v>1990</v>
      </c>
      <c r="H636" s="808" t="s">
        <v>1991</v>
      </c>
      <c r="I636" s="808" t="s">
        <v>1992</v>
      </c>
      <c r="J636" s="810">
        <v>16400000</v>
      </c>
      <c r="K636" s="808" t="s">
        <v>1993</v>
      </c>
      <c r="L636" s="808" t="s">
        <v>1177</v>
      </c>
      <c r="M636" s="808" t="s">
        <v>1973</v>
      </c>
      <c r="N636" s="808" t="s">
        <v>1973</v>
      </c>
      <c r="O636" s="808" t="s">
        <v>2005</v>
      </c>
      <c r="P636" s="808" t="s">
        <v>1995</v>
      </c>
      <c r="Q636" s="808" t="s">
        <v>2006</v>
      </c>
    </row>
    <row r="637" spans="1:17" x14ac:dyDescent="0.25">
      <c r="A637" s="808" t="s">
        <v>1987</v>
      </c>
      <c r="B637" s="808" t="s">
        <v>2757</v>
      </c>
      <c r="C637" s="809">
        <v>16400000</v>
      </c>
      <c r="D637" s="808" t="s">
        <v>1762</v>
      </c>
      <c r="E637" s="808" t="s">
        <v>1762</v>
      </c>
      <c r="F637" s="808" t="s">
        <v>2056</v>
      </c>
      <c r="G637" s="808" t="s">
        <v>1990</v>
      </c>
      <c r="H637" s="808" t="s">
        <v>1991</v>
      </c>
      <c r="I637" s="808" t="s">
        <v>1992</v>
      </c>
      <c r="J637" s="810">
        <v>16400000</v>
      </c>
      <c r="K637" s="808" t="s">
        <v>1993</v>
      </c>
      <c r="L637" s="808" t="s">
        <v>1177</v>
      </c>
      <c r="M637" s="808" t="s">
        <v>1973</v>
      </c>
      <c r="N637" s="808" t="s">
        <v>1973</v>
      </c>
      <c r="O637" s="808" t="s">
        <v>2005</v>
      </c>
      <c r="P637" s="808" t="s">
        <v>1995</v>
      </c>
      <c r="Q637" s="808" t="s">
        <v>2006</v>
      </c>
    </row>
    <row r="638" spans="1:17" x14ac:dyDescent="0.25">
      <c r="A638" s="808" t="s">
        <v>1987</v>
      </c>
      <c r="B638" s="808" t="s">
        <v>2758</v>
      </c>
      <c r="C638" s="809">
        <v>12300000</v>
      </c>
      <c r="D638" s="808" t="s">
        <v>2499</v>
      </c>
      <c r="E638" s="808" t="s">
        <v>2499</v>
      </c>
      <c r="F638" s="808" t="s">
        <v>2337</v>
      </c>
      <c r="G638" s="808" t="s">
        <v>1990</v>
      </c>
      <c r="H638" s="808" t="s">
        <v>1991</v>
      </c>
      <c r="I638" s="808" t="s">
        <v>1992</v>
      </c>
      <c r="J638" s="810">
        <v>12300000</v>
      </c>
      <c r="K638" s="808" t="s">
        <v>1993</v>
      </c>
      <c r="L638" s="808" t="s">
        <v>1177</v>
      </c>
      <c r="M638" s="808" t="s">
        <v>1973</v>
      </c>
      <c r="N638" s="808" t="s">
        <v>1973</v>
      </c>
      <c r="O638" s="808" t="s">
        <v>2005</v>
      </c>
      <c r="P638" s="808" t="s">
        <v>1995</v>
      </c>
      <c r="Q638" s="808" t="s">
        <v>2006</v>
      </c>
    </row>
    <row r="639" spans="1:17" x14ac:dyDescent="0.25">
      <c r="A639" s="808" t="s">
        <v>1987</v>
      </c>
      <c r="B639" s="808" t="s">
        <v>2759</v>
      </c>
      <c r="C639" s="809">
        <v>24600000</v>
      </c>
      <c r="D639" s="808" t="s">
        <v>1758</v>
      </c>
      <c r="E639" s="808" t="s">
        <v>1758</v>
      </c>
      <c r="F639" s="808" t="s">
        <v>2000</v>
      </c>
      <c r="G639" s="808" t="s">
        <v>1990</v>
      </c>
      <c r="H639" s="808" t="s">
        <v>1991</v>
      </c>
      <c r="I639" s="808" t="s">
        <v>1992</v>
      </c>
      <c r="J639" s="810">
        <v>24600000</v>
      </c>
      <c r="K639" s="808" t="s">
        <v>1993</v>
      </c>
      <c r="L639" s="808" t="s">
        <v>1177</v>
      </c>
      <c r="M639" s="808" t="s">
        <v>1973</v>
      </c>
      <c r="N639" s="808" t="s">
        <v>1973</v>
      </c>
      <c r="O639" s="808" t="s">
        <v>2005</v>
      </c>
      <c r="P639" s="808" t="s">
        <v>1995</v>
      </c>
      <c r="Q639" s="808" t="s">
        <v>2006</v>
      </c>
    </row>
    <row r="640" spans="1:17" x14ac:dyDescent="0.25">
      <c r="A640" s="808" t="s">
        <v>1987</v>
      </c>
      <c r="B640" s="808" t="s">
        <v>2760</v>
      </c>
      <c r="C640" s="809">
        <v>84766080</v>
      </c>
      <c r="D640" s="808" t="s">
        <v>1743</v>
      </c>
      <c r="E640" s="808" t="s">
        <v>1743</v>
      </c>
      <c r="F640" s="808" t="s">
        <v>2010</v>
      </c>
      <c r="G640" s="808" t="s">
        <v>1990</v>
      </c>
      <c r="H640" s="808" t="s">
        <v>1991</v>
      </c>
      <c r="I640" s="808" t="s">
        <v>1992</v>
      </c>
      <c r="J640" s="810">
        <v>84766080</v>
      </c>
      <c r="K640" s="808" t="s">
        <v>1993</v>
      </c>
      <c r="L640" s="808" t="s">
        <v>1177</v>
      </c>
      <c r="M640" s="808" t="s">
        <v>1973</v>
      </c>
      <c r="N640" s="808" t="s">
        <v>1973</v>
      </c>
      <c r="O640" s="808" t="s">
        <v>2005</v>
      </c>
      <c r="P640" s="808" t="s">
        <v>1995</v>
      </c>
      <c r="Q640" s="808" t="s">
        <v>2006</v>
      </c>
    </row>
    <row r="641" spans="1:17" x14ac:dyDescent="0.25">
      <c r="A641" s="808" t="s">
        <v>2256</v>
      </c>
      <c r="B641" s="808" t="s">
        <v>2761</v>
      </c>
      <c r="C641" s="809">
        <v>64900000</v>
      </c>
      <c r="D641" s="808" t="s">
        <v>1743</v>
      </c>
      <c r="E641" s="808" t="s">
        <v>1743</v>
      </c>
      <c r="F641" s="808" t="s">
        <v>2027</v>
      </c>
      <c r="G641" s="808" t="s">
        <v>1990</v>
      </c>
      <c r="H641" s="808" t="s">
        <v>1991</v>
      </c>
      <c r="I641" s="808" t="s">
        <v>1992</v>
      </c>
      <c r="J641" s="810">
        <v>64900000</v>
      </c>
      <c r="K641" s="808" t="s">
        <v>1993</v>
      </c>
      <c r="L641" s="808" t="s">
        <v>1177</v>
      </c>
      <c r="M641" s="808" t="s">
        <v>1973</v>
      </c>
      <c r="N641" s="808" t="s">
        <v>1973</v>
      </c>
      <c r="O641" s="808" t="s">
        <v>2005</v>
      </c>
      <c r="P641" s="808" t="s">
        <v>1995</v>
      </c>
      <c r="Q641" s="808" t="s">
        <v>2006</v>
      </c>
    </row>
    <row r="642" spans="1:17" x14ac:dyDescent="0.25">
      <c r="A642" s="808" t="s">
        <v>2256</v>
      </c>
      <c r="B642" s="808" t="s">
        <v>2762</v>
      </c>
      <c r="C642" s="809">
        <v>80896200</v>
      </c>
      <c r="D642" s="808" t="s">
        <v>1743</v>
      </c>
      <c r="E642" s="808" t="s">
        <v>1743</v>
      </c>
      <c r="F642" s="808" t="s">
        <v>2027</v>
      </c>
      <c r="G642" s="808" t="s">
        <v>1990</v>
      </c>
      <c r="H642" s="808" t="s">
        <v>1991</v>
      </c>
      <c r="I642" s="808" t="s">
        <v>1992</v>
      </c>
      <c r="J642" s="810">
        <v>80896200</v>
      </c>
      <c r="K642" s="808" t="s">
        <v>1993</v>
      </c>
      <c r="L642" s="808" t="s">
        <v>1177</v>
      </c>
      <c r="M642" s="808" t="s">
        <v>1973</v>
      </c>
      <c r="N642" s="808" t="s">
        <v>1973</v>
      </c>
      <c r="O642" s="808" t="s">
        <v>2005</v>
      </c>
      <c r="P642" s="808" t="s">
        <v>1995</v>
      </c>
      <c r="Q642" s="808" t="s">
        <v>2006</v>
      </c>
    </row>
    <row r="643" spans="1:17" x14ac:dyDescent="0.25">
      <c r="A643" s="808" t="s">
        <v>2256</v>
      </c>
      <c r="B643" s="808" t="s">
        <v>2763</v>
      </c>
      <c r="C643" s="809">
        <v>134074420</v>
      </c>
      <c r="D643" s="808" t="s">
        <v>1743</v>
      </c>
      <c r="E643" s="808" t="s">
        <v>1743</v>
      </c>
      <c r="F643" s="808" t="s">
        <v>2010</v>
      </c>
      <c r="G643" s="808" t="s">
        <v>1990</v>
      </c>
      <c r="H643" s="808" t="s">
        <v>1991</v>
      </c>
      <c r="I643" s="808" t="s">
        <v>1992</v>
      </c>
      <c r="J643" s="810">
        <v>134074420</v>
      </c>
      <c r="K643" s="808" t="s">
        <v>1993</v>
      </c>
      <c r="L643" s="808" t="s">
        <v>1177</v>
      </c>
      <c r="M643" s="808" t="s">
        <v>1973</v>
      </c>
      <c r="N643" s="808" t="s">
        <v>1973</v>
      </c>
      <c r="O643" s="808" t="s">
        <v>2005</v>
      </c>
      <c r="P643" s="808" t="s">
        <v>1995</v>
      </c>
      <c r="Q643" s="808" t="s">
        <v>2006</v>
      </c>
    </row>
    <row r="644" spans="1:17" x14ac:dyDescent="0.25">
      <c r="A644" s="808" t="s">
        <v>1987</v>
      </c>
      <c r="B644" s="808" t="s">
        <v>2764</v>
      </c>
      <c r="C644" s="809">
        <v>127689924</v>
      </c>
      <c r="D644" s="808" t="s">
        <v>1743</v>
      </c>
      <c r="E644" s="808" t="s">
        <v>1743</v>
      </c>
      <c r="F644" s="808" t="s">
        <v>2010</v>
      </c>
      <c r="G644" s="808" t="s">
        <v>1990</v>
      </c>
      <c r="H644" s="808" t="s">
        <v>1991</v>
      </c>
      <c r="I644" s="808" t="s">
        <v>1992</v>
      </c>
      <c r="J644" s="810">
        <v>127689924</v>
      </c>
      <c r="K644" s="808" t="s">
        <v>1993</v>
      </c>
      <c r="L644" s="808" t="s">
        <v>1177</v>
      </c>
      <c r="M644" s="808" t="s">
        <v>1973</v>
      </c>
      <c r="N644" s="808" t="s">
        <v>1973</v>
      </c>
      <c r="O644" s="808" t="s">
        <v>2005</v>
      </c>
      <c r="P644" s="808" t="s">
        <v>1995</v>
      </c>
      <c r="Q644" s="808" t="s">
        <v>2006</v>
      </c>
    </row>
    <row r="645" spans="1:17" x14ac:dyDescent="0.25">
      <c r="A645" s="808" t="s">
        <v>1987</v>
      </c>
      <c r="B645" s="808" t="s">
        <v>2765</v>
      </c>
      <c r="C645" s="809">
        <v>144585266</v>
      </c>
      <c r="D645" s="808" t="s">
        <v>1743</v>
      </c>
      <c r="E645" s="808" t="s">
        <v>1743</v>
      </c>
      <c r="F645" s="808" t="s">
        <v>2010</v>
      </c>
      <c r="G645" s="808" t="s">
        <v>1990</v>
      </c>
      <c r="H645" s="808" t="s">
        <v>1991</v>
      </c>
      <c r="I645" s="808" t="s">
        <v>1992</v>
      </c>
      <c r="J645" s="810">
        <v>144585266</v>
      </c>
      <c r="K645" s="808" t="s">
        <v>1993</v>
      </c>
      <c r="L645" s="808" t="s">
        <v>1177</v>
      </c>
      <c r="M645" s="808" t="s">
        <v>1973</v>
      </c>
      <c r="N645" s="808" t="s">
        <v>1973</v>
      </c>
      <c r="O645" s="808" t="s">
        <v>2005</v>
      </c>
      <c r="P645" s="808" t="s">
        <v>1995</v>
      </c>
      <c r="Q645" s="808" t="s">
        <v>2006</v>
      </c>
    </row>
    <row r="646" spans="1:17" x14ac:dyDescent="0.25">
      <c r="A646" s="808" t="s">
        <v>1987</v>
      </c>
      <c r="B646" s="808" t="s">
        <v>2766</v>
      </c>
      <c r="C646" s="809">
        <v>66198000</v>
      </c>
      <c r="D646" s="808" t="s">
        <v>1743</v>
      </c>
      <c r="E646" s="808" t="s">
        <v>1743</v>
      </c>
      <c r="F646" s="808" t="s">
        <v>2010</v>
      </c>
      <c r="G646" s="808" t="s">
        <v>1990</v>
      </c>
      <c r="H646" s="808" t="s">
        <v>1991</v>
      </c>
      <c r="I646" s="808" t="s">
        <v>1992</v>
      </c>
      <c r="J646" s="810">
        <v>66198000</v>
      </c>
      <c r="K646" s="808" t="s">
        <v>1993</v>
      </c>
      <c r="L646" s="808" t="s">
        <v>1177</v>
      </c>
      <c r="M646" s="808" t="s">
        <v>1973</v>
      </c>
      <c r="N646" s="808" t="s">
        <v>1973</v>
      </c>
      <c r="O646" s="808" t="s">
        <v>2005</v>
      </c>
      <c r="P646" s="808" t="s">
        <v>1995</v>
      </c>
      <c r="Q646" s="808" t="s">
        <v>2006</v>
      </c>
    </row>
    <row r="647" spans="1:17" x14ac:dyDescent="0.25">
      <c r="A647" s="808" t="s">
        <v>1987</v>
      </c>
      <c r="B647" s="808" t="s">
        <v>2767</v>
      </c>
      <c r="C647" s="809">
        <v>66198000</v>
      </c>
      <c r="D647" s="808" t="s">
        <v>1743</v>
      </c>
      <c r="E647" s="808" t="s">
        <v>1743</v>
      </c>
      <c r="F647" s="808" t="s">
        <v>2010</v>
      </c>
      <c r="G647" s="808" t="s">
        <v>1990</v>
      </c>
      <c r="H647" s="808" t="s">
        <v>1991</v>
      </c>
      <c r="I647" s="808" t="s">
        <v>1992</v>
      </c>
      <c r="J647" s="810">
        <v>66198000</v>
      </c>
      <c r="K647" s="808" t="s">
        <v>1993</v>
      </c>
      <c r="L647" s="808" t="s">
        <v>1177</v>
      </c>
      <c r="M647" s="808" t="s">
        <v>1973</v>
      </c>
      <c r="N647" s="808" t="s">
        <v>1973</v>
      </c>
      <c r="O647" s="808" t="s">
        <v>2005</v>
      </c>
      <c r="P647" s="808" t="s">
        <v>1995</v>
      </c>
      <c r="Q647" s="808" t="s">
        <v>2006</v>
      </c>
    </row>
    <row r="648" spans="1:17" x14ac:dyDescent="0.25">
      <c r="A648" s="808" t="s">
        <v>1987</v>
      </c>
      <c r="B648" s="808" t="s">
        <v>2768</v>
      </c>
      <c r="C648" s="809">
        <v>81844800</v>
      </c>
      <c r="D648" s="808" t="s">
        <v>1743</v>
      </c>
      <c r="E648" s="808" t="s">
        <v>1743</v>
      </c>
      <c r="F648" s="808" t="s">
        <v>2010</v>
      </c>
      <c r="G648" s="808" t="s">
        <v>1990</v>
      </c>
      <c r="H648" s="808" t="s">
        <v>1991</v>
      </c>
      <c r="I648" s="808" t="s">
        <v>1992</v>
      </c>
      <c r="J648" s="810">
        <v>81844800</v>
      </c>
      <c r="K648" s="808" t="s">
        <v>1993</v>
      </c>
      <c r="L648" s="808" t="s">
        <v>1177</v>
      </c>
      <c r="M648" s="808" t="s">
        <v>1973</v>
      </c>
      <c r="N648" s="808" t="s">
        <v>1973</v>
      </c>
      <c r="O648" s="808" t="s">
        <v>2005</v>
      </c>
      <c r="P648" s="808" t="s">
        <v>1995</v>
      </c>
      <c r="Q648" s="808" t="s">
        <v>2006</v>
      </c>
    </row>
    <row r="649" spans="1:17" x14ac:dyDescent="0.25">
      <c r="A649" s="808" t="s">
        <v>1987</v>
      </c>
      <c r="B649" s="808" t="s">
        <v>2769</v>
      </c>
      <c r="C649" s="809">
        <v>44319000</v>
      </c>
      <c r="D649" s="808" t="s">
        <v>1743</v>
      </c>
      <c r="E649" s="808" t="s">
        <v>1743</v>
      </c>
      <c r="F649" s="808" t="s">
        <v>2027</v>
      </c>
      <c r="G649" s="808" t="s">
        <v>1990</v>
      </c>
      <c r="H649" s="808" t="s">
        <v>1991</v>
      </c>
      <c r="I649" s="808" t="s">
        <v>1992</v>
      </c>
      <c r="J649" s="810">
        <v>44319000</v>
      </c>
      <c r="K649" s="808" t="s">
        <v>1993</v>
      </c>
      <c r="L649" s="808" t="s">
        <v>1177</v>
      </c>
      <c r="M649" s="808" t="s">
        <v>1973</v>
      </c>
      <c r="N649" s="808" t="s">
        <v>1973</v>
      </c>
      <c r="O649" s="808" t="s">
        <v>2005</v>
      </c>
      <c r="P649" s="808" t="s">
        <v>1995</v>
      </c>
      <c r="Q649" s="808" t="s">
        <v>2006</v>
      </c>
    </row>
    <row r="650" spans="1:17" x14ac:dyDescent="0.25">
      <c r="A650" s="808" t="s">
        <v>1987</v>
      </c>
      <c r="B650" s="808" t="s">
        <v>2770</v>
      </c>
      <c r="C650" s="809">
        <v>96511665</v>
      </c>
      <c r="D650" s="808" t="s">
        <v>1743</v>
      </c>
      <c r="E650" s="808" t="s">
        <v>1743</v>
      </c>
      <c r="F650" s="808" t="s">
        <v>2010</v>
      </c>
      <c r="G650" s="808" t="s">
        <v>1990</v>
      </c>
      <c r="H650" s="808" t="s">
        <v>1991</v>
      </c>
      <c r="I650" s="808" t="s">
        <v>1992</v>
      </c>
      <c r="J650" s="810">
        <v>96511665</v>
      </c>
      <c r="K650" s="808" t="s">
        <v>1993</v>
      </c>
      <c r="L650" s="808" t="s">
        <v>1177</v>
      </c>
      <c r="M650" s="808" t="s">
        <v>1973</v>
      </c>
      <c r="N650" s="808" t="s">
        <v>1973</v>
      </c>
      <c r="O650" s="808" t="s">
        <v>2005</v>
      </c>
      <c r="P650" s="808" t="s">
        <v>1995</v>
      </c>
      <c r="Q650" s="808" t="s">
        <v>2006</v>
      </c>
    </row>
    <row r="651" spans="1:17" x14ac:dyDescent="0.25">
      <c r="A651" s="808" t="s">
        <v>1987</v>
      </c>
      <c r="B651" s="808" t="s">
        <v>2771</v>
      </c>
      <c r="C651" s="809">
        <v>169075413</v>
      </c>
      <c r="D651" s="808" t="s">
        <v>1743</v>
      </c>
      <c r="E651" s="808" t="s">
        <v>1743</v>
      </c>
      <c r="F651" s="808" t="s">
        <v>2010</v>
      </c>
      <c r="G651" s="808" t="s">
        <v>1990</v>
      </c>
      <c r="H651" s="808" t="s">
        <v>1991</v>
      </c>
      <c r="I651" s="808" t="s">
        <v>1992</v>
      </c>
      <c r="J651" s="810">
        <v>169075413</v>
      </c>
      <c r="K651" s="808" t="s">
        <v>1993</v>
      </c>
      <c r="L651" s="808" t="s">
        <v>1177</v>
      </c>
      <c r="M651" s="808" t="s">
        <v>1973</v>
      </c>
      <c r="N651" s="808" t="s">
        <v>1973</v>
      </c>
      <c r="O651" s="808" t="s">
        <v>2005</v>
      </c>
      <c r="P651" s="808" t="s">
        <v>1995</v>
      </c>
      <c r="Q651" s="808" t="s">
        <v>2006</v>
      </c>
    </row>
    <row r="652" spans="1:17" x14ac:dyDescent="0.25">
      <c r="A652" s="808" t="s">
        <v>1987</v>
      </c>
      <c r="B652" s="808" t="s">
        <v>2772</v>
      </c>
      <c r="C652" s="809">
        <v>84838051</v>
      </c>
      <c r="D652" s="808" t="s">
        <v>1743</v>
      </c>
      <c r="E652" s="808" t="s">
        <v>1743</v>
      </c>
      <c r="F652" s="808" t="s">
        <v>2010</v>
      </c>
      <c r="G652" s="808" t="s">
        <v>1990</v>
      </c>
      <c r="H652" s="808" t="s">
        <v>1991</v>
      </c>
      <c r="I652" s="808" t="s">
        <v>1992</v>
      </c>
      <c r="J652" s="810">
        <v>84838051</v>
      </c>
      <c r="K652" s="808" t="s">
        <v>1993</v>
      </c>
      <c r="L652" s="808" t="s">
        <v>1177</v>
      </c>
      <c r="M652" s="808" t="s">
        <v>1973</v>
      </c>
      <c r="N652" s="808" t="s">
        <v>1973</v>
      </c>
      <c r="O652" s="808" t="s">
        <v>2005</v>
      </c>
      <c r="P652" s="808" t="s">
        <v>1995</v>
      </c>
      <c r="Q652" s="808" t="s">
        <v>2006</v>
      </c>
    </row>
    <row r="653" spans="1:17" x14ac:dyDescent="0.25">
      <c r="A653" s="808" t="s">
        <v>1987</v>
      </c>
      <c r="B653" s="808" t="s">
        <v>2773</v>
      </c>
      <c r="C653" s="809">
        <v>39395799</v>
      </c>
      <c r="D653" s="808" t="s">
        <v>1743</v>
      </c>
      <c r="E653" s="808" t="s">
        <v>1743</v>
      </c>
      <c r="F653" s="808" t="s">
        <v>2027</v>
      </c>
      <c r="G653" s="808" t="s">
        <v>1990</v>
      </c>
      <c r="H653" s="808" t="s">
        <v>1991</v>
      </c>
      <c r="I653" s="808" t="s">
        <v>1992</v>
      </c>
      <c r="J653" s="810">
        <v>39395799</v>
      </c>
      <c r="K653" s="808" t="s">
        <v>1993</v>
      </c>
      <c r="L653" s="808" t="s">
        <v>1177</v>
      </c>
      <c r="M653" s="808" t="s">
        <v>1973</v>
      </c>
      <c r="N653" s="808" t="s">
        <v>1973</v>
      </c>
      <c r="O653" s="808" t="s">
        <v>2005</v>
      </c>
      <c r="P653" s="808" t="s">
        <v>1995</v>
      </c>
      <c r="Q653" s="808" t="s">
        <v>2006</v>
      </c>
    </row>
    <row r="654" spans="1:17" x14ac:dyDescent="0.25">
      <c r="A654" s="808" t="s">
        <v>1987</v>
      </c>
      <c r="B654" s="808" t="s">
        <v>2774</v>
      </c>
      <c r="C654" s="809">
        <v>56202000</v>
      </c>
      <c r="D654" s="808" t="s">
        <v>1749</v>
      </c>
      <c r="E654" s="808" t="s">
        <v>1749</v>
      </c>
      <c r="F654" s="808" t="s">
        <v>2023</v>
      </c>
      <c r="G654" s="808" t="s">
        <v>1990</v>
      </c>
      <c r="H654" s="808" t="s">
        <v>1991</v>
      </c>
      <c r="I654" s="808" t="s">
        <v>1992</v>
      </c>
      <c r="J654" s="810">
        <v>56202000</v>
      </c>
      <c r="K654" s="808" t="s">
        <v>1993</v>
      </c>
      <c r="L654" s="808" t="s">
        <v>1177</v>
      </c>
      <c r="M654" s="808" t="s">
        <v>1973</v>
      </c>
      <c r="N654" s="808" t="s">
        <v>1973</v>
      </c>
      <c r="O654" s="808" t="s">
        <v>2005</v>
      </c>
      <c r="P654" s="808" t="s">
        <v>1995</v>
      </c>
      <c r="Q654" s="808" t="s">
        <v>2006</v>
      </c>
    </row>
    <row r="655" spans="1:17" x14ac:dyDescent="0.25">
      <c r="A655" s="808" t="s">
        <v>1987</v>
      </c>
      <c r="B655" s="808" t="s">
        <v>2775</v>
      </c>
      <c r="C655" s="809">
        <v>48478886</v>
      </c>
      <c r="D655" s="808" t="s">
        <v>1743</v>
      </c>
      <c r="E655" s="808" t="s">
        <v>1743</v>
      </c>
      <c r="F655" s="808" t="s">
        <v>2010</v>
      </c>
      <c r="G655" s="808" t="s">
        <v>1990</v>
      </c>
      <c r="H655" s="808" t="s">
        <v>1991</v>
      </c>
      <c r="I655" s="808" t="s">
        <v>1992</v>
      </c>
      <c r="J655" s="810">
        <v>48478886</v>
      </c>
      <c r="K655" s="808" t="s">
        <v>1993</v>
      </c>
      <c r="L655" s="808" t="s">
        <v>1177</v>
      </c>
      <c r="M655" s="808" t="s">
        <v>1973</v>
      </c>
      <c r="N655" s="808" t="s">
        <v>1973</v>
      </c>
      <c r="O655" s="808" t="s">
        <v>2005</v>
      </c>
      <c r="P655" s="808" t="s">
        <v>1995</v>
      </c>
      <c r="Q655" s="808" t="s">
        <v>2006</v>
      </c>
    </row>
    <row r="656" spans="1:17" x14ac:dyDescent="0.25">
      <c r="A656" s="808" t="s">
        <v>1987</v>
      </c>
      <c r="B656" s="808" t="s">
        <v>2776</v>
      </c>
      <c r="C656" s="809">
        <v>33129600</v>
      </c>
      <c r="D656" s="808" t="s">
        <v>1743</v>
      </c>
      <c r="E656" s="808" t="s">
        <v>1743</v>
      </c>
      <c r="F656" s="808" t="s">
        <v>2010</v>
      </c>
      <c r="G656" s="808" t="s">
        <v>1990</v>
      </c>
      <c r="H656" s="808" t="s">
        <v>1991</v>
      </c>
      <c r="I656" s="808" t="s">
        <v>1992</v>
      </c>
      <c r="J656" s="810">
        <v>33129600</v>
      </c>
      <c r="K656" s="808" t="s">
        <v>1993</v>
      </c>
      <c r="L656" s="808" t="s">
        <v>1177</v>
      </c>
      <c r="M656" s="808" t="s">
        <v>1973</v>
      </c>
      <c r="N656" s="808" t="s">
        <v>1973</v>
      </c>
      <c r="O656" s="808" t="s">
        <v>2005</v>
      </c>
      <c r="P656" s="808" t="s">
        <v>1995</v>
      </c>
      <c r="Q656" s="808" t="s">
        <v>2006</v>
      </c>
    </row>
    <row r="657" spans="1:17" x14ac:dyDescent="0.25">
      <c r="A657" s="808" t="s">
        <v>1987</v>
      </c>
      <c r="B657" s="808" t="s">
        <v>2777</v>
      </c>
      <c r="C657" s="809">
        <v>33129600</v>
      </c>
      <c r="D657" s="808" t="s">
        <v>1743</v>
      </c>
      <c r="E657" s="808" t="s">
        <v>1743</v>
      </c>
      <c r="F657" s="808" t="s">
        <v>2010</v>
      </c>
      <c r="G657" s="808" t="s">
        <v>1990</v>
      </c>
      <c r="H657" s="808" t="s">
        <v>1991</v>
      </c>
      <c r="I657" s="808" t="s">
        <v>1992</v>
      </c>
      <c r="J657" s="810">
        <v>33129600</v>
      </c>
      <c r="K657" s="808" t="s">
        <v>1993</v>
      </c>
      <c r="L657" s="808" t="s">
        <v>1177</v>
      </c>
      <c r="M657" s="808" t="s">
        <v>1973</v>
      </c>
      <c r="N657" s="808" t="s">
        <v>1973</v>
      </c>
      <c r="O657" s="808" t="s">
        <v>2005</v>
      </c>
      <c r="P657" s="808" t="s">
        <v>1995</v>
      </c>
      <c r="Q657" s="808" t="s">
        <v>2006</v>
      </c>
    </row>
    <row r="658" spans="1:17" x14ac:dyDescent="0.25">
      <c r="A658" s="808" t="s">
        <v>1987</v>
      </c>
      <c r="B658" s="808" t="s">
        <v>2778</v>
      </c>
      <c r="C658" s="809">
        <v>33129600</v>
      </c>
      <c r="D658" s="808" t="s">
        <v>1743</v>
      </c>
      <c r="E658" s="808" t="s">
        <v>1743</v>
      </c>
      <c r="F658" s="808" t="s">
        <v>2010</v>
      </c>
      <c r="G658" s="808" t="s">
        <v>1990</v>
      </c>
      <c r="H658" s="808" t="s">
        <v>1991</v>
      </c>
      <c r="I658" s="808" t="s">
        <v>1992</v>
      </c>
      <c r="J658" s="810">
        <v>33129600</v>
      </c>
      <c r="K658" s="808" t="s">
        <v>1993</v>
      </c>
      <c r="L658" s="808" t="s">
        <v>1177</v>
      </c>
      <c r="M658" s="808" t="s">
        <v>1973</v>
      </c>
      <c r="N658" s="808" t="s">
        <v>1973</v>
      </c>
      <c r="O658" s="808" t="s">
        <v>2005</v>
      </c>
      <c r="P658" s="808" t="s">
        <v>1995</v>
      </c>
      <c r="Q658" s="808" t="s">
        <v>2006</v>
      </c>
    </row>
    <row r="659" spans="1:17" x14ac:dyDescent="0.25">
      <c r="A659" s="808" t="s">
        <v>1987</v>
      </c>
      <c r="B659" s="808" t="s">
        <v>2779</v>
      </c>
      <c r="C659" s="809">
        <v>42636000</v>
      </c>
      <c r="D659" s="808" t="s">
        <v>1743</v>
      </c>
      <c r="E659" s="808" t="s">
        <v>1743</v>
      </c>
      <c r="F659" s="808" t="s">
        <v>2027</v>
      </c>
      <c r="G659" s="808" t="s">
        <v>1990</v>
      </c>
      <c r="H659" s="808" t="s">
        <v>1991</v>
      </c>
      <c r="I659" s="808" t="s">
        <v>1992</v>
      </c>
      <c r="J659" s="810">
        <v>42636000</v>
      </c>
      <c r="K659" s="808" t="s">
        <v>1993</v>
      </c>
      <c r="L659" s="808" t="s">
        <v>1177</v>
      </c>
      <c r="M659" s="808" t="s">
        <v>1973</v>
      </c>
      <c r="N659" s="808" t="s">
        <v>1973</v>
      </c>
      <c r="O659" s="808" t="s">
        <v>2005</v>
      </c>
      <c r="P659" s="808" t="s">
        <v>1995</v>
      </c>
      <c r="Q659" s="808" t="s">
        <v>2006</v>
      </c>
    </row>
    <row r="660" spans="1:17" x14ac:dyDescent="0.25">
      <c r="A660" s="808" t="s">
        <v>1987</v>
      </c>
      <c r="B660" s="808" t="s">
        <v>2780</v>
      </c>
      <c r="C660" s="809">
        <v>72000000</v>
      </c>
      <c r="D660" s="808" t="s">
        <v>1749</v>
      </c>
      <c r="E660" s="808" t="s">
        <v>1749</v>
      </c>
      <c r="F660" s="808" t="s">
        <v>1989</v>
      </c>
      <c r="G660" s="808" t="s">
        <v>1990</v>
      </c>
      <c r="H660" s="808" t="s">
        <v>1991</v>
      </c>
      <c r="I660" s="808" t="s">
        <v>1992</v>
      </c>
      <c r="J660" s="810">
        <v>72000000</v>
      </c>
      <c r="K660" s="808" t="s">
        <v>1993</v>
      </c>
      <c r="L660" s="808" t="s">
        <v>1177</v>
      </c>
      <c r="M660" s="808" t="s">
        <v>1973</v>
      </c>
      <c r="N660" s="808" t="s">
        <v>1973</v>
      </c>
      <c r="O660" s="808" t="s">
        <v>2067</v>
      </c>
      <c r="P660" s="808" t="s">
        <v>1995</v>
      </c>
      <c r="Q660" s="808" t="s">
        <v>2002</v>
      </c>
    </row>
    <row r="661" spans="1:17" x14ac:dyDescent="0.25">
      <c r="A661" s="808" t="s">
        <v>1987</v>
      </c>
      <c r="B661" s="808" t="s">
        <v>2781</v>
      </c>
      <c r="C661" s="809">
        <v>60000000</v>
      </c>
      <c r="D661" s="808" t="s">
        <v>1749</v>
      </c>
      <c r="E661" s="808" t="s">
        <v>1749</v>
      </c>
      <c r="F661" s="808" t="s">
        <v>1989</v>
      </c>
      <c r="G661" s="808" t="s">
        <v>1990</v>
      </c>
      <c r="H661" s="808" t="s">
        <v>1991</v>
      </c>
      <c r="I661" s="808" t="s">
        <v>1992</v>
      </c>
      <c r="J661" s="810">
        <v>60000000</v>
      </c>
      <c r="K661" s="808" t="s">
        <v>1993</v>
      </c>
      <c r="L661" s="808" t="s">
        <v>1177</v>
      </c>
      <c r="M661" s="808" t="s">
        <v>1973</v>
      </c>
      <c r="N661" s="808" t="s">
        <v>1973</v>
      </c>
      <c r="O661" s="808" t="s">
        <v>2067</v>
      </c>
      <c r="P661" s="808" t="s">
        <v>1995</v>
      </c>
      <c r="Q661" s="808" t="s">
        <v>2002</v>
      </c>
    </row>
    <row r="662" spans="1:17" x14ac:dyDescent="0.25">
      <c r="A662" s="808" t="s">
        <v>1987</v>
      </c>
      <c r="B662" s="808" t="s">
        <v>2782</v>
      </c>
      <c r="C662" s="809">
        <v>96000000</v>
      </c>
      <c r="D662" s="808" t="s">
        <v>1749</v>
      </c>
      <c r="E662" s="808" t="s">
        <v>1749</v>
      </c>
      <c r="F662" s="808" t="s">
        <v>1989</v>
      </c>
      <c r="G662" s="808" t="s">
        <v>1990</v>
      </c>
      <c r="H662" s="808" t="s">
        <v>1991</v>
      </c>
      <c r="I662" s="808" t="s">
        <v>1992</v>
      </c>
      <c r="J662" s="810">
        <v>96000000</v>
      </c>
      <c r="K662" s="808" t="s">
        <v>1993</v>
      </c>
      <c r="L662" s="808" t="s">
        <v>1177</v>
      </c>
      <c r="M662" s="808" t="s">
        <v>1973</v>
      </c>
      <c r="N662" s="808" t="s">
        <v>1973</v>
      </c>
      <c r="O662" s="808" t="s">
        <v>2067</v>
      </c>
      <c r="P662" s="808" t="s">
        <v>1995</v>
      </c>
      <c r="Q662" s="808" t="s">
        <v>2002</v>
      </c>
    </row>
    <row r="663" spans="1:17" x14ac:dyDescent="0.25">
      <c r="A663" s="808" t="s">
        <v>1987</v>
      </c>
      <c r="B663" s="808" t="s">
        <v>2783</v>
      </c>
      <c r="C663" s="809">
        <v>72000000</v>
      </c>
      <c r="D663" s="808" t="s">
        <v>1749</v>
      </c>
      <c r="E663" s="808" t="s">
        <v>1749</v>
      </c>
      <c r="F663" s="808" t="s">
        <v>1989</v>
      </c>
      <c r="G663" s="808" t="s">
        <v>1990</v>
      </c>
      <c r="H663" s="808" t="s">
        <v>1991</v>
      </c>
      <c r="I663" s="808" t="s">
        <v>1992</v>
      </c>
      <c r="J663" s="810">
        <v>72000000</v>
      </c>
      <c r="K663" s="808" t="s">
        <v>1993</v>
      </c>
      <c r="L663" s="808" t="s">
        <v>1177</v>
      </c>
      <c r="M663" s="808" t="s">
        <v>1973</v>
      </c>
      <c r="N663" s="808" t="s">
        <v>1973</v>
      </c>
      <c r="O663" s="808" t="s">
        <v>2067</v>
      </c>
      <c r="P663" s="808" t="s">
        <v>1995</v>
      </c>
      <c r="Q663" s="808" t="s">
        <v>2002</v>
      </c>
    </row>
    <row r="664" spans="1:17" x14ac:dyDescent="0.25">
      <c r="A664" s="808" t="s">
        <v>1987</v>
      </c>
      <c r="B664" s="808" t="s">
        <v>2784</v>
      </c>
      <c r="C664" s="809">
        <v>56000000</v>
      </c>
      <c r="D664" s="808" t="s">
        <v>1749</v>
      </c>
      <c r="E664" s="808" t="s">
        <v>1749</v>
      </c>
      <c r="F664" s="808" t="s">
        <v>1989</v>
      </c>
      <c r="G664" s="808" t="s">
        <v>1990</v>
      </c>
      <c r="H664" s="808" t="s">
        <v>1991</v>
      </c>
      <c r="I664" s="808" t="s">
        <v>1992</v>
      </c>
      <c r="J664" s="810">
        <v>56000000</v>
      </c>
      <c r="K664" s="808" t="s">
        <v>1993</v>
      </c>
      <c r="L664" s="808" t="s">
        <v>1177</v>
      </c>
      <c r="M664" s="808" t="s">
        <v>1973</v>
      </c>
      <c r="N664" s="808" t="s">
        <v>1973</v>
      </c>
      <c r="O664" s="808" t="s">
        <v>2067</v>
      </c>
      <c r="P664" s="808" t="s">
        <v>1995</v>
      </c>
      <c r="Q664" s="808" t="s">
        <v>2002</v>
      </c>
    </row>
    <row r="665" spans="1:17" x14ac:dyDescent="0.25">
      <c r="A665" s="808" t="s">
        <v>1987</v>
      </c>
      <c r="B665" s="808" t="s">
        <v>2785</v>
      </c>
      <c r="C665" s="809">
        <v>63000000</v>
      </c>
      <c r="D665" s="808" t="s">
        <v>1749</v>
      </c>
      <c r="E665" s="808" t="s">
        <v>1749</v>
      </c>
      <c r="F665" s="808" t="s">
        <v>2004</v>
      </c>
      <c r="G665" s="808" t="s">
        <v>1990</v>
      </c>
      <c r="H665" s="808" t="s">
        <v>1991</v>
      </c>
      <c r="I665" s="808" t="s">
        <v>1992</v>
      </c>
      <c r="J665" s="810">
        <v>63000000</v>
      </c>
      <c r="K665" s="808" t="s">
        <v>1993</v>
      </c>
      <c r="L665" s="808" t="s">
        <v>1177</v>
      </c>
      <c r="M665" s="808" t="s">
        <v>1973</v>
      </c>
      <c r="N665" s="808" t="s">
        <v>1973</v>
      </c>
      <c r="O665" s="808" t="s">
        <v>2067</v>
      </c>
      <c r="P665" s="808" t="s">
        <v>1995</v>
      </c>
      <c r="Q665" s="808" t="s">
        <v>2002</v>
      </c>
    </row>
    <row r="666" spans="1:17" x14ac:dyDescent="0.25">
      <c r="A666" s="808" t="s">
        <v>1987</v>
      </c>
      <c r="B666" s="808" t="s">
        <v>2786</v>
      </c>
      <c r="C666" s="809">
        <v>61600000</v>
      </c>
      <c r="D666" s="808" t="s">
        <v>1749</v>
      </c>
      <c r="E666" s="808" t="s">
        <v>1749</v>
      </c>
      <c r="F666" s="808" t="s">
        <v>1989</v>
      </c>
      <c r="G666" s="808" t="s">
        <v>1990</v>
      </c>
      <c r="H666" s="808" t="s">
        <v>1991</v>
      </c>
      <c r="I666" s="808" t="s">
        <v>1992</v>
      </c>
      <c r="J666" s="810">
        <v>61600000</v>
      </c>
      <c r="K666" s="808" t="s">
        <v>1993</v>
      </c>
      <c r="L666" s="808" t="s">
        <v>1177</v>
      </c>
      <c r="M666" s="808" t="s">
        <v>1973</v>
      </c>
      <c r="N666" s="808" t="s">
        <v>1973</v>
      </c>
      <c r="O666" s="808" t="s">
        <v>2067</v>
      </c>
      <c r="P666" s="808" t="s">
        <v>1995</v>
      </c>
      <c r="Q666" s="808" t="s">
        <v>2002</v>
      </c>
    </row>
    <row r="667" spans="1:17" x14ac:dyDescent="0.25">
      <c r="A667" s="808" t="s">
        <v>1987</v>
      </c>
      <c r="B667" s="808" t="s">
        <v>2787</v>
      </c>
      <c r="C667" s="809">
        <v>39975144</v>
      </c>
      <c r="D667" s="808" t="s">
        <v>1749</v>
      </c>
      <c r="E667" s="808" t="s">
        <v>1749</v>
      </c>
      <c r="F667" s="808" t="s">
        <v>1989</v>
      </c>
      <c r="G667" s="808" t="s">
        <v>1990</v>
      </c>
      <c r="H667" s="808" t="s">
        <v>1991</v>
      </c>
      <c r="I667" s="808" t="s">
        <v>1992</v>
      </c>
      <c r="J667" s="810">
        <v>39975144</v>
      </c>
      <c r="K667" s="808" t="s">
        <v>1993</v>
      </c>
      <c r="L667" s="808" t="s">
        <v>1177</v>
      </c>
      <c r="M667" s="808" t="s">
        <v>1973</v>
      </c>
      <c r="N667" s="808" t="s">
        <v>1973</v>
      </c>
      <c r="O667" s="808" t="s">
        <v>2067</v>
      </c>
      <c r="P667" s="808" t="s">
        <v>1995</v>
      </c>
      <c r="Q667" s="808" t="s">
        <v>2002</v>
      </c>
    </row>
    <row r="668" spans="1:17" x14ac:dyDescent="0.25">
      <c r="A668" s="808" t="s">
        <v>1987</v>
      </c>
      <c r="B668" s="808" t="s">
        <v>2788</v>
      </c>
      <c r="C668" s="809">
        <v>90000000</v>
      </c>
      <c r="D668" s="808" t="s">
        <v>1749</v>
      </c>
      <c r="E668" s="808" t="s">
        <v>1749</v>
      </c>
      <c r="F668" s="808" t="s">
        <v>2004</v>
      </c>
      <c r="G668" s="808" t="s">
        <v>1990</v>
      </c>
      <c r="H668" s="808" t="s">
        <v>1991</v>
      </c>
      <c r="I668" s="808" t="s">
        <v>1992</v>
      </c>
      <c r="J668" s="810">
        <v>90000000</v>
      </c>
      <c r="K668" s="808" t="s">
        <v>1993</v>
      </c>
      <c r="L668" s="808" t="s">
        <v>1177</v>
      </c>
      <c r="M668" s="808" t="s">
        <v>1973</v>
      </c>
      <c r="N668" s="808" t="s">
        <v>1973</v>
      </c>
      <c r="O668" s="808" t="s">
        <v>2019</v>
      </c>
      <c r="P668" s="808" t="s">
        <v>1995</v>
      </c>
      <c r="Q668" s="808" t="s">
        <v>2020</v>
      </c>
    </row>
    <row r="669" spans="1:17" x14ac:dyDescent="0.25">
      <c r="A669" s="808" t="s">
        <v>1987</v>
      </c>
      <c r="B669" s="808" t="s">
        <v>2789</v>
      </c>
      <c r="C669" s="809">
        <v>36794250</v>
      </c>
      <c r="D669" s="808" t="s">
        <v>1749</v>
      </c>
      <c r="E669" s="808" t="s">
        <v>1749</v>
      </c>
      <c r="F669" s="808" t="s">
        <v>2004</v>
      </c>
      <c r="G669" s="808" t="s">
        <v>1990</v>
      </c>
      <c r="H669" s="808" t="s">
        <v>1991</v>
      </c>
      <c r="I669" s="808" t="s">
        <v>1992</v>
      </c>
      <c r="J669" s="810">
        <v>36794250</v>
      </c>
      <c r="K669" s="808" t="s">
        <v>1993</v>
      </c>
      <c r="L669" s="808" t="s">
        <v>1177</v>
      </c>
      <c r="M669" s="808" t="s">
        <v>1973</v>
      </c>
      <c r="N669" s="808" t="s">
        <v>1973</v>
      </c>
      <c r="O669" s="808" t="s">
        <v>2019</v>
      </c>
      <c r="P669" s="808" t="s">
        <v>1995</v>
      </c>
      <c r="Q669" s="808" t="s">
        <v>2020</v>
      </c>
    </row>
    <row r="670" spans="1:17" x14ac:dyDescent="0.25">
      <c r="A670" s="808" t="s">
        <v>1987</v>
      </c>
      <c r="B670" s="808" t="s">
        <v>2316</v>
      </c>
      <c r="C670" s="809">
        <v>64900000</v>
      </c>
      <c r="D670" s="808" t="s">
        <v>1753</v>
      </c>
      <c r="E670" s="808" t="s">
        <v>1753</v>
      </c>
      <c r="F670" s="808" t="s">
        <v>2027</v>
      </c>
      <c r="G670" s="808" t="s">
        <v>1990</v>
      </c>
      <c r="H670" s="808" t="s">
        <v>1991</v>
      </c>
      <c r="I670" s="808" t="s">
        <v>1992</v>
      </c>
      <c r="J670" s="810">
        <v>64900000</v>
      </c>
      <c r="K670" s="808" t="s">
        <v>1993</v>
      </c>
      <c r="L670" s="808" t="s">
        <v>1177</v>
      </c>
      <c r="M670" s="808" t="s">
        <v>1973</v>
      </c>
      <c r="N670" s="808" t="s">
        <v>1973</v>
      </c>
      <c r="O670" s="808" t="s">
        <v>2024</v>
      </c>
      <c r="P670" s="808" t="s">
        <v>1995</v>
      </c>
      <c r="Q670" s="808" t="s">
        <v>1996</v>
      </c>
    </row>
    <row r="671" spans="1:17" x14ac:dyDescent="0.25">
      <c r="A671" s="808" t="s">
        <v>1987</v>
      </c>
      <c r="B671" s="808" t="s">
        <v>2316</v>
      </c>
      <c r="C671" s="809">
        <v>64900000</v>
      </c>
      <c r="D671" s="808" t="s">
        <v>1753</v>
      </c>
      <c r="E671" s="808" t="s">
        <v>1753</v>
      </c>
      <c r="F671" s="808" t="s">
        <v>2027</v>
      </c>
      <c r="G671" s="808" t="s">
        <v>1990</v>
      </c>
      <c r="H671" s="808" t="s">
        <v>1991</v>
      </c>
      <c r="I671" s="808" t="s">
        <v>1992</v>
      </c>
      <c r="J671" s="810">
        <v>64900000</v>
      </c>
      <c r="K671" s="808" t="s">
        <v>1993</v>
      </c>
      <c r="L671" s="808" t="s">
        <v>1177</v>
      </c>
      <c r="M671" s="808" t="s">
        <v>1973</v>
      </c>
      <c r="N671" s="808" t="s">
        <v>1973</v>
      </c>
      <c r="O671" s="808" t="s">
        <v>2024</v>
      </c>
      <c r="P671" s="808" t="s">
        <v>1995</v>
      </c>
      <c r="Q671" s="808" t="s">
        <v>1996</v>
      </c>
    </row>
    <row r="672" spans="1:17" x14ac:dyDescent="0.25">
      <c r="A672" s="808" t="s">
        <v>1987</v>
      </c>
      <c r="B672" s="808" t="s">
        <v>2316</v>
      </c>
      <c r="C672" s="809">
        <v>64900000</v>
      </c>
      <c r="D672" s="808" t="s">
        <v>1753</v>
      </c>
      <c r="E672" s="808" t="s">
        <v>1753</v>
      </c>
      <c r="F672" s="808" t="s">
        <v>2010</v>
      </c>
      <c r="G672" s="808" t="s">
        <v>1990</v>
      </c>
      <c r="H672" s="808" t="s">
        <v>1991</v>
      </c>
      <c r="I672" s="808" t="s">
        <v>1992</v>
      </c>
      <c r="J672" s="810">
        <v>64900000</v>
      </c>
      <c r="K672" s="808" t="s">
        <v>1993</v>
      </c>
      <c r="L672" s="808" t="s">
        <v>1177</v>
      </c>
      <c r="M672" s="808" t="s">
        <v>1973</v>
      </c>
      <c r="N672" s="808" t="s">
        <v>1973</v>
      </c>
      <c r="O672" s="808" t="s">
        <v>2024</v>
      </c>
      <c r="P672" s="808" t="s">
        <v>1995</v>
      </c>
      <c r="Q672" s="808" t="s">
        <v>1996</v>
      </c>
    </row>
    <row r="673" spans="1:17" x14ac:dyDescent="0.25">
      <c r="A673" s="808" t="s">
        <v>1987</v>
      </c>
      <c r="B673" s="808" t="s">
        <v>2316</v>
      </c>
      <c r="C673" s="809">
        <v>64900000</v>
      </c>
      <c r="D673" s="808" t="s">
        <v>1753</v>
      </c>
      <c r="E673" s="808" t="s">
        <v>1753</v>
      </c>
      <c r="F673" s="808" t="s">
        <v>2010</v>
      </c>
      <c r="G673" s="808" t="s">
        <v>1990</v>
      </c>
      <c r="H673" s="808" t="s">
        <v>1991</v>
      </c>
      <c r="I673" s="808" t="s">
        <v>1992</v>
      </c>
      <c r="J673" s="810">
        <v>64900000</v>
      </c>
      <c r="K673" s="808" t="s">
        <v>1993</v>
      </c>
      <c r="L673" s="808" t="s">
        <v>1177</v>
      </c>
      <c r="M673" s="808" t="s">
        <v>1973</v>
      </c>
      <c r="N673" s="808" t="s">
        <v>1973</v>
      </c>
      <c r="O673" s="808" t="s">
        <v>2024</v>
      </c>
      <c r="P673" s="808" t="s">
        <v>1995</v>
      </c>
      <c r="Q673" s="808" t="s">
        <v>1996</v>
      </c>
    </row>
    <row r="674" spans="1:17" x14ac:dyDescent="0.25">
      <c r="A674" s="808" t="s">
        <v>1987</v>
      </c>
      <c r="B674" s="808" t="s">
        <v>2316</v>
      </c>
      <c r="C674" s="809">
        <v>64900000</v>
      </c>
      <c r="D674" s="808" t="s">
        <v>1753</v>
      </c>
      <c r="E674" s="808" t="s">
        <v>1753</v>
      </c>
      <c r="F674" s="808" t="s">
        <v>2010</v>
      </c>
      <c r="G674" s="808" t="s">
        <v>1990</v>
      </c>
      <c r="H674" s="808" t="s">
        <v>1991</v>
      </c>
      <c r="I674" s="808" t="s">
        <v>1992</v>
      </c>
      <c r="J674" s="810">
        <v>64900000</v>
      </c>
      <c r="K674" s="808" t="s">
        <v>1993</v>
      </c>
      <c r="L674" s="808" t="s">
        <v>1177</v>
      </c>
      <c r="M674" s="808" t="s">
        <v>1973</v>
      </c>
      <c r="N674" s="808" t="s">
        <v>1973</v>
      </c>
      <c r="O674" s="808" t="s">
        <v>2024</v>
      </c>
      <c r="P674" s="808" t="s">
        <v>1995</v>
      </c>
      <c r="Q674" s="808" t="s">
        <v>1996</v>
      </c>
    </row>
    <row r="675" spans="1:17" x14ac:dyDescent="0.25">
      <c r="A675" s="808" t="s">
        <v>1987</v>
      </c>
      <c r="B675" s="808" t="s">
        <v>2316</v>
      </c>
      <c r="C675" s="809">
        <v>64900000</v>
      </c>
      <c r="D675" s="808" t="s">
        <v>1753</v>
      </c>
      <c r="E675" s="808" t="s">
        <v>1753</v>
      </c>
      <c r="F675" s="808" t="s">
        <v>2010</v>
      </c>
      <c r="G675" s="808" t="s">
        <v>1990</v>
      </c>
      <c r="H675" s="808" t="s">
        <v>1991</v>
      </c>
      <c r="I675" s="808" t="s">
        <v>1992</v>
      </c>
      <c r="J675" s="810">
        <v>64900000</v>
      </c>
      <c r="K675" s="808" t="s">
        <v>1993</v>
      </c>
      <c r="L675" s="808" t="s">
        <v>1177</v>
      </c>
      <c r="M675" s="808" t="s">
        <v>1973</v>
      </c>
      <c r="N675" s="808" t="s">
        <v>1973</v>
      </c>
      <c r="O675" s="808" t="s">
        <v>2024</v>
      </c>
      <c r="P675" s="808" t="s">
        <v>1995</v>
      </c>
      <c r="Q675" s="808" t="s">
        <v>1996</v>
      </c>
    </row>
    <row r="676" spans="1:17" x14ac:dyDescent="0.25">
      <c r="A676" s="808" t="s">
        <v>1987</v>
      </c>
      <c r="B676" s="808" t="s">
        <v>2790</v>
      </c>
      <c r="C676" s="809">
        <v>58900000</v>
      </c>
      <c r="D676" s="808" t="s">
        <v>1753</v>
      </c>
      <c r="E676" s="808" t="s">
        <v>1753</v>
      </c>
      <c r="F676" s="808" t="s">
        <v>2023</v>
      </c>
      <c r="G676" s="808" t="s">
        <v>1990</v>
      </c>
      <c r="H676" s="808" t="s">
        <v>1991</v>
      </c>
      <c r="I676" s="808" t="s">
        <v>1992</v>
      </c>
      <c r="J676" s="810">
        <v>58900000</v>
      </c>
      <c r="K676" s="808" t="s">
        <v>1993</v>
      </c>
      <c r="L676" s="808" t="s">
        <v>1177</v>
      </c>
      <c r="M676" s="808" t="s">
        <v>1973</v>
      </c>
      <c r="N676" s="808" t="s">
        <v>1973</v>
      </c>
      <c r="O676" s="808" t="s">
        <v>2107</v>
      </c>
      <c r="P676" s="808" t="s">
        <v>1995</v>
      </c>
      <c r="Q676" s="808" t="s">
        <v>2043</v>
      </c>
    </row>
    <row r="677" spans="1:17" x14ac:dyDescent="0.25">
      <c r="A677" s="808" t="s">
        <v>1987</v>
      </c>
      <c r="B677" s="808" t="s">
        <v>2791</v>
      </c>
      <c r="C677" s="809">
        <v>54000000</v>
      </c>
      <c r="D677" s="808" t="s">
        <v>1753</v>
      </c>
      <c r="E677" s="808" t="s">
        <v>1753</v>
      </c>
      <c r="F677" s="808" t="s">
        <v>2023</v>
      </c>
      <c r="G677" s="808" t="s">
        <v>1990</v>
      </c>
      <c r="H677" s="808" t="s">
        <v>1991</v>
      </c>
      <c r="I677" s="808" t="s">
        <v>1992</v>
      </c>
      <c r="J677" s="810">
        <v>54000000</v>
      </c>
      <c r="K677" s="808" t="s">
        <v>1993</v>
      </c>
      <c r="L677" s="808" t="s">
        <v>1177</v>
      </c>
      <c r="M677" s="808" t="s">
        <v>1973</v>
      </c>
      <c r="N677" s="808" t="s">
        <v>1973</v>
      </c>
      <c r="O677" s="808" t="s">
        <v>2107</v>
      </c>
      <c r="P677" s="808" t="s">
        <v>1995</v>
      </c>
      <c r="Q677" s="808" t="s">
        <v>2043</v>
      </c>
    </row>
    <row r="678" spans="1:17" x14ac:dyDescent="0.25">
      <c r="A678" s="808" t="s">
        <v>1987</v>
      </c>
      <c r="B678" s="808" t="s">
        <v>2792</v>
      </c>
      <c r="C678" s="809">
        <v>136056666</v>
      </c>
      <c r="D678" s="808" t="s">
        <v>1743</v>
      </c>
      <c r="E678" s="808" t="s">
        <v>1743</v>
      </c>
      <c r="F678" s="808" t="s">
        <v>2010</v>
      </c>
      <c r="G678" s="808" t="s">
        <v>1990</v>
      </c>
      <c r="H678" s="808" t="s">
        <v>1991</v>
      </c>
      <c r="I678" s="808" t="s">
        <v>1992</v>
      </c>
      <c r="J678" s="810">
        <v>136056666</v>
      </c>
      <c r="K678" s="808" t="s">
        <v>1993</v>
      </c>
      <c r="L678" s="808" t="s">
        <v>1177</v>
      </c>
      <c r="M678" s="808" t="s">
        <v>1973</v>
      </c>
      <c r="N678" s="808" t="s">
        <v>1973</v>
      </c>
      <c r="O678" s="808" t="s">
        <v>2107</v>
      </c>
      <c r="P678" s="808" t="s">
        <v>1995</v>
      </c>
      <c r="Q678" s="808" t="s">
        <v>2043</v>
      </c>
    </row>
    <row r="679" spans="1:17" x14ac:dyDescent="0.25">
      <c r="A679" s="808" t="s">
        <v>1987</v>
      </c>
      <c r="B679" s="808" t="s">
        <v>2793</v>
      </c>
      <c r="C679" s="809">
        <v>80000000</v>
      </c>
      <c r="D679" s="808" t="s">
        <v>1753</v>
      </c>
      <c r="E679" s="808" t="s">
        <v>1753</v>
      </c>
      <c r="F679" s="808" t="s">
        <v>2023</v>
      </c>
      <c r="G679" s="808" t="s">
        <v>1990</v>
      </c>
      <c r="H679" s="808" t="s">
        <v>1991</v>
      </c>
      <c r="I679" s="808" t="s">
        <v>1992</v>
      </c>
      <c r="J679" s="810">
        <v>80000000</v>
      </c>
      <c r="K679" s="808" t="s">
        <v>1993</v>
      </c>
      <c r="L679" s="808" t="s">
        <v>1177</v>
      </c>
      <c r="M679" s="808" t="s">
        <v>1973</v>
      </c>
      <c r="N679" s="808" t="s">
        <v>1973</v>
      </c>
      <c r="O679" s="808" t="s">
        <v>2107</v>
      </c>
      <c r="P679" s="808" t="s">
        <v>1995</v>
      </c>
      <c r="Q679" s="808" t="s">
        <v>2043</v>
      </c>
    </row>
    <row r="680" spans="1:17" x14ac:dyDescent="0.25">
      <c r="A680" s="808" t="s">
        <v>1987</v>
      </c>
      <c r="B680" s="808" t="s">
        <v>2794</v>
      </c>
      <c r="C680" s="809">
        <v>24000000</v>
      </c>
      <c r="D680" s="808" t="s">
        <v>1749</v>
      </c>
      <c r="E680" s="808" t="s">
        <v>1749</v>
      </c>
      <c r="F680" s="808" t="s">
        <v>2056</v>
      </c>
      <c r="G680" s="808" t="s">
        <v>1990</v>
      </c>
      <c r="H680" s="808" t="s">
        <v>1991</v>
      </c>
      <c r="I680" s="808" t="s">
        <v>1992</v>
      </c>
      <c r="J680" s="810">
        <v>24000000</v>
      </c>
      <c r="K680" s="808" t="s">
        <v>1993</v>
      </c>
      <c r="L680" s="808" t="s">
        <v>1177</v>
      </c>
      <c r="M680" s="808" t="s">
        <v>1973</v>
      </c>
      <c r="N680" s="808" t="s">
        <v>1973</v>
      </c>
      <c r="O680" s="808" t="s">
        <v>2107</v>
      </c>
      <c r="P680" s="808" t="s">
        <v>1995</v>
      </c>
      <c r="Q680" s="808" t="s">
        <v>2043</v>
      </c>
    </row>
    <row r="681" spans="1:17" x14ac:dyDescent="0.25">
      <c r="A681" s="808" t="s">
        <v>1987</v>
      </c>
      <c r="B681" s="808" t="s">
        <v>2795</v>
      </c>
      <c r="C681" s="809">
        <v>18000000</v>
      </c>
      <c r="D681" s="808" t="s">
        <v>1753</v>
      </c>
      <c r="E681" s="808" t="s">
        <v>1753</v>
      </c>
      <c r="F681" s="808" t="s">
        <v>2056</v>
      </c>
      <c r="G681" s="808" t="s">
        <v>1990</v>
      </c>
      <c r="H681" s="808" t="s">
        <v>1991</v>
      </c>
      <c r="I681" s="808" t="s">
        <v>1992</v>
      </c>
      <c r="J681" s="810">
        <v>18000000</v>
      </c>
      <c r="K681" s="808" t="s">
        <v>1993</v>
      </c>
      <c r="L681" s="808" t="s">
        <v>1177</v>
      </c>
      <c r="M681" s="808" t="s">
        <v>1973</v>
      </c>
      <c r="N681" s="808" t="s">
        <v>1973</v>
      </c>
      <c r="O681" s="808" t="s">
        <v>2107</v>
      </c>
      <c r="P681" s="808" t="s">
        <v>1995</v>
      </c>
      <c r="Q681" s="808" t="s">
        <v>2043</v>
      </c>
    </row>
    <row r="682" spans="1:17" x14ac:dyDescent="0.25">
      <c r="A682" s="808" t="s">
        <v>1987</v>
      </c>
      <c r="B682" s="808" t="s">
        <v>2796</v>
      </c>
      <c r="C682" s="809">
        <v>55000000</v>
      </c>
      <c r="D682" s="808" t="s">
        <v>1753</v>
      </c>
      <c r="E682" s="808" t="s">
        <v>1753</v>
      </c>
      <c r="F682" s="808" t="s">
        <v>2023</v>
      </c>
      <c r="G682" s="808" t="s">
        <v>1990</v>
      </c>
      <c r="H682" s="808" t="s">
        <v>1991</v>
      </c>
      <c r="I682" s="808" t="s">
        <v>1992</v>
      </c>
      <c r="J682" s="810">
        <v>55000000</v>
      </c>
      <c r="K682" s="808" t="s">
        <v>1993</v>
      </c>
      <c r="L682" s="808" t="s">
        <v>1177</v>
      </c>
      <c r="M682" s="808" t="s">
        <v>1973</v>
      </c>
      <c r="N682" s="808" t="s">
        <v>1973</v>
      </c>
      <c r="O682" s="808" t="s">
        <v>2107</v>
      </c>
      <c r="P682" s="808" t="s">
        <v>1995</v>
      </c>
      <c r="Q682" s="808" t="s">
        <v>2043</v>
      </c>
    </row>
    <row r="683" spans="1:17" x14ac:dyDescent="0.25">
      <c r="A683" s="808" t="s">
        <v>1987</v>
      </c>
      <c r="B683" s="808" t="s">
        <v>2797</v>
      </c>
      <c r="C683" s="809">
        <v>52833333</v>
      </c>
      <c r="D683" s="808" t="s">
        <v>1753</v>
      </c>
      <c r="E683" s="808" t="s">
        <v>1753</v>
      </c>
      <c r="F683" s="808" t="s">
        <v>2027</v>
      </c>
      <c r="G683" s="808" t="s">
        <v>1990</v>
      </c>
      <c r="H683" s="808" t="s">
        <v>1991</v>
      </c>
      <c r="I683" s="808" t="s">
        <v>1992</v>
      </c>
      <c r="J683" s="810">
        <v>52833333</v>
      </c>
      <c r="K683" s="808" t="s">
        <v>1993</v>
      </c>
      <c r="L683" s="808" t="s">
        <v>1177</v>
      </c>
      <c r="M683" s="808" t="s">
        <v>1973</v>
      </c>
      <c r="N683" s="808" t="s">
        <v>1973</v>
      </c>
      <c r="O683" s="808" t="s">
        <v>2107</v>
      </c>
      <c r="P683" s="808" t="s">
        <v>1995</v>
      </c>
      <c r="Q683" s="808" t="s">
        <v>2043</v>
      </c>
    </row>
    <row r="684" spans="1:17" x14ac:dyDescent="0.25">
      <c r="A684" s="808" t="s">
        <v>1987</v>
      </c>
      <c r="B684" s="808" t="s">
        <v>2798</v>
      </c>
      <c r="C684" s="809">
        <v>60282833</v>
      </c>
      <c r="D684" s="808" t="s">
        <v>1753</v>
      </c>
      <c r="E684" s="808" t="s">
        <v>1753</v>
      </c>
      <c r="F684" s="808" t="s">
        <v>2027</v>
      </c>
      <c r="G684" s="808" t="s">
        <v>1990</v>
      </c>
      <c r="H684" s="808" t="s">
        <v>1991</v>
      </c>
      <c r="I684" s="808" t="s">
        <v>1992</v>
      </c>
      <c r="J684" s="810">
        <v>60282833</v>
      </c>
      <c r="K684" s="808" t="s">
        <v>1993</v>
      </c>
      <c r="L684" s="808" t="s">
        <v>1177</v>
      </c>
      <c r="M684" s="808" t="s">
        <v>1973</v>
      </c>
      <c r="N684" s="808" t="s">
        <v>1973</v>
      </c>
      <c r="O684" s="808" t="s">
        <v>2107</v>
      </c>
      <c r="P684" s="808" t="s">
        <v>1995</v>
      </c>
      <c r="Q684" s="808" t="s">
        <v>2043</v>
      </c>
    </row>
    <row r="685" spans="1:17" x14ac:dyDescent="0.25">
      <c r="A685" s="808" t="s">
        <v>1987</v>
      </c>
      <c r="B685" s="808" t="s">
        <v>2395</v>
      </c>
      <c r="C685" s="809">
        <v>54661018</v>
      </c>
      <c r="D685" s="808" t="s">
        <v>1743</v>
      </c>
      <c r="E685" s="808" t="s">
        <v>1743</v>
      </c>
      <c r="F685" s="808" t="s">
        <v>2010</v>
      </c>
      <c r="G685" s="808" t="s">
        <v>1990</v>
      </c>
      <c r="H685" s="808" t="s">
        <v>1991</v>
      </c>
      <c r="I685" s="808" t="s">
        <v>1992</v>
      </c>
      <c r="J685" s="810">
        <v>54661018</v>
      </c>
      <c r="K685" s="808" t="s">
        <v>1993</v>
      </c>
      <c r="L685" s="808" t="s">
        <v>1177</v>
      </c>
      <c r="M685" s="808" t="s">
        <v>1973</v>
      </c>
      <c r="N685" s="808" t="s">
        <v>1973</v>
      </c>
      <c r="O685" s="808" t="s">
        <v>2107</v>
      </c>
      <c r="P685" s="808" t="s">
        <v>1995</v>
      </c>
      <c r="Q685" s="808" t="s">
        <v>2043</v>
      </c>
    </row>
    <row r="686" spans="1:17" x14ac:dyDescent="0.25">
      <c r="A686" s="808" t="s">
        <v>1987</v>
      </c>
      <c r="B686" s="808" t="s">
        <v>2799</v>
      </c>
      <c r="C686" s="809">
        <v>72000000</v>
      </c>
      <c r="D686" s="808" t="s">
        <v>1753</v>
      </c>
      <c r="E686" s="808" t="s">
        <v>1753</v>
      </c>
      <c r="F686" s="808" t="s">
        <v>2023</v>
      </c>
      <c r="G686" s="808" t="s">
        <v>1990</v>
      </c>
      <c r="H686" s="808" t="s">
        <v>1991</v>
      </c>
      <c r="I686" s="808" t="s">
        <v>1992</v>
      </c>
      <c r="J686" s="810">
        <v>72000000</v>
      </c>
      <c r="K686" s="808" t="s">
        <v>1993</v>
      </c>
      <c r="L686" s="808" t="s">
        <v>1177</v>
      </c>
      <c r="M686" s="808" t="s">
        <v>1973</v>
      </c>
      <c r="N686" s="808" t="s">
        <v>1973</v>
      </c>
      <c r="O686" s="808" t="s">
        <v>2107</v>
      </c>
      <c r="P686" s="808" t="s">
        <v>1995</v>
      </c>
      <c r="Q686" s="808" t="s">
        <v>2043</v>
      </c>
    </row>
    <row r="687" spans="1:17" x14ac:dyDescent="0.25">
      <c r="A687" s="808" t="s">
        <v>1987</v>
      </c>
      <c r="B687" s="808" t="s">
        <v>2800</v>
      </c>
      <c r="C687" s="809">
        <v>77500000</v>
      </c>
      <c r="D687" s="808" t="s">
        <v>1753</v>
      </c>
      <c r="E687" s="808" t="s">
        <v>1753</v>
      </c>
      <c r="F687" s="808" t="s">
        <v>2027</v>
      </c>
      <c r="G687" s="808" t="s">
        <v>1990</v>
      </c>
      <c r="H687" s="808" t="s">
        <v>1991</v>
      </c>
      <c r="I687" s="808" t="s">
        <v>1992</v>
      </c>
      <c r="J687" s="810">
        <v>77500000</v>
      </c>
      <c r="K687" s="808" t="s">
        <v>1993</v>
      </c>
      <c r="L687" s="808" t="s">
        <v>1177</v>
      </c>
      <c r="M687" s="808" t="s">
        <v>1973</v>
      </c>
      <c r="N687" s="808" t="s">
        <v>1973</v>
      </c>
      <c r="O687" s="808" t="s">
        <v>2107</v>
      </c>
      <c r="P687" s="808" t="s">
        <v>1995</v>
      </c>
      <c r="Q687" s="808" t="s">
        <v>2043</v>
      </c>
    </row>
    <row r="688" spans="1:17" x14ac:dyDescent="0.25">
      <c r="A688" s="808" t="s">
        <v>2305</v>
      </c>
      <c r="B688" s="808" t="s">
        <v>2801</v>
      </c>
      <c r="C688" s="809">
        <v>5580000000</v>
      </c>
      <c r="D688" s="808" t="s">
        <v>1750</v>
      </c>
      <c r="E688" s="808" t="s">
        <v>1757</v>
      </c>
      <c r="F688" s="808" t="s">
        <v>2056</v>
      </c>
      <c r="G688" s="808" t="s">
        <v>1990</v>
      </c>
      <c r="H688" s="808" t="s">
        <v>2122</v>
      </c>
      <c r="I688" s="808" t="s">
        <v>1992</v>
      </c>
      <c r="J688" s="810">
        <v>5580000000</v>
      </c>
      <c r="K688" s="808" t="s">
        <v>1993</v>
      </c>
      <c r="L688" s="808" t="s">
        <v>1177</v>
      </c>
      <c r="M688" s="808" t="s">
        <v>1973</v>
      </c>
      <c r="N688" s="808" t="s">
        <v>1973</v>
      </c>
      <c r="O688" s="808" t="s">
        <v>2024</v>
      </c>
      <c r="P688" s="808" t="s">
        <v>1995</v>
      </c>
      <c r="Q688" s="808" t="s">
        <v>1996</v>
      </c>
    </row>
    <row r="689" spans="1:17" x14ac:dyDescent="0.25">
      <c r="A689" s="808" t="s">
        <v>2802</v>
      </c>
      <c r="B689" s="808" t="s">
        <v>2803</v>
      </c>
      <c r="C689" s="809">
        <v>3720000000</v>
      </c>
      <c r="D689" s="808" t="s">
        <v>2499</v>
      </c>
      <c r="E689" s="808" t="s">
        <v>2499</v>
      </c>
      <c r="F689" s="808" t="s">
        <v>2000</v>
      </c>
      <c r="G689" s="808" t="s">
        <v>1990</v>
      </c>
      <c r="H689" s="808" t="s">
        <v>1991</v>
      </c>
      <c r="I689" s="808" t="s">
        <v>1992</v>
      </c>
      <c r="J689" s="810">
        <v>3720000000</v>
      </c>
      <c r="K689" s="808" t="s">
        <v>1993</v>
      </c>
      <c r="L689" s="808" t="s">
        <v>1177</v>
      </c>
      <c r="M689" s="808" t="s">
        <v>1973</v>
      </c>
      <c r="N689" s="808" t="s">
        <v>1973</v>
      </c>
      <c r="O689" s="808" t="s">
        <v>2024</v>
      </c>
      <c r="P689" s="808" t="s">
        <v>1995</v>
      </c>
      <c r="Q689" s="808" t="s">
        <v>1996</v>
      </c>
    </row>
    <row r="690" spans="1:17" x14ac:dyDescent="0.25">
      <c r="A690" s="808" t="s">
        <v>1987</v>
      </c>
      <c r="B690" s="808" t="s">
        <v>2804</v>
      </c>
      <c r="C690" s="809">
        <v>90000000</v>
      </c>
      <c r="D690" s="808" t="s">
        <v>1749</v>
      </c>
      <c r="E690" s="808" t="s">
        <v>1749</v>
      </c>
      <c r="F690" s="808" t="s">
        <v>2000</v>
      </c>
      <c r="G690" s="808" t="s">
        <v>1990</v>
      </c>
      <c r="H690" s="808" t="s">
        <v>1991</v>
      </c>
      <c r="I690" s="808" t="s">
        <v>1992</v>
      </c>
      <c r="J690" s="810">
        <v>90000000</v>
      </c>
      <c r="K690" s="808" t="s">
        <v>1993</v>
      </c>
      <c r="L690" s="808" t="s">
        <v>1177</v>
      </c>
      <c r="M690" s="808" t="s">
        <v>1973</v>
      </c>
      <c r="N690" s="808" t="s">
        <v>1973</v>
      </c>
      <c r="O690" s="808" t="s">
        <v>2067</v>
      </c>
      <c r="P690" s="808" t="s">
        <v>1995</v>
      </c>
      <c r="Q690" s="808" t="s">
        <v>2002</v>
      </c>
    </row>
    <row r="691" spans="1:17" x14ac:dyDescent="0.25">
      <c r="A691" s="808" t="s">
        <v>1987</v>
      </c>
      <c r="B691" s="808" t="s">
        <v>2805</v>
      </c>
      <c r="C691" s="809">
        <v>90000000</v>
      </c>
      <c r="D691" s="808" t="s">
        <v>1749</v>
      </c>
      <c r="E691" s="808" t="s">
        <v>1749</v>
      </c>
      <c r="F691" s="808" t="s">
        <v>2000</v>
      </c>
      <c r="G691" s="808" t="s">
        <v>1990</v>
      </c>
      <c r="H691" s="808" t="s">
        <v>1991</v>
      </c>
      <c r="I691" s="808" t="s">
        <v>1992</v>
      </c>
      <c r="J691" s="810">
        <v>90000000</v>
      </c>
      <c r="K691" s="808" t="s">
        <v>1993</v>
      </c>
      <c r="L691" s="808" t="s">
        <v>1177</v>
      </c>
      <c r="M691" s="808" t="s">
        <v>1973</v>
      </c>
      <c r="N691" s="808" t="s">
        <v>1973</v>
      </c>
      <c r="O691" s="808" t="s">
        <v>2067</v>
      </c>
      <c r="P691" s="808" t="s">
        <v>1995</v>
      </c>
      <c r="Q691" s="808" t="s">
        <v>2002</v>
      </c>
    </row>
    <row r="692" spans="1:17" x14ac:dyDescent="0.25">
      <c r="A692" s="808" t="s">
        <v>1987</v>
      </c>
      <c r="B692" s="808" t="s">
        <v>2806</v>
      </c>
      <c r="C692" s="809">
        <v>72000000</v>
      </c>
      <c r="D692" s="808" t="s">
        <v>1749</v>
      </c>
      <c r="E692" s="808" t="s">
        <v>1749</v>
      </c>
      <c r="F692" s="808" t="s">
        <v>2000</v>
      </c>
      <c r="G692" s="808" t="s">
        <v>1990</v>
      </c>
      <c r="H692" s="808" t="s">
        <v>1991</v>
      </c>
      <c r="I692" s="808" t="s">
        <v>1992</v>
      </c>
      <c r="J692" s="810">
        <v>72000000</v>
      </c>
      <c r="K692" s="808" t="s">
        <v>1993</v>
      </c>
      <c r="L692" s="808" t="s">
        <v>1177</v>
      </c>
      <c r="M692" s="808" t="s">
        <v>1973</v>
      </c>
      <c r="N692" s="808" t="s">
        <v>1973</v>
      </c>
      <c r="O692" s="808" t="s">
        <v>2067</v>
      </c>
      <c r="P692" s="808" t="s">
        <v>1995</v>
      </c>
      <c r="Q692" s="808" t="s">
        <v>2002</v>
      </c>
    </row>
    <row r="693" spans="1:17" x14ac:dyDescent="0.25">
      <c r="A693" s="808" t="s">
        <v>1987</v>
      </c>
      <c r="B693" s="808" t="s">
        <v>2807</v>
      </c>
      <c r="C693" s="809">
        <v>72000000</v>
      </c>
      <c r="D693" s="808" t="s">
        <v>1749</v>
      </c>
      <c r="E693" s="808" t="s">
        <v>1749</v>
      </c>
      <c r="F693" s="808" t="s">
        <v>2000</v>
      </c>
      <c r="G693" s="808" t="s">
        <v>1990</v>
      </c>
      <c r="H693" s="808" t="s">
        <v>1991</v>
      </c>
      <c r="I693" s="808" t="s">
        <v>1992</v>
      </c>
      <c r="J693" s="810">
        <v>72000000</v>
      </c>
      <c r="K693" s="808" t="s">
        <v>1993</v>
      </c>
      <c r="L693" s="808" t="s">
        <v>1177</v>
      </c>
      <c r="M693" s="808" t="s">
        <v>1973</v>
      </c>
      <c r="N693" s="808" t="s">
        <v>1973</v>
      </c>
      <c r="O693" s="808" t="s">
        <v>2067</v>
      </c>
      <c r="P693" s="808" t="s">
        <v>1995</v>
      </c>
      <c r="Q693" s="808" t="s">
        <v>2002</v>
      </c>
    </row>
    <row r="694" spans="1:17" x14ac:dyDescent="0.25">
      <c r="A694" s="808" t="s">
        <v>1987</v>
      </c>
      <c r="B694" s="808" t="s">
        <v>2808</v>
      </c>
      <c r="C694" s="809">
        <v>48000000</v>
      </c>
      <c r="D694" s="808" t="s">
        <v>1749</v>
      </c>
      <c r="E694" s="808" t="s">
        <v>1749</v>
      </c>
      <c r="F694" s="808" t="s">
        <v>2000</v>
      </c>
      <c r="G694" s="808" t="s">
        <v>1990</v>
      </c>
      <c r="H694" s="808" t="s">
        <v>1991</v>
      </c>
      <c r="I694" s="808" t="s">
        <v>1992</v>
      </c>
      <c r="J694" s="810">
        <v>48000000</v>
      </c>
      <c r="K694" s="808" t="s">
        <v>1993</v>
      </c>
      <c r="L694" s="808" t="s">
        <v>1177</v>
      </c>
      <c r="M694" s="808" t="s">
        <v>1973</v>
      </c>
      <c r="N694" s="808" t="s">
        <v>1973</v>
      </c>
      <c r="O694" s="808" t="s">
        <v>2067</v>
      </c>
      <c r="P694" s="808" t="s">
        <v>1995</v>
      </c>
      <c r="Q694" s="808" t="s">
        <v>2002</v>
      </c>
    </row>
    <row r="695" spans="1:17" x14ac:dyDescent="0.25">
      <c r="A695" s="808" t="s">
        <v>1987</v>
      </c>
      <c r="B695" s="808" t="s">
        <v>2809</v>
      </c>
      <c r="C695" s="809">
        <v>48000000</v>
      </c>
      <c r="D695" s="808" t="s">
        <v>1749</v>
      </c>
      <c r="E695" s="808" t="s">
        <v>1749</v>
      </c>
      <c r="F695" s="808" t="s">
        <v>2000</v>
      </c>
      <c r="G695" s="808" t="s">
        <v>1990</v>
      </c>
      <c r="H695" s="808" t="s">
        <v>1991</v>
      </c>
      <c r="I695" s="808" t="s">
        <v>1992</v>
      </c>
      <c r="J695" s="810">
        <v>48000000</v>
      </c>
      <c r="K695" s="808" t="s">
        <v>1993</v>
      </c>
      <c r="L695" s="808" t="s">
        <v>1177</v>
      </c>
      <c r="M695" s="808" t="s">
        <v>1973</v>
      </c>
      <c r="N695" s="808" t="s">
        <v>1973</v>
      </c>
      <c r="O695" s="808" t="s">
        <v>2067</v>
      </c>
      <c r="P695" s="808" t="s">
        <v>1995</v>
      </c>
      <c r="Q695" s="808" t="s">
        <v>2002</v>
      </c>
    </row>
    <row r="696" spans="1:17" x14ac:dyDescent="0.25">
      <c r="A696" s="808" t="s">
        <v>1987</v>
      </c>
      <c r="B696" s="808" t="s">
        <v>2810</v>
      </c>
      <c r="C696" s="809">
        <v>48000000</v>
      </c>
      <c r="D696" s="808" t="s">
        <v>1749</v>
      </c>
      <c r="E696" s="808" t="s">
        <v>1749</v>
      </c>
      <c r="F696" s="808" t="s">
        <v>2000</v>
      </c>
      <c r="G696" s="808" t="s">
        <v>1990</v>
      </c>
      <c r="H696" s="808" t="s">
        <v>1991</v>
      </c>
      <c r="I696" s="808" t="s">
        <v>1992</v>
      </c>
      <c r="J696" s="810">
        <v>48000000</v>
      </c>
      <c r="K696" s="808" t="s">
        <v>1993</v>
      </c>
      <c r="L696" s="808" t="s">
        <v>1177</v>
      </c>
      <c r="M696" s="808" t="s">
        <v>1973</v>
      </c>
      <c r="N696" s="808" t="s">
        <v>1973</v>
      </c>
      <c r="O696" s="808" t="s">
        <v>2067</v>
      </c>
      <c r="P696" s="808" t="s">
        <v>1995</v>
      </c>
      <c r="Q696" s="808" t="s">
        <v>2002</v>
      </c>
    </row>
    <row r="697" spans="1:17" x14ac:dyDescent="0.25">
      <c r="A697" s="808" t="s">
        <v>1987</v>
      </c>
      <c r="B697" s="808" t="s">
        <v>2811</v>
      </c>
      <c r="C697" s="809">
        <v>48000000</v>
      </c>
      <c r="D697" s="808" t="s">
        <v>1749</v>
      </c>
      <c r="E697" s="808" t="s">
        <v>1749</v>
      </c>
      <c r="F697" s="808" t="s">
        <v>2000</v>
      </c>
      <c r="G697" s="808" t="s">
        <v>1990</v>
      </c>
      <c r="H697" s="808" t="s">
        <v>1991</v>
      </c>
      <c r="I697" s="808" t="s">
        <v>1992</v>
      </c>
      <c r="J697" s="810">
        <v>48000000</v>
      </c>
      <c r="K697" s="808" t="s">
        <v>1993</v>
      </c>
      <c r="L697" s="808" t="s">
        <v>1177</v>
      </c>
      <c r="M697" s="808" t="s">
        <v>1973</v>
      </c>
      <c r="N697" s="808" t="s">
        <v>1973</v>
      </c>
      <c r="O697" s="808" t="s">
        <v>2067</v>
      </c>
      <c r="P697" s="808" t="s">
        <v>1995</v>
      </c>
      <c r="Q697" s="808" t="s">
        <v>2002</v>
      </c>
    </row>
    <row r="698" spans="1:17" x14ac:dyDescent="0.25">
      <c r="A698" s="808" t="s">
        <v>1987</v>
      </c>
      <c r="B698" s="808" t="s">
        <v>2812</v>
      </c>
      <c r="C698" s="809">
        <v>13625000</v>
      </c>
      <c r="D698" s="808" t="s">
        <v>1773</v>
      </c>
      <c r="E698" s="808" t="s">
        <v>1773</v>
      </c>
      <c r="F698" s="808" t="s">
        <v>2077</v>
      </c>
      <c r="G698" s="808" t="s">
        <v>1990</v>
      </c>
      <c r="H698" s="808" t="s">
        <v>1991</v>
      </c>
      <c r="I698" s="808" t="s">
        <v>1992</v>
      </c>
      <c r="J698" s="810">
        <v>13625000</v>
      </c>
      <c r="K698" s="808" t="s">
        <v>1993</v>
      </c>
      <c r="L698" s="808" t="s">
        <v>1177</v>
      </c>
      <c r="M698" s="808" t="s">
        <v>1973</v>
      </c>
      <c r="N698" s="808" t="s">
        <v>1973</v>
      </c>
      <c r="O698" s="808" t="s">
        <v>2005</v>
      </c>
      <c r="P698" s="808" t="s">
        <v>1995</v>
      </c>
      <c r="Q698" s="808" t="s">
        <v>2006</v>
      </c>
    </row>
    <row r="699" spans="1:17" x14ac:dyDescent="0.25">
      <c r="A699" s="808" t="s">
        <v>1987</v>
      </c>
      <c r="B699" s="808" t="s">
        <v>2813</v>
      </c>
      <c r="C699" s="809">
        <v>13625000</v>
      </c>
      <c r="D699" s="808" t="s">
        <v>1773</v>
      </c>
      <c r="E699" s="808" t="s">
        <v>1773</v>
      </c>
      <c r="F699" s="808" t="s">
        <v>2077</v>
      </c>
      <c r="G699" s="808" t="s">
        <v>1990</v>
      </c>
      <c r="H699" s="808" t="s">
        <v>1991</v>
      </c>
      <c r="I699" s="808" t="s">
        <v>1992</v>
      </c>
      <c r="J699" s="810">
        <v>13625000</v>
      </c>
      <c r="K699" s="808" t="s">
        <v>1993</v>
      </c>
      <c r="L699" s="808" t="s">
        <v>1177</v>
      </c>
      <c r="M699" s="808" t="s">
        <v>1973</v>
      </c>
      <c r="N699" s="808" t="s">
        <v>1973</v>
      </c>
      <c r="O699" s="808" t="s">
        <v>2005</v>
      </c>
      <c r="P699" s="808" t="s">
        <v>1995</v>
      </c>
      <c r="Q699" s="808" t="s">
        <v>2006</v>
      </c>
    </row>
    <row r="700" spans="1:17" x14ac:dyDescent="0.25">
      <c r="A700" s="808" t="s">
        <v>1987</v>
      </c>
      <c r="B700" s="808" t="s">
        <v>2814</v>
      </c>
      <c r="C700" s="809">
        <v>13625000</v>
      </c>
      <c r="D700" s="808" t="s">
        <v>1773</v>
      </c>
      <c r="E700" s="808" t="s">
        <v>1773</v>
      </c>
      <c r="F700" s="808" t="s">
        <v>2077</v>
      </c>
      <c r="G700" s="808" t="s">
        <v>1990</v>
      </c>
      <c r="H700" s="808" t="s">
        <v>1991</v>
      </c>
      <c r="I700" s="808" t="s">
        <v>1992</v>
      </c>
      <c r="J700" s="810">
        <v>13625000</v>
      </c>
      <c r="K700" s="808" t="s">
        <v>1993</v>
      </c>
      <c r="L700" s="808" t="s">
        <v>1177</v>
      </c>
      <c r="M700" s="808" t="s">
        <v>1973</v>
      </c>
      <c r="N700" s="808" t="s">
        <v>1973</v>
      </c>
      <c r="O700" s="808" t="s">
        <v>2005</v>
      </c>
      <c r="P700" s="808" t="s">
        <v>1995</v>
      </c>
      <c r="Q700" s="808" t="s">
        <v>2006</v>
      </c>
    </row>
    <row r="701" spans="1:17" x14ac:dyDescent="0.25">
      <c r="A701" s="808" t="s">
        <v>1987</v>
      </c>
      <c r="B701" s="808" t="s">
        <v>2815</v>
      </c>
      <c r="C701" s="809">
        <v>13625000</v>
      </c>
      <c r="D701" s="808" t="s">
        <v>1773</v>
      </c>
      <c r="E701" s="808" t="s">
        <v>1773</v>
      </c>
      <c r="F701" s="808" t="s">
        <v>2077</v>
      </c>
      <c r="G701" s="808" t="s">
        <v>1990</v>
      </c>
      <c r="H701" s="808" t="s">
        <v>1991</v>
      </c>
      <c r="I701" s="808" t="s">
        <v>1992</v>
      </c>
      <c r="J701" s="810">
        <v>13625000</v>
      </c>
      <c r="K701" s="808" t="s">
        <v>1993</v>
      </c>
      <c r="L701" s="808" t="s">
        <v>1177</v>
      </c>
      <c r="M701" s="808" t="s">
        <v>1973</v>
      </c>
      <c r="N701" s="808" t="s">
        <v>1973</v>
      </c>
      <c r="O701" s="808" t="s">
        <v>2005</v>
      </c>
      <c r="P701" s="808" t="s">
        <v>1995</v>
      </c>
      <c r="Q701" s="808" t="s">
        <v>2006</v>
      </c>
    </row>
    <row r="702" spans="1:17" x14ac:dyDescent="0.25">
      <c r="A702" s="808" t="s">
        <v>1987</v>
      </c>
      <c r="B702" s="808" t="s">
        <v>2816</v>
      </c>
      <c r="C702" s="809">
        <v>13625000</v>
      </c>
      <c r="D702" s="808" t="s">
        <v>1773</v>
      </c>
      <c r="E702" s="808" t="s">
        <v>1773</v>
      </c>
      <c r="F702" s="808" t="s">
        <v>2077</v>
      </c>
      <c r="G702" s="808" t="s">
        <v>1990</v>
      </c>
      <c r="H702" s="808" t="s">
        <v>1991</v>
      </c>
      <c r="I702" s="808" t="s">
        <v>1992</v>
      </c>
      <c r="J702" s="810">
        <v>13625000</v>
      </c>
      <c r="K702" s="808" t="s">
        <v>1993</v>
      </c>
      <c r="L702" s="808" t="s">
        <v>1177</v>
      </c>
      <c r="M702" s="808" t="s">
        <v>1973</v>
      </c>
      <c r="N702" s="808" t="s">
        <v>1973</v>
      </c>
      <c r="O702" s="808" t="s">
        <v>2005</v>
      </c>
      <c r="P702" s="808" t="s">
        <v>1995</v>
      </c>
      <c r="Q702" s="808" t="s">
        <v>2006</v>
      </c>
    </row>
    <row r="703" spans="1:17" x14ac:dyDescent="0.25">
      <c r="A703" s="808" t="s">
        <v>1987</v>
      </c>
      <c r="B703" s="808" t="s">
        <v>2817</v>
      </c>
      <c r="C703" s="809">
        <v>13625000</v>
      </c>
      <c r="D703" s="808" t="s">
        <v>1773</v>
      </c>
      <c r="E703" s="808" t="s">
        <v>1773</v>
      </c>
      <c r="F703" s="808" t="s">
        <v>2077</v>
      </c>
      <c r="G703" s="808" t="s">
        <v>1990</v>
      </c>
      <c r="H703" s="808" t="s">
        <v>1991</v>
      </c>
      <c r="I703" s="808" t="s">
        <v>1992</v>
      </c>
      <c r="J703" s="810">
        <v>13625000</v>
      </c>
      <c r="K703" s="808" t="s">
        <v>1993</v>
      </c>
      <c r="L703" s="808" t="s">
        <v>1177</v>
      </c>
      <c r="M703" s="808" t="s">
        <v>1973</v>
      </c>
      <c r="N703" s="808" t="s">
        <v>1973</v>
      </c>
      <c r="O703" s="808" t="s">
        <v>2005</v>
      </c>
      <c r="P703" s="808" t="s">
        <v>1995</v>
      </c>
      <c r="Q703" s="808" t="s">
        <v>2006</v>
      </c>
    </row>
    <row r="704" spans="1:17" x14ac:dyDescent="0.25">
      <c r="A704" s="808" t="s">
        <v>1987</v>
      </c>
      <c r="B704" s="808" t="s">
        <v>2818</v>
      </c>
      <c r="C704" s="809">
        <v>13625000</v>
      </c>
      <c r="D704" s="808" t="s">
        <v>1773</v>
      </c>
      <c r="E704" s="808" t="s">
        <v>1773</v>
      </c>
      <c r="F704" s="808" t="s">
        <v>2077</v>
      </c>
      <c r="G704" s="808" t="s">
        <v>1990</v>
      </c>
      <c r="H704" s="808" t="s">
        <v>1991</v>
      </c>
      <c r="I704" s="808" t="s">
        <v>1992</v>
      </c>
      <c r="J704" s="810">
        <v>13625000</v>
      </c>
      <c r="K704" s="808" t="s">
        <v>1993</v>
      </c>
      <c r="L704" s="808" t="s">
        <v>1177</v>
      </c>
      <c r="M704" s="808" t="s">
        <v>1973</v>
      </c>
      <c r="N704" s="808" t="s">
        <v>1973</v>
      </c>
      <c r="O704" s="808" t="s">
        <v>2005</v>
      </c>
      <c r="P704" s="808" t="s">
        <v>1995</v>
      </c>
      <c r="Q704" s="808" t="s">
        <v>2006</v>
      </c>
    </row>
    <row r="705" spans="1:17" x14ac:dyDescent="0.25">
      <c r="A705" s="808" t="s">
        <v>1987</v>
      </c>
      <c r="B705" s="808" t="s">
        <v>2819</v>
      </c>
      <c r="C705" s="809">
        <v>13625000</v>
      </c>
      <c r="D705" s="808" t="s">
        <v>1773</v>
      </c>
      <c r="E705" s="808" t="s">
        <v>1773</v>
      </c>
      <c r="F705" s="808" t="s">
        <v>2077</v>
      </c>
      <c r="G705" s="808" t="s">
        <v>1990</v>
      </c>
      <c r="H705" s="808" t="s">
        <v>1991</v>
      </c>
      <c r="I705" s="808" t="s">
        <v>1992</v>
      </c>
      <c r="J705" s="810">
        <v>13625000</v>
      </c>
      <c r="K705" s="808" t="s">
        <v>1993</v>
      </c>
      <c r="L705" s="808" t="s">
        <v>1177</v>
      </c>
      <c r="M705" s="808" t="s">
        <v>1973</v>
      </c>
      <c r="N705" s="808" t="s">
        <v>1973</v>
      </c>
      <c r="O705" s="808" t="s">
        <v>2005</v>
      </c>
      <c r="P705" s="808" t="s">
        <v>1995</v>
      </c>
      <c r="Q705" s="808" t="s">
        <v>2006</v>
      </c>
    </row>
    <row r="706" spans="1:17" x14ac:dyDescent="0.25">
      <c r="A706" s="808" t="s">
        <v>1987</v>
      </c>
      <c r="B706" s="808" t="s">
        <v>2820</v>
      </c>
      <c r="C706" s="809">
        <v>13625000</v>
      </c>
      <c r="D706" s="808" t="s">
        <v>1773</v>
      </c>
      <c r="E706" s="808" t="s">
        <v>1773</v>
      </c>
      <c r="F706" s="808" t="s">
        <v>2077</v>
      </c>
      <c r="G706" s="808" t="s">
        <v>1990</v>
      </c>
      <c r="H706" s="808" t="s">
        <v>1991</v>
      </c>
      <c r="I706" s="808" t="s">
        <v>1992</v>
      </c>
      <c r="J706" s="810">
        <v>13625000</v>
      </c>
      <c r="K706" s="808" t="s">
        <v>1993</v>
      </c>
      <c r="L706" s="808" t="s">
        <v>1177</v>
      </c>
      <c r="M706" s="808" t="s">
        <v>1973</v>
      </c>
      <c r="N706" s="808" t="s">
        <v>1973</v>
      </c>
      <c r="O706" s="808" t="s">
        <v>2005</v>
      </c>
      <c r="P706" s="808" t="s">
        <v>1995</v>
      </c>
      <c r="Q706" s="808" t="s">
        <v>2006</v>
      </c>
    </row>
    <row r="707" spans="1:17" x14ac:dyDescent="0.25">
      <c r="A707" s="808" t="s">
        <v>1987</v>
      </c>
      <c r="B707" s="808" t="s">
        <v>2821</v>
      </c>
      <c r="C707" s="809">
        <v>13625000</v>
      </c>
      <c r="D707" s="808" t="s">
        <v>1773</v>
      </c>
      <c r="E707" s="808" t="s">
        <v>1773</v>
      </c>
      <c r="F707" s="808" t="s">
        <v>2077</v>
      </c>
      <c r="G707" s="808" t="s">
        <v>1990</v>
      </c>
      <c r="H707" s="808" t="s">
        <v>1991</v>
      </c>
      <c r="I707" s="808" t="s">
        <v>1992</v>
      </c>
      <c r="J707" s="810">
        <v>13625000</v>
      </c>
      <c r="K707" s="808" t="s">
        <v>1993</v>
      </c>
      <c r="L707" s="808" t="s">
        <v>1177</v>
      </c>
      <c r="M707" s="808" t="s">
        <v>1973</v>
      </c>
      <c r="N707" s="808" t="s">
        <v>1973</v>
      </c>
      <c r="O707" s="808" t="s">
        <v>2005</v>
      </c>
      <c r="P707" s="808" t="s">
        <v>1995</v>
      </c>
      <c r="Q707" s="808" t="s">
        <v>2006</v>
      </c>
    </row>
    <row r="708" spans="1:17" x14ac:dyDescent="0.25">
      <c r="A708" s="808" t="s">
        <v>1987</v>
      </c>
      <c r="B708" s="808" t="s">
        <v>2822</v>
      </c>
      <c r="C708" s="809">
        <v>13625000</v>
      </c>
      <c r="D708" s="808" t="s">
        <v>1773</v>
      </c>
      <c r="E708" s="808" t="s">
        <v>1773</v>
      </c>
      <c r="F708" s="808" t="s">
        <v>2077</v>
      </c>
      <c r="G708" s="808" t="s">
        <v>1990</v>
      </c>
      <c r="H708" s="808" t="s">
        <v>1991</v>
      </c>
      <c r="I708" s="808" t="s">
        <v>1992</v>
      </c>
      <c r="J708" s="810">
        <v>13625000</v>
      </c>
      <c r="K708" s="808" t="s">
        <v>1993</v>
      </c>
      <c r="L708" s="808" t="s">
        <v>1177</v>
      </c>
      <c r="M708" s="808" t="s">
        <v>1973</v>
      </c>
      <c r="N708" s="808" t="s">
        <v>1973</v>
      </c>
      <c r="O708" s="808" t="s">
        <v>2005</v>
      </c>
      <c r="P708" s="808" t="s">
        <v>1995</v>
      </c>
      <c r="Q708" s="808" t="s">
        <v>2006</v>
      </c>
    </row>
    <row r="709" spans="1:17" x14ac:dyDescent="0.25">
      <c r="A709" s="808" t="s">
        <v>1987</v>
      </c>
      <c r="B709" s="808" t="s">
        <v>2823</v>
      </c>
      <c r="C709" s="809">
        <v>13625000</v>
      </c>
      <c r="D709" s="808" t="s">
        <v>1773</v>
      </c>
      <c r="E709" s="808" t="s">
        <v>1773</v>
      </c>
      <c r="F709" s="808" t="s">
        <v>2077</v>
      </c>
      <c r="G709" s="808" t="s">
        <v>1990</v>
      </c>
      <c r="H709" s="808" t="s">
        <v>1991</v>
      </c>
      <c r="I709" s="808" t="s">
        <v>1992</v>
      </c>
      <c r="J709" s="810">
        <v>13625000</v>
      </c>
      <c r="K709" s="808" t="s">
        <v>1993</v>
      </c>
      <c r="L709" s="808" t="s">
        <v>1177</v>
      </c>
      <c r="M709" s="808" t="s">
        <v>1973</v>
      </c>
      <c r="N709" s="808" t="s">
        <v>1973</v>
      </c>
      <c r="O709" s="808" t="s">
        <v>2005</v>
      </c>
      <c r="P709" s="808" t="s">
        <v>1995</v>
      </c>
      <c r="Q709" s="808" t="s">
        <v>2006</v>
      </c>
    </row>
    <row r="710" spans="1:17" x14ac:dyDescent="0.25">
      <c r="A710" s="808" t="s">
        <v>1987</v>
      </c>
      <c r="B710" s="808" t="s">
        <v>2824</v>
      </c>
      <c r="C710" s="809">
        <v>13625000</v>
      </c>
      <c r="D710" s="808" t="s">
        <v>1773</v>
      </c>
      <c r="E710" s="808" t="s">
        <v>1773</v>
      </c>
      <c r="F710" s="808" t="s">
        <v>2077</v>
      </c>
      <c r="G710" s="808" t="s">
        <v>1990</v>
      </c>
      <c r="H710" s="808" t="s">
        <v>1991</v>
      </c>
      <c r="I710" s="808" t="s">
        <v>1992</v>
      </c>
      <c r="J710" s="810">
        <v>13625000</v>
      </c>
      <c r="K710" s="808" t="s">
        <v>1993</v>
      </c>
      <c r="L710" s="808" t="s">
        <v>1177</v>
      </c>
      <c r="M710" s="808" t="s">
        <v>1973</v>
      </c>
      <c r="N710" s="808" t="s">
        <v>1973</v>
      </c>
      <c r="O710" s="808" t="s">
        <v>2005</v>
      </c>
      <c r="P710" s="808" t="s">
        <v>1995</v>
      </c>
      <c r="Q710" s="808" t="s">
        <v>2006</v>
      </c>
    </row>
    <row r="711" spans="1:17" x14ac:dyDescent="0.25">
      <c r="A711" s="808" t="s">
        <v>1987</v>
      </c>
      <c r="B711" s="808" t="s">
        <v>2825</v>
      </c>
      <c r="C711" s="809">
        <v>13625000</v>
      </c>
      <c r="D711" s="808" t="s">
        <v>1773</v>
      </c>
      <c r="E711" s="808" t="s">
        <v>1773</v>
      </c>
      <c r="F711" s="808" t="s">
        <v>2077</v>
      </c>
      <c r="G711" s="808" t="s">
        <v>1990</v>
      </c>
      <c r="H711" s="808" t="s">
        <v>1991</v>
      </c>
      <c r="I711" s="808" t="s">
        <v>1992</v>
      </c>
      <c r="J711" s="810">
        <v>13625000</v>
      </c>
      <c r="K711" s="808" t="s">
        <v>1993</v>
      </c>
      <c r="L711" s="808" t="s">
        <v>1177</v>
      </c>
      <c r="M711" s="808" t="s">
        <v>1973</v>
      </c>
      <c r="N711" s="808" t="s">
        <v>1973</v>
      </c>
      <c r="O711" s="808" t="s">
        <v>2005</v>
      </c>
      <c r="P711" s="808" t="s">
        <v>1995</v>
      </c>
      <c r="Q711" s="808" t="s">
        <v>2006</v>
      </c>
    </row>
    <row r="712" spans="1:17" x14ac:dyDescent="0.25">
      <c r="A712" s="808" t="s">
        <v>1987</v>
      </c>
      <c r="B712" s="808" t="s">
        <v>2826</v>
      </c>
      <c r="C712" s="809">
        <v>13625000</v>
      </c>
      <c r="D712" s="808" t="s">
        <v>1773</v>
      </c>
      <c r="E712" s="808" t="s">
        <v>1773</v>
      </c>
      <c r="F712" s="808" t="s">
        <v>2077</v>
      </c>
      <c r="G712" s="808" t="s">
        <v>1990</v>
      </c>
      <c r="H712" s="808" t="s">
        <v>1991</v>
      </c>
      <c r="I712" s="808" t="s">
        <v>1992</v>
      </c>
      <c r="J712" s="810">
        <v>13625000</v>
      </c>
      <c r="K712" s="808" t="s">
        <v>1993</v>
      </c>
      <c r="L712" s="808" t="s">
        <v>1177</v>
      </c>
      <c r="M712" s="808" t="s">
        <v>1973</v>
      </c>
      <c r="N712" s="808" t="s">
        <v>1973</v>
      </c>
      <c r="O712" s="808" t="s">
        <v>2005</v>
      </c>
      <c r="P712" s="808" t="s">
        <v>1995</v>
      </c>
      <c r="Q712" s="808" t="s">
        <v>2006</v>
      </c>
    </row>
    <row r="713" spans="1:17" x14ac:dyDescent="0.25">
      <c r="A713" s="808" t="s">
        <v>1987</v>
      </c>
      <c r="B713" s="808" t="s">
        <v>2827</v>
      </c>
      <c r="C713" s="809">
        <v>24950000</v>
      </c>
      <c r="D713" s="808" t="s">
        <v>1758</v>
      </c>
      <c r="E713" s="808" t="s">
        <v>1758</v>
      </c>
      <c r="F713" s="808" t="s">
        <v>2077</v>
      </c>
      <c r="G713" s="808" t="s">
        <v>1990</v>
      </c>
      <c r="H713" s="808" t="s">
        <v>1991</v>
      </c>
      <c r="I713" s="808" t="s">
        <v>1992</v>
      </c>
      <c r="J713" s="810">
        <v>24950000</v>
      </c>
      <c r="K713" s="808" t="s">
        <v>1993</v>
      </c>
      <c r="L713" s="808" t="s">
        <v>1177</v>
      </c>
      <c r="M713" s="808" t="s">
        <v>1973</v>
      </c>
      <c r="N713" s="808" t="s">
        <v>1973</v>
      </c>
      <c r="O713" s="808" t="s">
        <v>2034</v>
      </c>
      <c r="P713" s="808" t="s">
        <v>1995</v>
      </c>
      <c r="Q713" s="808" t="s">
        <v>2020</v>
      </c>
    </row>
    <row r="714" spans="1:17" x14ac:dyDescent="0.25">
      <c r="A714" s="808" t="s">
        <v>1987</v>
      </c>
      <c r="B714" s="808" t="s">
        <v>2828</v>
      </c>
      <c r="C714" s="809">
        <v>24000000</v>
      </c>
      <c r="D714" s="808" t="s">
        <v>1758</v>
      </c>
      <c r="E714" s="808" t="s">
        <v>1758</v>
      </c>
      <c r="F714" s="808" t="s">
        <v>2077</v>
      </c>
      <c r="G714" s="808" t="s">
        <v>1990</v>
      </c>
      <c r="H714" s="808" t="s">
        <v>1991</v>
      </c>
      <c r="I714" s="808" t="s">
        <v>1992</v>
      </c>
      <c r="J714" s="810">
        <v>24000000</v>
      </c>
      <c r="K714" s="808" t="s">
        <v>1993</v>
      </c>
      <c r="L714" s="808" t="s">
        <v>1177</v>
      </c>
      <c r="M714" s="808" t="s">
        <v>1973</v>
      </c>
      <c r="N714" s="808" t="s">
        <v>1973</v>
      </c>
      <c r="O714" s="808" t="s">
        <v>2034</v>
      </c>
      <c r="P714" s="808" t="s">
        <v>1995</v>
      </c>
      <c r="Q714" s="808" t="s">
        <v>2020</v>
      </c>
    </row>
    <row r="715" spans="1:17" x14ac:dyDescent="0.25">
      <c r="A715" s="808" t="s">
        <v>1987</v>
      </c>
      <c r="B715" s="808" t="s">
        <v>2829</v>
      </c>
      <c r="C715" s="809">
        <v>54000000</v>
      </c>
      <c r="D715" s="808" t="s">
        <v>1758</v>
      </c>
      <c r="E715" s="808" t="s">
        <v>1758</v>
      </c>
      <c r="F715" s="808" t="s">
        <v>2077</v>
      </c>
      <c r="G715" s="808" t="s">
        <v>1990</v>
      </c>
      <c r="H715" s="808" t="s">
        <v>1991</v>
      </c>
      <c r="I715" s="808" t="s">
        <v>1992</v>
      </c>
      <c r="J715" s="810">
        <v>54000000</v>
      </c>
      <c r="K715" s="808" t="s">
        <v>1993</v>
      </c>
      <c r="L715" s="808" t="s">
        <v>1177</v>
      </c>
      <c r="M715" s="808" t="s">
        <v>1973</v>
      </c>
      <c r="N715" s="808" t="s">
        <v>1973</v>
      </c>
      <c r="O715" s="808" t="s">
        <v>2034</v>
      </c>
      <c r="P715" s="808" t="s">
        <v>1995</v>
      </c>
      <c r="Q715" s="808" t="s">
        <v>2020</v>
      </c>
    </row>
    <row r="716" spans="1:17" x14ac:dyDescent="0.25">
      <c r="A716" s="808" t="s">
        <v>1987</v>
      </c>
      <c r="B716" s="808" t="s">
        <v>2830</v>
      </c>
      <c r="C716" s="809">
        <v>15900000</v>
      </c>
      <c r="D716" s="808" t="s">
        <v>1773</v>
      </c>
      <c r="E716" s="808" t="s">
        <v>1773</v>
      </c>
      <c r="F716" s="808" t="s">
        <v>2077</v>
      </c>
      <c r="G716" s="808" t="s">
        <v>1990</v>
      </c>
      <c r="H716" s="808" t="s">
        <v>1991</v>
      </c>
      <c r="I716" s="808" t="s">
        <v>1992</v>
      </c>
      <c r="J716" s="810">
        <v>15900000</v>
      </c>
      <c r="K716" s="808" t="s">
        <v>1993</v>
      </c>
      <c r="L716" s="808" t="s">
        <v>1177</v>
      </c>
      <c r="M716" s="808" t="s">
        <v>1973</v>
      </c>
      <c r="N716" s="808" t="s">
        <v>1973</v>
      </c>
      <c r="O716" s="808" t="s">
        <v>2131</v>
      </c>
      <c r="P716" s="808" t="s">
        <v>1995</v>
      </c>
      <c r="Q716" s="808" t="s">
        <v>2048</v>
      </c>
    </row>
    <row r="717" spans="1:17" x14ac:dyDescent="0.25">
      <c r="A717" s="808" t="s">
        <v>1987</v>
      </c>
      <c r="B717" s="808" t="s">
        <v>2831</v>
      </c>
      <c r="C717" s="809">
        <v>15900000</v>
      </c>
      <c r="D717" s="808" t="s">
        <v>1773</v>
      </c>
      <c r="E717" s="808" t="s">
        <v>1773</v>
      </c>
      <c r="F717" s="808" t="s">
        <v>2077</v>
      </c>
      <c r="G717" s="808" t="s">
        <v>1990</v>
      </c>
      <c r="H717" s="808" t="s">
        <v>1991</v>
      </c>
      <c r="I717" s="808" t="s">
        <v>1992</v>
      </c>
      <c r="J717" s="810">
        <v>15900000</v>
      </c>
      <c r="K717" s="808" t="s">
        <v>1993</v>
      </c>
      <c r="L717" s="808" t="s">
        <v>1177</v>
      </c>
      <c r="M717" s="808" t="s">
        <v>1973</v>
      </c>
      <c r="N717" s="808" t="s">
        <v>1973</v>
      </c>
      <c r="O717" s="808" t="s">
        <v>2131</v>
      </c>
      <c r="P717" s="808" t="s">
        <v>1995</v>
      </c>
      <c r="Q717" s="808" t="s">
        <v>2048</v>
      </c>
    </row>
    <row r="718" spans="1:17" x14ac:dyDescent="0.25">
      <c r="A718" s="808" t="s">
        <v>1987</v>
      </c>
      <c r="B718" s="808" t="s">
        <v>2832</v>
      </c>
      <c r="C718" s="809">
        <v>15900000</v>
      </c>
      <c r="D718" s="808" t="s">
        <v>1773</v>
      </c>
      <c r="E718" s="808" t="s">
        <v>1773</v>
      </c>
      <c r="F718" s="808" t="s">
        <v>2077</v>
      </c>
      <c r="G718" s="808" t="s">
        <v>1990</v>
      </c>
      <c r="H718" s="808" t="s">
        <v>1991</v>
      </c>
      <c r="I718" s="808" t="s">
        <v>1992</v>
      </c>
      <c r="J718" s="810">
        <v>15900000</v>
      </c>
      <c r="K718" s="808" t="s">
        <v>1993</v>
      </c>
      <c r="L718" s="808" t="s">
        <v>1177</v>
      </c>
      <c r="M718" s="808" t="s">
        <v>1973</v>
      </c>
      <c r="N718" s="808" t="s">
        <v>1973</v>
      </c>
      <c r="O718" s="808" t="s">
        <v>2131</v>
      </c>
      <c r="P718" s="808" t="s">
        <v>1995</v>
      </c>
      <c r="Q718" s="808" t="s">
        <v>2048</v>
      </c>
    </row>
    <row r="719" spans="1:17" x14ac:dyDescent="0.25">
      <c r="A719" s="808" t="s">
        <v>1987</v>
      </c>
      <c r="B719" s="808" t="s">
        <v>2833</v>
      </c>
      <c r="C719" s="809">
        <v>16000000</v>
      </c>
      <c r="D719" s="808" t="s">
        <v>1773</v>
      </c>
      <c r="E719" s="808" t="s">
        <v>1773</v>
      </c>
      <c r="F719" s="808" t="s">
        <v>2077</v>
      </c>
      <c r="G719" s="808" t="s">
        <v>1990</v>
      </c>
      <c r="H719" s="808" t="s">
        <v>1991</v>
      </c>
      <c r="I719" s="808" t="s">
        <v>1992</v>
      </c>
      <c r="J719" s="810">
        <v>16000000</v>
      </c>
      <c r="K719" s="808" t="s">
        <v>1993</v>
      </c>
      <c r="L719" s="808" t="s">
        <v>1177</v>
      </c>
      <c r="M719" s="808" t="s">
        <v>1973</v>
      </c>
      <c r="N719" s="808" t="s">
        <v>1973</v>
      </c>
      <c r="O719" s="808" t="s">
        <v>2131</v>
      </c>
      <c r="P719" s="808" t="s">
        <v>1995</v>
      </c>
      <c r="Q719" s="808" t="s">
        <v>2048</v>
      </c>
    </row>
    <row r="720" spans="1:17" x14ac:dyDescent="0.25">
      <c r="A720" s="808" t="s">
        <v>1987</v>
      </c>
      <c r="B720" s="808" t="s">
        <v>2834</v>
      </c>
      <c r="C720" s="809">
        <v>25000000</v>
      </c>
      <c r="D720" s="808" t="s">
        <v>1773</v>
      </c>
      <c r="E720" s="808" t="s">
        <v>1773</v>
      </c>
      <c r="F720" s="808" t="s">
        <v>2077</v>
      </c>
      <c r="G720" s="808" t="s">
        <v>1990</v>
      </c>
      <c r="H720" s="808" t="s">
        <v>1991</v>
      </c>
      <c r="I720" s="808" t="s">
        <v>1992</v>
      </c>
      <c r="J720" s="810">
        <v>25000000</v>
      </c>
      <c r="K720" s="808" t="s">
        <v>1993</v>
      </c>
      <c r="L720" s="808" t="s">
        <v>1177</v>
      </c>
      <c r="M720" s="808" t="s">
        <v>1973</v>
      </c>
      <c r="N720" s="808" t="s">
        <v>1973</v>
      </c>
      <c r="O720" s="808" t="s">
        <v>2131</v>
      </c>
      <c r="P720" s="808" t="s">
        <v>1995</v>
      </c>
      <c r="Q720" s="808" t="s">
        <v>2048</v>
      </c>
    </row>
    <row r="721" spans="1:17" x14ac:dyDescent="0.25">
      <c r="A721" s="808" t="s">
        <v>1987</v>
      </c>
      <c r="B721" s="808" t="s">
        <v>2835</v>
      </c>
      <c r="C721" s="809">
        <v>24500000</v>
      </c>
      <c r="D721" s="808" t="s">
        <v>1773</v>
      </c>
      <c r="E721" s="808" t="s">
        <v>1773</v>
      </c>
      <c r="F721" s="808" t="s">
        <v>2077</v>
      </c>
      <c r="G721" s="808" t="s">
        <v>1990</v>
      </c>
      <c r="H721" s="808" t="s">
        <v>1991</v>
      </c>
      <c r="I721" s="808" t="s">
        <v>1992</v>
      </c>
      <c r="J721" s="810">
        <v>24500000</v>
      </c>
      <c r="K721" s="808" t="s">
        <v>1993</v>
      </c>
      <c r="L721" s="808" t="s">
        <v>1177</v>
      </c>
      <c r="M721" s="808" t="s">
        <v>1973</v>
      </c>
      <c r="N721" s="808" t="s">
        <v>1973</v>
      </c>
      <c r="O721" s="808" t="s">
        <v>2131</v>
      </c>
      <c r="P721" s="808" t="s">
        <v>1995</v>
      </c>
      <c r="Q721" s="808" t="s">
        <v>2048</v>
      </c>
    </row>
    <row r="722" spans="1:17" x14ac:dyDescent="0.25">
      <c r="A722" s="808" t="s">
        <v>1987</v>
      </c>
      <c r="B722" s="808" t="s">
        <v>2836</v>
      </c>
      <c r="C722" s="809">
        <v>15900000</v>
      </c>
      <c r="D722" s="808" t="s">
        <v>1773</v>
      </c>
      <c r="E722" s="808" t="s">
        <v>1773</v>
      </c>
      <c r="F722" s="808" t="s">
        <v>2077</v>
      </c>
      <c r="G722" s="808" t="s">
        <v>1990</v>
      </c>
      <c r="H722" s="808" t="s">
        <v>1991</v>
      </c>
      <c r="I722" s="808" t="s">
        <v>1992</v>
      </c>
      <c r="J722" s="810">
        <v>15900000</v>
      </c>
      <c r="K722" s="808" t="s">
        <v>1993</v>
      </c>
      <c r="L722" s="808" t="s">
        <v>1177</v>
      </c>
      <c r="M722" s="808" t="s">
        <v>1973</v>
      </c>
      <c r="N722" s="808" t="s">
        <v>1973</v>
      </c>
      <c r="O722" s="808" t="s">
        <v>2131</v>
      </c>
      <c r="P722" s="808" t="s">
        <v>1995</v>
      </c>
      <c r="Q722" s="808" t="s">
        <v>2048</v>
      </c>
    </row>
    <row r="723" spans="1:17" x14ac:dyDescent="0.25">
      <c r="A723" s="808" t="s">
        <v>1987</v>
      </c>
      <c r="B723" s="808" t="s">
        <v>2837</v>
      </c>
      <c r="C723" s="809">
        <v>36345000</v>
      </c>
      <c r="D723" s="808" t="s">
        <v>1773</v>
      </c>
      <c r="E723" s="808" t="s">
        <v>1773</v>
      </c>
      <c r="F723" s="808" t="s">
        <v>2077</v>
      </c>
      <c r="G723" s="808" t="s">
        <v>1990</v>
      </c>
      <c r="H723" s="808" t="s">
        <v>1991</v>
      </c>
      <c r="I723" s="808" t="s">
        <v>1992</v>
      </c>
      <c r="J723" s="810">
        <v>36345000</v>
      </c>
      <c r="K723" s="808" t="s">
        <v>1993</v>
      </c>
      <c r="L723" s="808" t="s">
        <v>1177</v>
      </c>
      <c r="M723" s="808" t="s">
        <v>1973</v>
      </c>
      <c r="N723" s="808" t="s">
        <v>1973</v>
      </c>
      <c r="O723" s="808" t="s">
        <v>2131</v>
      </c>
      <c r="P723" s="808" t="s">
        <v>1995</v>
      </c>
      <c r="Q723" s="808" t="s">
        <v>2048</v>
      </c>
    </row>
    <row r="724" spans="1:17" x14ac:dyDescent="0.25">
      <c r="A724" s="808" t="s">
        <v>1987</v>
      </c>
      <c r="B724" s="808" t="s">
        <v>2838</v>
      </c>
      <c r="C724" s="809">
        <v>49608000</v>
      </c>
      <c r="D724" s="808" t="s">
        <v>1753</v>
      </c>
      <c r="E724" s="808" t="s">
        <v>1753</v>
      </c>
      <c r="F724" s="808" t="s">
        <v>2027</v>
      </c>
      <c r="G724" s="808" t="s">
        <v>1990</v>
      </c>
      <c r="H724" s="808" t="s">
        <v>1991</v>
      </c>
      <c r="I724" s="808" t="s">
        <v>1992</v>
      </c>
      <c r="J724" s="810">
        <v>49608000</v>
      </c>
      <c r="K724" s="808" t="s">
        <v>1993</v>
      </c>
      <c r="L724" s="808" t="s">
        <v>1177</v>
      </c>
      <c r="M724" s="808" t="s">
        <v>1973</v>
      </c>
      <c r="N724" s="808" t="s">
        <v>1973</v>
      </c>
      <c r="O724" s="808" t="s">
        <v>2024</v>
      </c>
      <c r="P724" s="808" t="s">
        <v>1995</v>
      </c>
      <c r="Q724" s="808" t="s">
        <v>1996</v>
      </c>
    </row>
    <row r="725" spans="1:17" x14ac:dyDescent="0.25">
      <c r="A725" s="808" t="s">
        <v>1987</v>
      </c>
      <c r="B725" s="808" t="s">
        <v>2839</v>
      </c>
      <c r="C725" s="809">
        <v>67500000</v>
      </c>
      <c r="D725" s="808" t="s">
        <v>1749</v>
      </c>
      <c r="E725" s="808" t="s">
        <v>1749</v>
      </c>
      <c r="F725" s="808" t="s">
        <v>2004</v>
      </c>
      <c r="G725" s="808" t="s">
        <v>1990</v>
      </c>
      <c r="H725" s="808" t="s">
        <v>1991</v>
      </c>
      <c r="I725" s="808" t="s">
        <v>1992</v>
      </c>
      <c r="J725" s="810">
        <v>67500000</v>
      </c>
      <c r="K725" s="808" t="s">
        <v>1993</v>
      </c>
      <c r="L725" s="808" t="s">
        <v>1177</v>
      </c>
      <c r="M725" s="808" t="s">
        <v>1973</v>
      </c>
      <c r="N725" s="808" t="s">
        <v>1973</v>
      </c>
      <c r="O725" s="808" t="s">
        <v>2042</v>
      </c>
      <c r="P725" s="808" t="s">
        <v>1995</v>
      </c>
      <c r="Q725" s="808" t="s">
        <v>2043</v>
      </c>
    </row>
    <row r="726" spans="1:17" x14ac:dyDescent="0.25">
      <c r="A726" s="808" t="s">
        <v>1987</v>
      </c>
      <c r="B726" s="808" t="s">
        <v>2840</v>
      </c>
      <c r="C726" s="809">
        <v>35550000</v>
      </c>
      <c r="D726" s="808" t="s">
        <v>1866</v>
      </c>
      <c r="E726" s="808" t="s">
        <v>1866</v>
      </c>
      <c r="F726" s="808" t="s">
        <v>2004</v>
      </c>
      <c r="G726" s="808" t="s">
        <v>1990</v>
      </c>
      <c r="H726" s="808" t="s">
        <v>1991</v>
      </c>
      <c r="I726" s="808" t="s">
        <v>1992</v>
      </c>
      <c r="J726" s="810">
        <v>35550000</v>
      </c>
      <c r="K726" s="808" t="s">
        <v>1993</v>
      </c>
      <c r="L726" s="808" t="s">
        <v>1177</v>
      </c>
      <c r="M726" s="808" t="s">
        <v>1973</v>
      </c>
      <c r="N726" s="808" t="s">
        <v>1973</v>
      </c>
      <c r="O726" s="808" t="s">
        <v>2042</v>
      </c>
      <c r="P726" s="808" t="s">
        <v>1995</v>
      </c>
      <c r="Q726" s="808" t="s">
        <v>2043</v>
      </c>
    </row>
    <row r="727" spans="1:17" x14ac:dyDescent="0.25">
      <c r="A727" s="808" t="s">
        <v>1987</v>
      </c>
      <c r="B727" s="808" t="s">
        <v>2841</v>
      </c>
      <c r="C727" s="809">
        <v>18800000</v>
      </c>
      <c r="D727" s="808" t="s">
        <v>1753</v>
      </c>
      <c r="E727" s="808" t="s">
        <v>1753</v>
      </c>
      <c r="F727" s="808" t="s">
        <v>2056</v>
      </c>
      <c r="G727" s="808" t="s">
        <v>1990</v>
      </c>
      <c r="H727" s="808" t="s">
        <v>1991</v>
      </c>
      <c r="I727" s="808" t="s">
        <v>1992</v>
      </c>
      <c r="J727" s="810">
        <v>18800000</v>
      </c>
      <c r="K727" s="808" t="s">
        <v>1993</v>
      </c>
      <c r="L727" s="808" t="s">
        <v>1177</v>
      </c>
      <c r="M727" s="808" t="s">
        <v>1973</v>
      </c>
      <c r="N727" s="808" t="s">
        <v>1973</v>
      </c>
      <c r="O727" s="808" t="s">
        <v>2042</v>
      </c>
      <c r="P727" s="808" t="s">
        <v>1995</v>
      </c>
      <c r="Q727" s="808" t="s">
        <v>2043</v>
      </c>
    </row>
    <row r="728" spans="1:17" x14ac:dyDescent="0.25">
      <c r="A728" s="808" t="s">
        <v>1987</v>
      </c>
      <c r="B728" s="808" t="s">
        <v>2842</v>
      </c>
      <c r="C728" s="809">
        <v>48000000</v>
      </c>
      <c r="D728" s="808" t="s">
        <v>1750</v>
      </c>
      <c r="E728" s="808" t="s">
        <v>1750</v>
      </c>
      <c r="F728" s="808" t="s">
        <v>1989</v>
      </c>
      <c r="G728" s="808" t="s">
        <v>1990</v>
      </c>
      <c r="H728" s="808" t="s">
        <v>1991</v>
      </c>
      <c r="I728" s="808" t="s">
        <v>1992</v>
      </c>
      <c r="J728" s="810">
        <v>48000000</v>
      </c>
      <c r="K728" s="808" t="s">
        <v>1993</v>
      </c>
      <c r="L728" s="808" t="s">
        <v>1177</v>
      </c>
      <c r="M728" s="808" t="s">
        <v>1973</v>
      </c>
      <c r="N728" s="808" t="s">
        <v>1973</v>
      </c>
      <c r="O728" s="808" t="s">
        <v>2042</v>
      </c>
      <c r="P728" s="808" t="s">
        <v>1995</v>
      </c>
      <c r="Q728" s="808" t="s">
        <v>2043</v>
      </c>
    </row>
    <row r="729" spans="1:17" x14ac:dyDescent="0.25">
      <c r="A729" s="808" t="s">
        <v>1987</v>
      </c>
      <c r="B729" s="808" t="s">
        <v>2843</v>
      </c>
      <c r="C729" s="809">
        <v>20000000</v>
      </c>
      <c r="D729" s="808" t="s">
        <v>1753</v>
      </c>
      <c r="E729" s="808" t="s">
        <v>1753</v>
      </c>
      <c r="F729" s="808" t="s">
        <v>2056</v>
      </c>
      <c r="G729" s="808" t="s">
        <v>1990</v>
      </c>
      <c r="H729" s="808" t="s">
        <v>1991</v>
      </c>
      <c r="I729" s="808" t="s">
        <v>1992</v>
      </c>
      <c r="J729" s="810">
        <v>20000000</v>
      </c>
      <c r="K729" s="808" t="s">
        <v>1993</v>
      </c>
      <c r="L729" s="808" t="s">
        <v>1177</v>
      </c>
      <c r="M729" s="808" t="s">
        <v>1973</v>
      </c>
      <c r="N729" s="808" t="s">
        <v>1973</v>
      </c>
      <c r="O729" s="808" t="s">
        <v>2042</v>
      </c>
      <c r="P729" s="808" t="s">
        <v>1995</v>
      </c>
      <c r="Q729" s="808" t="s">
        <v>2043</v>
      </c>
    </row>
    <row r="730" spans="1:17" x14ac:dyDescent="0.25">
      <c r="A730" s="808" t="s">
        <v>1987</v>
      </c>
      <c r="B730" s="808" t="s">
        <v>2844</v>
      </c>
      <c r="C730" s="809">
        <v>52500000</v>
      </c>
      <c r="D730" s="808" t="s">
        <v>1750</v>
      </c>
      <c r="E730" s="808" t="s">
        <v>1750</v>
      </c>
      <c r="F730" s="808" t="s">
        <v>2036</v>
      </c>
      <c r="G730" s="808" t="s">
        <v>1990</v>
      </c>
      <c r="H730" s="808" t="s">
        <v>1991</v>
      </c>
      <c r="I730" s="808" t="s">
        <v>1992</v>
      </c>
      <c r="J730" s="810">
        <v>52500000</v>
      </c>
      <c r="K730" s="808" t="s">
        <v>1993</v>
      </c>
      <c r="L730" s="808" t="s">
        <v>1177</v>
      </c>
      <c r="M730" s="808" t="s">
        <v>1973</v>
      </c>
      <c r="N730" s="808" t="s">
        <v>1973</v>
      </c>
      <c r="O730" s="808" t="s">
        <v>2042</v>
      </c>
      <c r="P730" s="808" t="s">
        <v>1995</v>
      </c>
      <c r="Q730" s="808" t="s">
        <v>2043</v>
      </c>
    </row>
    <row r="731" spans="1:17" x14ac:dyDescent="0.25">
      <c r="A731" s="808" t="s">
        <v>1987</v>
      </c>
      <c r="B731" s="808" t="s">
        <v>2845</v>
      </c>
      <c r="C731" s="809">
        <v>27000000</v>
      </c>
      <c r="D731" s="808" t="s">
        <v>1749</v>
      </c>
      <c r="E731" s="808" t="s">
        <v>1749</v>
      </c>
      <c r="F731" s="808" t="s">
        <v>2004</v>
      </c>
      <c r="G731" s="808" t="s">
        <v>1990</v>
      </c>
      <c r="H731" s="808" t="s">
        <v>1991</v>
      </c>
      <c r="I731" s="808" t="s">
        <v>1992</v>
      </c>
      <c r="J731" s="810">
        <v>27000000</v>
      </c>
      <c r="K731" s="808" t="s">
        <v>1993</v>
      </c>
      <c r="L731" s="808" t="s">
        <v>1177</v>
      </c>
      <c r="M731" s="808" t="s">
        <v>1973</v>
      </c>
      <c r="N731" s="808" t="s">
        <v>1973</v>
      </c>
      <c r="O731" s="808" t="s">
        <v>2042</v>
      </c>
      <c r="P731" s="808" t="s">
        <v>1995</v>
      </c>
      <c r="Q731" s="808" t="s">
        <v>2043</v>
      </c>
    </row>
    <row r="732" spans="1:17" x14ac:dyDescent="0.25">
      <c r="A732" s="808" t="s">
        <v>1987</v>
      </c>
      <c r="B732" s="808" t="s">
        <v>2846</v>
      </c>
      <c r="C732" s="809">
        <v>33900000</v>
      </c>
      <c r="D732" s="808" t="s">
        <v>1743</v>
      </c>
      <c r="E732" s="808" t="s">
        <v>1743</v>
      </c>
      <c r="F732" s="808" t="s">
        <v>2010</v>
      </c>
      <c r="G732" s="808" t="s">
        <v>1990</v>
      </c>
      <c r="H732" s="808" t="s">
        <v>1991</v>
      </c>
      <c r="I732" s="808" t="s">
        <v>1992</v>
      </c>
      <c r="J732" s="810">
        <v>33900000</v>
      </c>
      <c r="K732" s="808" t="s">
        <v>1993</v>
      </c>
      <c r="L732" s="808" t="s">
        <v>1177</v>
      </c>
      <c r="M732" s="808" t="s">
        <v>1973</v>
      </c>
      <c r="N732" s="808" t="s">
        <v>1973</v>
      </c>
      <c r="O732" s="808" t="s">
        <v>2042</v>
      </c>
      <c r="P732" s="808" t="s">
        <v>1995</v>
      </c>
      <c r="Q732" s="808" t="s">
        <v>2043</v>
      </c>
    </row>
    <row r="733" spans="1:17" x14ac:dyDescent="0.25">
      <c r="A733" s="808" t="s">
        <v>1987</v>
      </c>
      <c r="B733" s="808" t="s">
        <v>2847</v>
      </c>
      <c r="C733" s="809">
        <v>72000000</v>
      </c>
      <c r="D733" s="808" t="s">
        <v>1749</v>
      </c>
      <c r="E733" s="808" t="s">
        <v>1749</v>
      </c>
      <c r="F733" s="808" t="s">
        <v>2004</v>
      </c>
      <c r="G733" s="808" t="s">
        <v>1990</v>
      </c>
      <c r="H733" s="808" t="s">
        <v>1991</v>
      </c>
      <c r="I733" s="808" t="s">
        <v>1992</v>
      </c>
      <c r="J733" s="810">
        <v>72000000</v>
      </c>
      <c r="K733" s="808" t="s">
        <v>1993</v>
      </c>
      <c r="L733" s="808" t="s">
        <v>1177</v>
      </c>
      <c r="M733" s="808" t="s">
        <v>1973</v>
      </c>
      <c r="N733" s="808" t="s">
        <v>1973</v>
      </c>
      <c r="O733" s="808" t="s">
        <v>2042</v>
      </c>
      <c r="P733" s="808" t="s">
        <v>1995</v>
      </c>
      <c r="Q733" s="808" t="s">
        <v>2043</v>
      </c>
    </row>
    <row r="734" spans="1:17" x14ac:dyDescent="0.25">
      <c r="A734" s="808" t="s">
        <v>1987</v>
      </c>
      <c r="B734" s="808" t="s">
        <v>2848</v>
      </c>
      <c r="C734" s="809">
        <v>52000000</v>
      </c>
      <c r="D734" s="808" t="s">
        <v>1749</v>
      </c>
      <c r="E734" s="808" t="s">
        <v>1749</v>
      </c>
      <c r="F734" s="808" t="s">
        <v>1989</v>
      </c>
      <c r="G734" s="808" t="s">
        <v>1990</v>
      </c>
      <c r="H734" s="808" t="s">
        <v>1991</v>
      </c>
      <c r="I734" s="808" t="s">
        <v>1992</v>
      </c>
      <c r="J734" s="810">
        <v>52000000</v>
      </c>
      <c r="K734" s="808" t="s">
        <v>1993</v>
      </c>
      <c r="L734" s="808" t="s">
        <v>1177</v>
      </c>
      <c r="M734" s="808" t="s">
        <v>1973</v>
      </c>
      <c r="N734" s="808" t="s">
        <v>1973</v>
      </c>
      <c r="O734" s="808" t="s">
        <v>2067</v>
      </c>
      <c r="P734" s="808" t="s">
        <v>1995</v>
      </c>
      <c r="Q734" s="808" t="s">
        <v>2002</v>
      </c>
    </row>
    <row r="735" spans="1:17" x14ac:dyDescent="0.25">
      <c r="A735" s="808" t="s">
        <v>1987</v>
      </c>
      <c r="B735" s="808" t="s">
        <v>2849</v>
      </c>
      <c r="C735" s="809">
        <v>22400000</v>
      </c>
      <c r="D735" s="808" t="s">
        <v>1749</v>
      </c>
      <c r="E735" s="808" t="s">
        <v>1749</v>
      </c>
      <c r="F735" s="808" t="s">
        <v>1989</v>
      </c>
      <c r="G735" s="808" t="s">
        <v>1990</v>
      </c>
      <c r="H735" s="808" t="s">
        <v>1991</v>
      </c>
      <c r="I735" s="808" t="s">
        <v>1992</v>
      </c>
      <c r="J735" s="810">
        <v>22400000</v>
      </c>
      <c r="K735" s="808" t="s">
        <v>1993</v>
      </c>
      <c r="L735" s="808" t="s">
        <v>1177</v>
      </c>
      <c r="M735" s="808" t="s">
        <v>1973</v>
      </c>
      <c r="N735" s="808" t="s">
        <v>1973</v>
      </c>
      <c r="O735" s="808" t="s">
        <v>2067</v>
      </c>
      <c r="P735" s="808" t="s">
        <v>1995</v>
      </c>
      <c r="Q735" s="808" t="s">
        <v>2002</v>
      </c>
    </row>
    <row r="736" spans="1:17" x14ac:dyDescent="0.25">
      <c r="A736" s="808" t="s">
        <v>1987</v>
      </c>
      <c r="B736" s="808" t="s">
        <v>2850</v>
      </c>
      <c r="C736" s="809">
        <v>90000000</v>
      </c>
      <c r="D736" s="808" t="s">
        <v>1749</v>
      </c>
      <c r="E736" s="808" t="s">
        <v>1749</v>
      </c>
      <c r="F736" s="808" t="s">
        <v>2023</v>
      </c>
      <c r="G736" s="808" t="s">
        <v>1990</v>
      </c>
      <c r="H736" s="808" t="s">
        <v>1991</v>
      </c>
      <c r="I736" s="808" t="s">
        <v>1992</v>
      </c>
      <c r="J736" s="810">
        <v>90000000</v>
      </c>
      <c r="K736" s="808" t="s">
        <v>1993</v>
      </c>
      <c r="L736" s="808" t="s">
        <v>1177</v>
      </c>
      <c r="M736" s="808" t="s">
        <v>1973</v>
      </c>
      <c r="N736" s="808" t="s">
        <v>1973</v>
      </c>
      <c r="O736" s="808" t="s">
        <v>2067</v>
      </c>
      <c r="P736" s="808" t="s">
        <v>1995</v>
      </c>
      <c r="Q736" s="808" t="s">
        <v>2002</v>
      </c>
    </row>
    <row r="737" spans="1:17" x14ac:dyDescent="0.25">
      <c r="A737" s="808" t="s">
        <v>1987</v>
      </c>
      <c r="B737" s="808" t="s">
        <v>2851</v>
      </c>
      <c r="C737" s="809">
        <v>21804000</v>
      </c>
      <c r="D737" s="808" t="s">
        <v>1758</v>
      </c>
      <c r="E737" s="808" t="s">
        <v>1758</v>
      </c>
      <c r="F737" s="808" t="s">
        <v>2000</v>
      </c>
      <c r="G737" s="808" t="s">
        <v>1990</v>
      </c>
      <c r="H737" s="808" t="s">
        <v>1991</v>
      </c>
      <c r="I737" s="808" t="s">
        <v>1992</v>
      </c>
      <c r="J737" s="810">
        <v>21804000</v>
      </c>
      <c r="K737" s="808" t="s">
        <v>1993</v>
      </c>
      <c r="L737" s="808" t="s">
        <v>1177</v>
      </c>
      <c r="M737" s="808" t="s">
        <v>1973</v>
      </c>
      <c r="N737" s="808" t="s">
        <v>1973</v>
      </c>
      <c r="O737" s="808" t="s">
        <v>2107</v>
      </c>
      <c r="P737" s="808" t="s">
        <v>1995</v>
      </c>
      <c r="Q737" s="808" t="s">
        <v>2043</v>
      </c>
    </row>
    <row r="738" spans="1:17" x14ac:dyDescent="0.25">
      <c r="A738" s="808" t="s">
        <v>1987</v>
      </c>
      <c r="B738" s="808" t="s">
        <v>2852</v>
      </c>
      <c r="C738" s="809">
        <v>21000000</v>
      </c>
      <c r="D738" s="808" t="s">
        <v>1757</v>
      </c>
      <c r="E738" s="808" t="s">
        <v>1757</v>
      </c>
      <c r="F738" s="808" t="s">
        <v>2036</v>
      </c>
      <c r="G738" s="808" t="s">
        <v>1990</v>
      </c>
      <c r="H738" s="808" t="s">
        <v>1991</v>
      </c>
      <c r="I738" s="808" t="s">
        <v>1992</v>
      </c>
      <c r="J738" s="810">
        <v>21000000</v>
      </c>
      <c r="K738" s="808" t="s">
        <v>1993</v>
      </c>
      <c r="L738" s="808" t="s">
        <v>1177</v>
      </c>
      <c r="M738" s="808" t="s">
        <v>1973</v>
      </c>
      <c r="N738" s="808" t="s">
        <v>1973</v>
      </c>
      <c r="O738" s="808" t="s">
        <v>2107</v>
      </c>
      <c r="P738" s="808" t="s">
        <v>1995</v>
      </c>
      <c r="Q738" s="808" t="s">
        <v>2043</v>
      </c>
    </row>
    <row r="740" spans="1:17" x14ac:dyDescent="0.25">
      <c r="C740" s="812">
        <f>SUBTOTAL(9,C6:C739)</f>
        <v>156031739796</v>
      </c>
    </row>
  </sheetData>
  <autoFilter ref="A2:R2" xr:uid="{00000000-0009-0000-0000-00000A000000}"/>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filterMode="1"/>
  <dimension ref="A1:AX1237"/>
  <sheetViews>
    <sheetView workbookViewId="0">
      <pane ySplit="1" topLeftCell="A2" activePane="bottomLeft" state="frozen"/>
      <selection activeCell="F1" sqref="F1"/>
      <selection pane="bottomLeft" activeCell="I626" sqref="I626"/>
    </sheetView>
  </sheetViews>
  <sheetFormatPr baseColWidth="10" defaultColWidth="11.42578125" defaultRowHeight="15" x14ac:dyDescent="0.25"/>
  <cols>
    <col min="1" max="1" width="15.85546875" style="475" customWidth="1"/>
    <col min="2" max="2" width="17" style="476" customWidth="1"/>
    <col min="3" max="3" width="13" style="213" customWidth="1"/>
    <col min="4" max="4" width="11.42578125" style="312" customWidth="1"/>
    <col min="5" max="5" width="16.42578125" style="312" customWidth="1"/>
    <col min="6" max="6" width="11.42578125" style="477" customWidth="1"/>
    <col min="7" max="7" width="23.140625" style="312" customWidth="1"/>
    <col min="8" max="8" width="11.42578125" style="213" customWidth="1"/>
    <col min="9" max="9" width="27.5703125" style="213" customWidth="1"/>
    <col min="10" max="10" width="16.7109375" style="474" customWidth="1"/>
    <col min="11" max="11" width="14.140625" style="213" customWidth="1"/>
    <col min="12" max="12" width="14.85546875" style="213" customWidth="1"/>
    <col min="13" max="17" width="11.42578125" style="213" customWidth="1"/>
    <col min="18" max="18" width="9.140625" style="213" customWidth="1"/>
    <col min="19" max="19" width="11.42578125" style="477" customWidth="1"/>
    <col min="20" max="20" width="13.5703125" style="213" customWidth="1"/>
    <col min="21" max="21" width="18.85546875" style="474" customWidth="1"/>
    <col min="22" max="22" width="17.28515625" style="406" customWidth="1"/>
    <col min="23" max="23" width="16.5703125" style="308" customWidth="1"/>
    <col min="24" max="24" width="11.42578125" style="309" customWidth="1"/>
    <col min="25" max="25" width="11.42578125" style="471" customWidth="1"/>
    <col min="26" max="26" width="15.140625" style="471" customWidth="1"/>
    <col min="27" max="27" width="11.42578125" style="471" customWidth="1"/>
    <col min="28" max="28" width="11.42578125" style="3" customWidth="1"/>
    <col min="29" max="29" width="15.85546875" style="212" customWidth="1"/>
    <col min="30" max="30" width="12" style="3" customWidth="1"/>
    <col min="31" max="31" width="20.42578125" style="213" customWidth="1"/>
    <col min="32" max="32" width="16.7109375" style="472" customWidth="1"/>
    <col min="33" max="33" width="16.42578125" style="213" customWidth="1"/>
    <col min="34" max="34" width="14.85546875" style="474" customWidth="1"/>
    <col min="35" max="35" width="16.42578125" style="474" customWidth="1"/>
    <col min="36" max="38" width="15.5703125" style="474" customWidth="1"/>
    <col min="39" max="39" width="17.85546875" style="307" customWidth="1"/>
    <col min="40" max="16384" width="11.42578125" style="213"/>
  </cols>
  <sheetData>
    <row r="1" spans="1:50" s="390" customFormat="1" x14ac:dyDescent="0.25">
      <c r="A1" s="686" t="s">
        <v>2853</v>
      </c>
      <c r="B1" s="417" t="s">
        <v>2854</v>
      </c>
      <c r="C1" s="368" t="s">
        <v>2855</v>
      </c>
      <c r="D1" s="369" t="s">
        <v>2856</v>
      </c>
      <c r="E1" s="369" t="s">
        <v>2857</v>
      </c>
      <c r="F1" s="370" t="s">
        <v>2858</v>
      </c>
      <c r="G1" s="369" t="s">
        <v>2859</v>
      </c>
      <c r="H1" s="368" t="s">
        <v>2860</v>
      </c>
      <c r="I1" s="368" t="s">
        <v>2861</v>
      </c>
      <c r="J1" s="424" t="s">
        <v>2862</v>
      </c>
      <c r="K1" s="368" t="s">
        <v>12</v>
      </c>
      <c r="L1" s="368" t="s">
        <v>2863</v>
      </c>
      <c r="M1" s="368" t="s">
        <v>2864</v>
      </c>
      <c r="N1" s="368" t="s">
        <v>2865</v>
      </c>
      <c r="O1" s="368" t="s">
        <v>2866</v>
      </c>
      <c r="P1" s="368" t="s">
        <v>2867</v>
      </c>
      <c r="Q1" s="368" t="s">
        <v>2868</v>
      </c>
      <c r="R1" s="371" t="s">
        <v>2869</v>
      </c>
      <c r="S1" s="372" t="s">
        <v>2870</v>
      </c>
      <c r="T1" s="371" t="s">
        <v>2853</v>
      </c>
      <c r="U1" s="413" t="s">
        <v>2871</v>
      </c>
      <c r="V1" s="414" t="s">
        <v>2872</v>
      </c>
      <c r="W1" s="373" t="s">
        <v>2873</v>
      </c>
      <c r="X1" s="374" t="s">
        <v>2874</v>
      </c>
      <c r="Y1" s="375" t="s">
        <v>2875</v>
      </c>
      <c r="Z1" s="375" t="s">
        <v>2876</v>
      </c>
      <c r="AA1" s="375" t="s">
        <v>2877</v>
      </c>
      <c r="AB1" s="376" t="s">
        <v>2878</v>
      </c>
      <c r="AC1" s="461" t="s">
        <v>2879</v>
      </c>
      <c r="AD1" s="376" t="s">
        <v>2880</v>
      </c>
      <c r="AE1" s="377" t="s">
        <v>2881</v>
      </c>
      <c r="AF1" s="410" t="s">
        <v>2882</v>
      </c>
      <c r="AG1" s="377" t="s">
        <v>2883</v>
      </c>
      <c r="AH1" s="404" t="s">
        <v>2884</v>
      </c>
      <c r="AI1" s="405" t="s">
        <v>2885</v>
      </c>
      <c r="AJ1" s="405" t="s">
        <v>2886</v>
      </c>
      <c r="AK1" s="405" t="s">
        <v>2887</v>
      </c>
      <c r="AL1" s="405" t="s">
        <v>2888</v>
      </c>
      <c r="AM1" s="699" t="s">
        <v>2889</v>
      </c>
      <c r="AN1" s="390" t="s">
        <v>2890</v>
      </c>
      <c r="AO1" s="390" t="s">
        <v>2891</v>
      </c>
      <c r="AP1" s="390" t="s">
        <v>2892</v>
      </c>
      <c r="AQ1" s="390" t="s">
        <v>2893</v>
      </c>
      <c r="AR1" s="390" t="s">
        <v>2894</v>
      </c>
      <c r="AS1" s="390" t="s">
        <v>2895</v>
      </c>
      <c r="AT1" s="390" t="s">
        <v>2896</v>
      </c>
      <c r="AU1" s="390" t="s">
        <v>2897</v>
      </c>
      <c r="AV1" s="390" t="s">
        <v>2898</v>
      </c>
      <c r="AW1" s="390" t="s">
        <v>2899</v>
      </c>
      <c r="AX1" s="390" t="s">
        <v>2900</v>
      </c>
    </row>
    <row r="2" spans="1:50" ht="15" hidden="1" customHeight="1" x14ac:dyDescent="0.25">
      <c r="A2" s="465" t="s">
        <v>2901</v>
      </c>
      <c r="B2" s="466" t="s">
        <v>97</v>
      </c>
      <c r="C2" s="467" t="s">
        <v>2902</v>
      </c>
      <c r="D2" s="467">
        <v>1</v>
      </c>
      <c r="E2" s="468">
        <v>20213000000153</v>
      </c>
      <c r="F2" s="469">
        <v>44202</v>
      </c>
      <c r="G2" s="468" t="s">
        <v>2903</v>
      </c>
      <c r="H2" s="467" t="s">
        <v>2904</v>
      </c>
      <c r="I2" s="467" t="s">
        <v>432</v>
      </c>
      <c r="J2" s="470">
        <v>2000000</v>
      </c>
      <c r="K2" s="213" t="s">
        <v>342</v>
      </c>
      <c r="L2" s="467" t="s">
        <v>351</v>
      </c>
      <c r="M2" s="467" t="s">
        <v>149</v>
      </c>
      <c r="N2" s="467" t="s">
        <v>150</v>
      </c>
      <c r="O2" s="467" t="s">
        <v>251</v>
      </c>
      <c r="P2" s="467" t="s">
        <v>678</v>
      </c>
      <c r="Q2" s="467"/>
      <c r="R2" s="467">
        <v>1</v>
      </c>
      <c r="S2" s="469">
        <v>44202</v>
      </c>
      <c r="T2" s="467" t="s">
        <v>2905</v>
      </c>
      <c r="U2" s="470">
        <v>2000000</v>
      </c>
      <c r="V2" s="415"/>
      <c r="W2" s="380"/>
      <c r="X2" s="212">
        <v>1</v>
      </c>
      <c r="Y2" s="471">
        <v>44204</v>
      </c>
      <c r="Z2" s="471">
        <v>44204</v>
      </c>
      <c r="AA2" s="471">
        <v>44227</v>
      </c>
      <c r="AB2" s="3" t="s">
        <v>2906</v>
      </c>
      <c r="AC2" s="212">
        <v>6198641399</v>
      </c>
      <c r="AD2" s="3">
        <v>830037248</v>
      </c>
      <c r="AE2" s="213" t="s">
        <v>2907</v>
      </c>
      <c r="AF2" s="472">
        <f>108350+16900+35446</f>
        <v>160696</v>
      </c>
      <c r="AG2" s="473">
        <f t="shared" ref="AG2:AG65" si="0">+U2-AF2</f>
        <v>1839304</v>
      </c>
      <c r="AH2" s="474">
        <v>108350</v>
      </c>
      <c r="AI2" s="470">
        <v>16900</v>
      </c>
      <c r="AJ2" s="470"/>
      <c r="AK2" s="470"/>
      <c r="AL2" s="470">
        <f>70892-35446</f>
        <v>35446</v>
      </c>
      <c r="AM2" s="213"/>
    </row>
    <row r="3" spans="1:50" ht="15" hidden="1" customHeight="1" x14ac:dyDescent="0.25">
      <c r="A3" s="475" t="s">
        <v>2901</v>
      </c>
      <c r="B3" s="476" t="s">
        <v>2908</v>
      </c>
      <c r="C3" s="213" t="s">
        <v>2909</v>
      </c>
      <c r="D3" s="213">
        <v>2</v>
      </c>
      <c r="E3" s="312">
        <v>20217000000203</v>
      </c>
      <c r="F3" s="477">
        <v>44200</v>
      </c>
      <c r="G3" s="312" t="s">
        <v>2910</v>
      </c>
      <c r="H3" s="213" t="s">
        <v>2911</v>
      </c>
      <c r="I3" s="213" t="s">
        <v>164</v>
      </c>
      <c r="J3" s="474">
        <v>19662787</v>
      </c>
      <c r="K3" s="213" t="s">
        <v>138</v>
      </c>
      <c r="L3" s="213" t="s">
        <v>139</v>
      </c>
      <c r="M3" s="213" t="s">
        <v>44</v>
      </c>
      <c r="N3" s="213" t="s">
        <v>45</v>
      </c>
      <c r="O3" s="213" t="s">
        <v>142</v>
      </c>
      <c r="P3" s="213" t="s">
        <v>43</v>
      </c>
      <c r="R3" s="213">
        <v>2</v>
      </c>
      <c r="S3" s="477">
        <v>44204</v>
      </c>
      <c r="T3" s="213" t="s">
        <v>2912</v>
      </c>
      <c r="U3" s="474">
        <v>19662787</v>
      </c>
      <c r="V3" s="407"/>
      <c r="W3" s="363"/>
      <c r="X3" s="212">
        <v>2</v>
      </c>
      <c r="Y3" s="471">
        <v>44204</v>
      </c>
      <c r="Z3" s="471">
        <v>44204</v>
      </c>
      <c r="AA3" s="471">
        <v>44287</v>
      </c>
      <c r="AB3" s="3" t="s">
        <v>2913</v>
      </c>
      <c r="AC3" s="212">
        <v>311</v>
      </c>
      <c r="AD3" s="3">
        <v>1020743056</v>
      </c>
      <c r="AE3" s="213" t="s">
        <v>2914</v>
      </c>
      <c r="AF3" s="472">
        <v>19662787</v>
      </c>
      <c r="AG3" s="473">
        <f t="shared" si="0"/>
        <v>0</v>
      </c>
      <c r="AI3" s="427">
        <v>7022424</v>
      </c>
      <c r="AJ3" s="474">
        <v>7022424</v>
      </c>
      <c r="AK3" s="474">
        <v>5383859</v>
      </c>
      <c r="AM3" s="213"/>
    </row>
    <row r="4" spans="1:50" s="313" customFormat="1" ht="15" hidden="1" customHeight="1" x14ac:dyDescent="0.25">
      <c r="A4" s="362" t="s">
        <v>2175</v>
      </c>
      <c r="B4" s="418">
        <v>29700000</v>
      </c>
      <c r="C4" s="313" t="s">
        <v>2909</v>
      </c>
      <c r="D4" s="313">
        <v>3</v>
      </c>
      <c r="E4" s="326">
        <v>20211400000233</v>
      </c>
      <c r="F4" s="316">
        <v>44204</v>
      </c>
      <c r="G4" s="326" t="s">
        <v>2910</v>
      </c>
      <c r="H4" s="313" t="s">
        <v>2911</v>
      </c>
      <c r="I4" s="313" t="s">
        <v>184</v>
      </c>
      <c r="J4" s="406">
        <v>22500000</v>
      </c>
      <c r="K4" s="313" t="s">
        <v>138</v>
      </c>
      <c r="L4" s="313" t="s">
        <v>2915</v>
      </c>
      <c r="M4" s="313" t="s">
        <v>44</v>
      </c>
      <c r="N4" s="313" t="s">
        <v>45</v>
      </c>
      <c r="O4" s="313" t="s">
        <v>142</v>
      </c>
      <c r="P4" s="313" t="s">
        <v>43</v>
      </c>
      <c r="R4" s="313">
        <v>9</v>
      </c>
      <c r="S4" s="316">
        <v>44204</v>
      </c>
      <c r="T4" s="313" t="s">
        <v>2916</v>
      </c>
      <c r="U4" s="406">
        <f>22500000-22500000</f>
        <v>0</v>
      </c>
      <c r="V4" s="407">
        <v>22500000</v>
      </c>
      <c r="W4" s="363"/>
      <c r="X4" s="315"/>
      <c r="Y4" s="359"/>
      <c r="Z4" s="359"/>
      <c r="AA4" s="359"/>
      <c r="AB4" s="318"/>
      <c r="AC4" s="317"/>
      <c r="AD4" s="318"/>
      <c r="AF4" s="411"/>
      <c r="AG4" s="319">
        <f t="shared" si="0"/>
        <v>0</v>
      </c>
      <c r="AH4" s="406"/>
      <c r="AI4" s="406"/>
      <c r="AJ4" s="406"/>
      <c r="AK4" s="406"/>
      <c r="AL4" s="406"/>
      <c r="AM4" s="213"/>
    </row>
    <row r="5" spans="1:50" ht="15" hidden="1" customHeight="1" x14ac:dyDescent="0.25">
      <c r="A5" s="475" t="s">
        <v>2176</v>
      </c>
      <c r="B5" s="476">
        <v>68000000</v>
      </c>
      <c r="C5" s="213" t="s">
        <v>2909</v>
      </c>
      <c r="D5" s="213">
        <v>4</v>
      </c>
      <c r="E5" s="312">
        <v>20211400000243</v>
      </c>
      <c r="F5" s="477">
        <v>44204</v>
      </c>
      <c r="G5" s="312" t="s">
        <v>2910</v>
      </c>
      <c r="H5" s="213" t="s">
        <v>2911</v>
      </c>
      <c r="I5" s="213" t="s">
        <v>184</v>
      </c>
      <c r="J5" s="474">
        <v>68000000</v>
      </c>
      <c r="K5" s="213" t="s">
        <v>138</v>
      </c>
      <c r="L5" s="213" t="s">
        <v>2915</v>
      </c>
      <c r="M5" s="213" t="s">
        <v>44</v>
      </c>
      <c r="N5" s="213" t="s">
        <v>45</v>
      </c>
      <c r="O5" s="213" t="s">
        <v>142</v>
      </c>
      <c r="P5" s="213" t="s">
        <v>43</v>
      </c>
      <c r="R5" s="213">
        <v>10</v>
      </c>
      <c r="S5" s="477">
        <v>44204</v>
      </c>
      <c r="T5" s="213" t="s">
        <v>2917</v>
      </c>
      <c r="U5" s="474">
        <f>68000000-8500000</f>
        <v>59500000</v>
      </c>
      <c r="V5" s="407">
        <v>8500000</v>
      </c>
      <c r="W5" s="363"/>
      <c r="X5" s="212">
        <v>32</v>
      </c>
      <c r="Y5" s="471">
        <v>44222</v>
      </c>
      <c r="Z5" s="471">
        <v>44222</v>
      </c>
      <c r="AA5" s="471">
        <v>44434</v>
      </c>
      <c r="AB5" s="3" t="s">
        <v>2913</v>
      </c>
      <c r="AC5" s="212">
        <v>13</v>
      </c>
      <c r="AD5" s="3">
        <v>79755928</v>
      </c>
      <c r="AE5" s="213" t="s">
        <v>2918</v>
      </c>
      <c r="AF5" s="472">
        <v>59500000</v>
      </c>
      <c r="AG5" s="473">
        <f t="shared" si="0"/>
        <v>0</v>
      </c>
      <c r="AJ5" s="478">
        <v>9350000</v>
      </c>
      <c r="AK5" s="474">
        <v>8500000</v>
      </c>
      <c r="AL5" s="474">
        <v>8500000</v>
      </c>
      <c r="AM5" s="307">
        <v>8500000</v>
      </c>
    </row>
    <row r="6" spans="1:50" ht="15" hidden="1" customHeight="1" x14ac:dyDescent="0.25">
      <c r="A6" s="475" t="s">
        <v>2111</v>
      </c>
      <c r="B6" s="476">
        <v>112560000</v>
      </c>
      <c r="C6" s="213" t="s">
        <v>2909</v>
      </c>
      <c r="D6" s="213">
        <v>5</v>
      </c>
      <c r="E6" s="312">
        <v>20215000000073</v>
      </c>
      <c r="F6" s="477">
        <v>44204</v>
      </c>
      <c r="G6" s="312" t="s">
        <v>2903</v>
      </c>
      <c r="H6" s="213" t="s">
        <v>2904</v>
      </c>
      <c r="I6" s="213" t="s">
        <v>228</v>
      </c>
      <c r="J6" s="474">
        <v>112560000</v>
      </c>
      <c r="K6" s="213" t="s">
        <v>223</v>
      </c>
      <c r="L6" s="213" t="s">
        <v>233</v>
      </c>
      <c r="M6" s="213" t="s">
        <v>44</v>
      </c>
      <c r="N6" s="213" t="s">
        <v>45</v>
      </c>
      <c r="O6" s="213" t="s">
        <v>63</v>
      </c>
      <c r="P6" s="213" t="s">
        <v>678</v>
      </c>
      <c r="R6" s="213">
        <v>3</v>
      </c>
      <c r="S6" s="477">
        <v>44204</v>
      </c>
      <c r="T6" s="213" t="s">
        <v>2919</v>
      </c>
      <c r="U6" s="474">
        <f>112560000-9380000</f>
        <v>103180000</v>
      </c>
      <c r="V6" s="412">
        <v>9380000</v>
      </c>
      <c r="W6" s="398"/>
      <c r="X6" s="212">
        <v>15</v>
      </c>
      <c r="Y6" s="471">
        <v>44215</v>
      </c>
      <c r="Z6" s="471">
        <v>44215</v>
      </c>
      <c r="AA6" s="471">
        <v>44549</v>
      </c>
      <c r="AB6" s="3" t="s">
        <v>2913</v>
      </c>
      <c r="AC6" s="212">
        <v>1</v>
      </c>
      <c r="AD6" s="3">
        <v>1026260799</v>
      </c>
      <c r="AE6" s="213" t="s">
        <v>2920</v>
      </c>
      <c r="AF6" s="472">
        <v>103180000</v>
      </c>
      <c r="AG6" s="473">
        <f t="shared" si="0"/>
        <v>0</v>
      </c>
      <c r="AI6" s="474">
        <v>3126667</v>
      </c>
      <c r="AJ6" s="474">
        <v>9380000</v>
      </c>
      <c r="AK6" s="474">
        <v>9380000</v>
      </c>
      <c r="AL6" s="474">
        <v>9380000</v>
      </c>
      <c r="AM6" s="307">
        <v>9380000</v>
      </c>
    </row>
    <row r="7" spans="1:50" ht="15" hidden="1" customHeight="1" x14ac:dyDescent="0.25">
      <c r="A7" s="475" t="s">
        <v>2029</v>
      </c>
      <c r="B7" s="476">
        <v>112604000</v>
      </c>
      <c r="C7" s="213" t="s">
        <v>2909</v>
      </c>
      <c r="D7" s="213">
        <v>6</v>
      </c>
      <c r="E7" s="312">
        <v>20215000000083</v>
      </c>
      <c r="F7" s="477">
        <v>44204</v>
      </c>
      <c r="G7" s="312" t="s">
        <v>2903</v>
      </c>
      <c r="H7" s="213" t="s">
        <v>2904</v>
      </c>
      <c r="I7" s="213" t="s">
        <v>228</v>
      </c>
      <c r="J7" s="474">
        <v>112604000</v>
      </c>
      <c r="K7" s="213" t="s">
        <v>223</v>
      </c>
      <c r="L7" s="213" t="s">
        <v>283</v>
      </c>
      <c r="M7" s="213" t="s">
        <v>44</v>
      </c>
      <c r="N7" s="213" t="s">
        <v>45</v>
      </c>
      <c r="O7" s="213" t="s">
        <v>63</v>
      </c>
      <c r="P7" s="213" t="s">
        <v>678</v>
      </c>
      <c r="R7" s="213">
        <v>4</v>
      </c>
      <c r="S7" s="477">
        <v>44204</v>
      </c>
      <c r="T7" s="213" t="s">
        <v>2921</v>
      </c>
      <c r="U7" s="474">
        <f>112604000-6297333</f>
        <v>106306667</v>
      </c>
      <c r="V7" s="412">
        <v>6297333</v>
      </c>
      <c r="W7" s="398"/>
      <c r="X7" s="212">
        <v>21</v>
      </c>
      <c r="Y7" s="471">
        <v>44216</v>
      </c>
      <c r="Z7" s="471">
        <v>44216</v>
      </c>
      <c r="AA7" s="471">
        <v>44550</v>
      </c>
      <c r="AB7" s="3" t="s">
        <v>2913</v>
      </c>
      <c r="AC7" s="212">
        <v>9</v>
      </c>
      <c r="AD7" s="3">
        <v>80171259</v>
      </c>
      <c r="AE7" s="213" t="s">
        <v>2922</v>
      </c>
      <c r="AF7" s="472">
        <v>106306667</v>
      </c>
      <c r="AG7" s="473">
        <f t="shared" si="0"/>
        <v>0</v>
      </c>
      <c r="AI7" s="474">
        <v>3126667</v>
      </c>
      <c r="AJ7" s="474">
        <v>9380000</v>
      </c>
      <c r="AK7" s="474">
        <v>9380000</v>
      </c>
      <c r="AL7" s="474">
        <v>9380000</v>
      </c>
      <c r="AM7" s="213"/>
    </row>
    <row r="8" spans="1:50" ht="15" hidden="1" customHeight="1" x14ac:dyDescent="0.25">
      <c r="A8" s="475" t="s">
        <v>2112</v>
      </c>
      <c r="B8" s="476">
        <v>112604000</v>
      </c>
      <c r="C8" s="213" t="s">
        <v>2909</v>
      </c>
      <c r="D8" s="213">
        <v>7</v>
      </c>
      <c r="E8" s="312">
        <v>20215000000093</v>
      </c>
      <c r="F8" s="477">
        <v>44204</v>
      </c>
      <c r="G8" s="312" t="s">
        <v>2903</v>
      </c>
      <c r="H8" s="213" t="s">
        <v>2904</v>
      </c>
      <c r="I8" s="213" t="s">
        <v>228</v>
      </c>
      <c r="J8" s="474">
        <v>112604000</v>
      </c>
      <c r="K8" s="213" t="s">
        <v>223</v>
      </c>
      <c r="L8" s="213" t="s">
        <v>269</v>
      </c>
      <c r="M8" s="213" t="s">
        <v>44</v>
      </c>
      <c r="N8" s="213" t="s">
        <v>45</v>
      </c>
      <c r="O8" s="213" t="s">
        <v>63</v>
      </c>
      <c r="P8" s="213" t="s">
        <v>678</v>
      </c>
      <c r="R8" s="213">
        <v>5</v>
      </c>
      <c r="S8" s="477">
        <v>44204</v>
      </c>
      <c r="T8" s="213" t="s">
        <v>2923</v>
      </c>
      <c r="U8" s="474">
        <f>112604000-24604000</f>
        <v>88000000</v>
      </c>
      <c r="V8" s="412">
        <v>24604000</v>
      </c>
      <c r="W8" s="398"/>
      <c r="X8" s="212">
        <v>16</v>
      </c>
      <c r="Y8" s="471">
        <v>44216</v>
      </c>
      <c r="Z8" s="471">
        <v>44216</v>
      </c>
      <c r="AA8" s="471">
        <v>44550</v>
      </c>
      <c r="AB8" s="3" t="s">
        <v>2913</v>
      </c>
      <c r="AC8" s="212">
        <v>6</v>
      </c>
      <c r="AD8" s="3">
        <v>79910411</v>
      </c>
      <c r="AE8" s="213" t="s">
        <v>2924</v>
      </c>
      <c r="AF8" s="472">
        <v>88000000</v>
      </c>
      <c r="AG8" s="473">
        <f t="shared" si="0"/>
        <v>0</v>
      </c>
      <c r="AI8" s="474">
        <v>2666666</v>
      </c>
      <c r="AJ8" s="474">
        <v>8000000</v>
      </c>
      <c r="AK8" s="474">
        <v>8000000</v>
      </c>
      <c r="AL8" s="474">
        <v>8000000</v>
      </c>
      <c r="AM8" s="307">
        <v>8000000</v>
      </c>
    </row>
    <row r="9" spans="1:50" ht="15" hidden="1" customHeight="1" x14ac:dyDescent="0.25">
      <c r="A9" s="475" t="s">
        <v>2029</v>
      </c>
      <c r="B9" s="476">
        <v>47736000</v>
      </c>
      <c r="C9" s="213" t="s">
        <v>2909</v>
      </c>
      <c r="D9" s="213">
        <v>8</v>
      </c>
      <c r="E9" s="312">
        <v>20215000000123</v>
      </c>
      <c r="F9" s="477">
        <v>44204</v>
      </c>
      <c r="G9" s="312" t="s">
        <v>2903</v>
      </c>
      <c r="H9" s="213" t="s">
        <v>2904</v>
      </c>
      <c r="I9" s="213" t="s">
        <v>228</v>
      </c>
      <c r="J9" s="474">
        <v>47736000</v>
      </c>
      <c r="K9" s="213" t="s">
        <v>223</v>
      </c>
      <c r="L9" s="213" t="s">
        <v>283</v>
      </c>
      <c r="M9" s="213" t="s">
        <v>44</v>
      </c>
      <c r="N9" s="213" t="s">
        <v>45</v>
      </c>
      <c r="O9" s="213" t="s">
        <v>63</v>
      </c>
      <c r="P9" s="213" t="s">
        <v>678</v>
      </c>
      <c r="R9" s="213">
        <v>6</v>
      </c>
      <c r="S9" s="477">
        <v>44204</v>
      </c>
      <c r="T9" s="213" t="s">
        <v>2921</v>
      </c>
      <c r="U9" s="474">
        <f>47736000-3978000</f>
        <v>43758000</v>
      </c>
      <c r="V9" s="412">
        <v>3978000</v>
      </c>
      <c r="W9" s="398"/>
      <c r="X9" s="212">
        <v>22</v>
      </c>
      <c r="Y9" s="471">
        <v>44216</v>
      </c>
      <c r="Z9" s="471">
        <v>44216</v>
      </c>
      <c r="AA9" s="471">
        <v>44550</v>
      </c>
      <c r="AB9" s="3" t="s">
        <v>2913</v>
      </c>
      <c r="AC9" s="212">
        <v>3</v>
      </c>
      <c r="AD9" s="3">
        <v>1121706848</v>
      </c>
      <c r="AE9" s="213" t="s">
        <v>2925</v>
      </c>
      <c r="AF9" s="472">
        <v>43758000</v>
      </c>
      <c r="AG9" s="473">
        <f t="shared" si="0"/>
        <v>0</v>
      </c>
      <c r="AI9" s="474">
        <v>1458600</v>
      </c>
      <c r="AJ9" s="474">
        <v>3978000</v>
      </c>
      <c r="AK9" s="474">
        <v>3978000</v>
      </c>
      <c r="AL9" s="474">
        <v>3978000</v>
      </c>
      <c r="AM9" s="307">
        <v>3978000</v>
      </c>
    </row>
    <row r="10" spans="1:50" ht="15" hidden="1" customHeight="1" x14ac:dyDescent="0.25">
      <c r="A10" s="475" t="s">
        <v>2926</v>
      </c>
      <c r="B10" s="476">
        <v>57000000</v>
      </c>
      <c r="C10" s="213" t="s">
        <v>2927</v>
      </c>
      <c r="D10" s="213">
        <v>9</v>
      </c>
      <c r="E10" s="312">
        <v>20215000000133</v>
      </c>
      <c r="F10" s="477">
        <v>44204</v>
      </c>
      <c r="G10" s="312" t="s">
        <v>2903</v>
      </c>
      <c r="H10" s="213" t="s">
        <v>2904</v>
      </c>
      <c r="I10" s="213" t="s">
        <v>228</v>
      </c>
      <c r="J10" s="474">
        <v>57000000</v>
      </c>
      <c r="K10" s="213" t="s">
        <v>223</v>
      </c>
      <c r="L10" s="213" t="s">
        <v>257</v>
      </c>
      <c r="M10" s="213" t="s">
        <v>44</v>
      </c>
      <c r="N10" s="213" t="s">
        <v>45</v>
      </c>
      <c r="O10" s="213" t="s">
        <v>46</v>
      </c>
      <c r="P10" s="213" t="s">
        <v>678</v>
      </c>
      <c r="R10" s="213">
        <v>7</v>
      </c>
      <c r="S10" s="477">
        <v>44204</v>
      </c>
      <c r="T10" s="213" t="s">
        <v>2928</v>
      </c>
      <c r="U10" s="474">
        <f>57000000-9300040</f>
        <v>47699960</v>
      </c>
      <c r="V10" s="412">
        <v>9300040</v>
      </c>
      <c r="W10" s="398"/>
      <c r="X10" s="212">
        <v>4</v>
      </c>
      <c r="Y10" s="471">
        <v>44210</v>
      </c>
      <c r="Z10" s="471">
        <v>44210</v>
      </c>
      <c r="AA10" s="471">
        <v>44269</v>
      </c>
      <c r="AB10" s="3" t="s">
        <v>2929</v>
      </c>
      <c r="AC10" s="212">
        <v>707</v>
      </c>
      <c r="AD10" s="3">
        <v>800199498</v>
      </c>
      <c r="AE10" s="213" t="s">
        <v>2930</v>
      </c>
      <c r="AF10" s="472">
        <v>47699960</v>
      </c>
      <c r="AG10" s="473">
        <f t="shared" si="0"/>
        <v>0</v>
      </c>
      <c r="AK10" s="474">
        <v>47699960</v>
      </c>
      <c r="AM10" s="213"/>
    </row>
    <row r="11" spans="1:50" ht="15" hidden="1" customHeight="1" x14ac:dyDescent="0.25">
      <c r="A11" s="475" t="s">
        <v>2931</v>
      </c>
      <c r="B11" s="476">
        <v>936991795</v>
      </c>
      <c r="C11" s="213" t="s">
        <v>350</v>
      </c>
      <c r="D11" s="213">
        <v>10</v>
      </c>
      <c r="E11" s="312">
        <v>20213000000143</v>
      </c>
      <c r="F11" s="477">
        <v>44204</v>
      </c>
      <c r="G11" s="312" t="s">
        <v>2903</v>
      </c>
      <c r="H11" s="213" t="s">
        <v>2904</v>
      </c>
      <c r="I11" s="213" t="s">
        <v>432</v>
      </c>
      <c r="J11" s="474">
        <v>563008205</v>
      </c>
      <c r="K11" s="213" t="s">
        <v>342</v>
      </c>
      <c r="L11" s="213" t="s">
        <v>343</v>
      </c>
      <c r="M11" s="213" t="s">
        <v>44</v>
      </c>
      <c r="N11" s="213" t="s">
        <v>45</v>
      </c>
      <c r="O11" s="213" t="s">
        <v>310</v>
      </c>
      <c r="P11" s="213" t="s">
        <v>678</v>
      </c>
      <c r="R11" s="213">
        <v>8</v>
      </c>
      <c r="S11" s="477">
        <v>44204</v>
      </c>
      <c r="T11" s="213" t="s">
        <v>2932</v>
      </c>
      <c r="U11" s="474">
        <v>563008205</v>
      </c>
      <c r="V11" s="407"/>
      <c r="W11" s="363"/>
      <c r="X11" s="212">
        <v>7</v>
      </c>
      <c r="Y11" s="471">
        <v>44210</v>
      </c>
      <c r="Z11" s="471">
        <v>44210</v>
      </c>
      <c r="AA11" s="471">
        <v>44269</v>
      </c>
      <c r="AB11" s="3" t="s">
        <v>2933</v>
      </c>
      <c r="AC11" s="212">
        <v>749</v>
      </c>
      <c r="AD11" s="3">
        <v>18412092</v>
      </c>
      <c r="AE11" s="213" t="s">
        <v>2934</v>
      </c>
      <c r="AF11" s="472">
        <v>563008205</v>
      </c>
      <c r="AG11" s="473">
        <f t="shared" si="0"/>
        <v>0</v>
      </c>
      <c r="AK11" s="474">
        <v>225203282</v>
      </c>
      <c r="AM11" s="213"/>
    </row>
    <row r="12" spans="1:50" ht="15" hidden="1" customHeight="1" x14ac:dyDescent="0.25">
      <c r="A12" s="475" t="s">
        <v>2935</v>
      </c>
      <c r="B12" s="476">
        <v>84000000</v>
      </c>
      <c r="C12" s="213" t="s">
        <v>2909</v>
      </c>
      <c r="D12" s="213">
        <v>11</v>
      </c>
      <c r="E12" s="312">
        <v>20214000000463</v>
      </c>
      <c r="F12" s="477">
        <v>44208</v>
      </c>
      <c r="G12" s="312" t="s">
        <v>2936</v>
      </c>
      <c r="H12" s="213" t="s">
        <v>2937</v>
      </c>
      <c r="I12" s="213" t="s">
        <v>117</v>
      </c>
      <c r="J12" s="474">
        <v>80033333</v>
      </c>
      <c r="K12" s="213" t="s">
        <v>112</v>
      </c>
      <c r="L12" s="213" t="s">
        <v>2938</v>
      </c>
      <c r="M12" s="213" t="s">
        <v>44</v>
      </c>
      <c r="N12" s="213" t="s">
        <v>45</v>
      </c>
      <c r="O12" s="213" t="s">
        <v>63</v>
      </c>
      <c r="P12" s="213" t="s">
        <v>43</v>
      </c>
      <c r="R12" s="213">
        <v>12</v>
      </c>
      <c r="S12" s="477">
        <v>44209</v>
      </c>
      <c r="T12" s="213" t="s">
        <v>2939</v>
      </c>
      <c r="U12" s="474">
        <v>80033333</v>
      </c>
      <c r="V12" s="407"/>
      <c r="W12" s="363"/>
      <c r="X12" s="212">
        <v>31</v>
      </c>
      <c r="Y12" s="471">
        <v>44222</v>
      </c>
      <c r="Z12" s="471">
        <v>44222</v>
      </c>
      <c r="AA12" s="471">
        <v>44556</v>
      </c>
      <c r="AB12" s="3" t="s">
        <v>2913</v>
      </c>
      <c r="AC12" s="212">
        <v>11</v>
      </c>
      <c r="AD12" s="3">
        <v>79284479</v>
      </c>
      <c r="AE12" s="213" t="s">
        <v>2940</v>
      </c>
      <c r="AF12" s="472">
        <v>77000000</v>
      </c>
      <c r="AG12" s="473">
        <f t="shared" si="0"/>
        <v>3033333</v>
      </c>
      <c r="AK12" s="474">
        <v>7933333</v>
      </c>
      <c r="AL12" s="474">
        <v>7000000</v>
      </c>
      <c r="AM12" s="307">
        <v>7000000</v>
      </c>
    </row>
    <row r="13" spans="1:50" ht="15" hidden="1" customHeight="1" x14ac:dyDescent="0.25">
      <c r="A13" s="475" t="s">
        <v>2395</v>
      </c>
      <c r="B13" s="476">
        <v>54661018</v>
      </c>
      <c r="C13" s="213" t="s">
        <v>2909</v>
      </c>
      <c r="D13" s="213">
        <v>12</v>
      </c>
      <c r="E13" s="312">
        <v>20214000000473</v>
      </c>
      <c r="F13" s="477">
        <v>44208</v>
      </c>
      <c r="G13" s="312" t="s">
        <v>2936</v>
      </c>
      <c r="H13" s="213" t="s">
        <v>2937</v>
      </c>
      <c r="I13" s="213" t="s">
        <v>117</v>
      </c>
      <c r="J13" s="474">
        <v>54661018</v>
      </c>
      <c r="K13" s="213" t="s">
        <v>112</v>
      </c>
      <c r="L13" s="213" t="s">
        <v>2938</v>
      </c>
      <c r="M13" s="213" t="s">
        <v>44</v>
      </c>
      <c r="N13" s="213" t="s">
        <v>45</v>
      </c>
      <c r="O13" s="213" t="s">
        <v>63</v>
      </c>
      <c r="P13" s="213" t="s">
        <v>43</v>
      </c>
      <c r="R13" s="213">
        <v>13</v>
      </c>
      <c r="S13" s="477">
        <v>44209</v>
      </c>
      <c r="T13" s="213" t="s">
        <v>2941</v>
      </c>
      <c r="U13" s="474">
        <v>54661018</v>
      </c>
      <c r="V13" s="407"/>
      <c r="W13" s="363"/>
      <c r="X13" s="309">
        <v>66</v>
      </c>
      <c r="Y13" s="471">
        <v>44230</v>
      </c>
      <c r="Z13" s="471">
        <v>44230</v>
      </c>
      <c r="AA13" s="471">
        <v>44548</v>
      </c>
      <c r="AB13" s="3" t="s">
        <v>2913</v>
      </c>
      <c r="AC13" s="212">
        <v>34</v>
      </c>
      <c r="AD13" s="3">
        <v>52521018</v>
      </c>
      <c r="AE13" s="213" t="s">
        <v>2942</v>
      </c>
      <c r="AF13" s="472">
        <v>50274000</v>
      </c>
      <c r="AG13" s="473">
        <f t="shared" si="0"/>
        <v>4387018</v>
      </c>
      <c r="AJ13" s="474">
        <v>3293333</v>
      </c>
      <c r="AK13" s="474">
        <v>3800000</v>
      </c>
      <c r="AL13" s="474">
        <v>3800000</v>
      </c>
      <c r="AM13" s="307">
        <v>3800000</v>
      </c>
    </row>
    <row r="14" spans="1:50" ht="15" hidden="1" customHeight="1" x14ac:dyDescent="0.25">
      <c r="A14" s="475" t="s">
        <v>2395</v>
      </c>
      <c r="B14" s="476">
        <v>32232315</v>
      </c>
      <c r="C14" s="213" t="s">
        <v>2909</v>
      </c>
      <c r="D14" s="213">
        <v>12</v>
      </c>
      <c r="E14" s="312">
        <v>20214000000473</v>
      </c>
      <c r="F14" s="477">
        <v>44208</v>
      </c>
      <c r="G14" s="312" t="s">
        <v>2943</v>
      </c>
      <c r="H14" s="213" t="s">
        <v>2944</v>
      </c>
      <c r="I14" s="213" t="s">
        <v>47</v>
      </c>
      <c r="J14" s="474">
        <v>32232315</v>
      </c>
      <c r="K14" s="213" t="s">
        <v>37</v>
      </c>
      <c r="L14" s="213" t="s">
        <v>2945</v>
      </c>
      <c r="M14" s="213" t="s">
        <v>44</v>
      </c>
      <c r="N14" s="213" t="s">
        <v>45</v>
      </c>
      <c r="O14" s="213" t="s">
        <v>310</v>
      </c>
      <c r="P14" s="213" t="s">
        <v>43</v>
      </c>
      <c r="R14" s="330">
        <v>13</v>
      </c>
      <c r="S14" s="477">
        <v>44209</v>
      </c>
      <c r="T14" s="213" t="s">
        <v>2941</v>
      </c>
      <c r="U14" s="474">
        <v>32232315</v>
      </c>
      <c r="V14" s="407"/>
      <c r="W14" s="363"/>
      <c r="X14" s="309">
        <v>66</v>
      </c>
      <c r="Y14" s="471">
        <v>44230</v>
      </c>
      <c r="Z14" s="471">
        <v>44230</v>
      </c>
      <c r="AA14" s="471">
        <v>44548</v>
      </c>
      <c r="AB14" s="3" t="s">
        <v>2913</v>
      </c>
      <c r="AC14" s="212">
        <v>34</v>
      </c>
      <c r="AD14" s="3">
        <v>52521018</v>
      </c>
      <c r="AE14" s="213" t="s">
        <v>2942</v>
      </c>
      <c r="AF14" s="472">
        <v>29526000</v>
      </c>
      <c r="AG14" s="473">
        <f t="shared" si="0"/>
        <v>2706315</v>
      </c>
      <c r="AJ14" s="474">
        <v>3293333</v>
      </c>
      <c r="AK14" s="474">
        <v>3800000</v>
      </c>
      <c r="AL14" s="474">
        <v>3800000</v>
      </c>
      <c r="AM14" s="307">
        <v>3800000</v>
      </c>
    </row>
    <row r="15" spans="1:50" ht="15" hidden="1" customHeight="1" x14ac:dyDescent="0.25">
      <c r="A15" s="475" t="s">
        <v>2901</v>
      </c>
      <c r="B15" s="476" t="s">
        <v>2946</v>
      </c>
      <c r="C15" s="213" t="s">
        <v>2946</v>
      </c>
      <c r="D15" s="213">
        <v>13</v>
      </c>
      <c r="E15" s="312">
        <v>20217000000483</v>
      </c>
      <c r="F15" s="477">
        <v>44208</v>
      </c>
      <c r="G15" s="312" t="s">
        <v>2910</v>
      </c>
      <c r="H15" s="213" t="s">
        <v>2911</v>
      </c>
      <c r="I15" s="213" t="s">
        <v>164</v>
      </c>
      <c r="J15" s="474">
        <v>10796975</v>
      </c>
      <c r="K15" s="213" t="s">
        <v>138</v>
      </c>
      <c r="L15" s="213" t="s">
        <v>139</v>
      </c>
      <c r="M15" s="213" t="s">
        <v>44</v>
      </c>
      <c r="N15" s="213" t="s">
        <v>45</v>
      </c>
      <c r="O15" s="213" t="s">
        <v>142</v>
      </c>
      <c r="P15" s="213" t="s">
        <v>43</v>
      </c>
      <c r="R15" s="213">
        <v>14</v>
      </c>
      <c r="S15" s="477">
        <v>44209</v>
      </c>
      <c r="T15" s="213" t="s">
        <v>2947</v>
      </c>
      <c r="U15" s="474">
        <v>10796975</v>
      </c>
      <c r="V15" s="407"/>
      <c r="W15" s="363"/>
      <c r="X15" s="212">
        <v>39</v>
      </c>
      <c r="Y15" s="471">
        <v>44223</v>
      </c>
      <c r="Z15" s="471">
        <v>44228</v>
      </c>
      <c r="AA15" s="471">
        <v>44308</v>
      </c>
      <c r="AB15" s="3" t="s">
        <v>2913</v>
      </c>
      <c r="AC15" s="212">
        <v>361</v>
      </c>
      <c r="AD15" s="3">
        <v>1019060772</v>
      </c>
      <c r="AE15" s="213" t="s">
        <v>2948</v>
      </c>
      <c r="AF15" s="472">
        <v>10796975</v>
      </c>
      <c r="AG15" s="473">
        <f t="shared" si="0"/>
        <v>0</v>
      </c>
      <c r="AJ15" s="474">
        <v>3950113</v>
      </c>
      <c r="AK15" s="474">
        <v>3950113</v>
      </c>
      <c r="AL15" s="474">
        <v>2896749</v>
      </c>
      <c r="AM15" s="213"/>
    </row>
    <row r="16" spans="1:50" ht="15" hidden="1" customHeight="1" x14ac:dyDescent="0.25">
      <c r="A16" s="475" t="s">
        <v>2456</v>
      </c>
      <c r="B16" s="476">
        <v>22500000</v>
      </c>
      <c r="C16" s="213" t="s">
        <v>2909</v>
      </c>
      <c r="D16" s="213">
        <v>14</v>
      </c>
      <c r="E16" s="312">
        <v>20211200000503</v>
      </c>
      <c r="F16" s="477">
        <v>44208</v>
      </c>
      <c r="G16" s="312" t="s">
        <v>2910</v>
      </c>
      <c r="H16" s="213" t="s">
        <v>2911</v>
      </c>
      <c r="I16" s="213" t="s">
        <v>143</v>
      </c>
      <c r="J16" s="474">
        <v>22500000</v>
      </c>
      <c r="K16" s="213" t="s">
        <v>138</v>
      </c>
      <c r="L16" s="213" t="s">
        <v>139</v>
      </c>
      <c r="M16" s="213" t="s">
        <v>44</v>
      </c>
      <c r="N16" s="213" t="s">
        <v>45</v>
      </c>
      <c r="O16" s="213" t="s">
        <v>142</v>
      </c>
      <c r="P16" s="213" t="s">
        <v>43</v>
      </c>
      <c r="R16" s="213">
        <v>15</v>
      </c>
      <c r="S16" s="477">
        <v>44209</v>
      </c>
      <c r="T16" s="213" t="s">
        <v>2949</v>
      </c>
      <c r="U16" s="474">
        <v>22500000</v>
      </c>
      <c r="V16" s="407"/>
      <c r="W16" s="363"/>
      <c r="X16" s="212">
        <v>5</v>
      </c>
      <c r="Y16" s="471">
        <v>44210</v>
      </c>
      <c r="Z16" s="471">
        <v>44210</v>
      </c>
      <c r="AA16" s="471">
        <v>44269</v>
      </c>
      <c r="AB16" s="3" t="s">
        <v>2913</v>
      </c>
      <c r="AC16" s="212">
        <v>756</v>
      </c>
      <c r="AD16" s="3">
        <v>36312413</v>
      </c>
      <c r="AE16" s="213" t="s">
        <v>2950</v>
      </c>
      <c r="AF16" s="472">
        <v>22500000</v>
      </c>
      <c r="AG16" s="473">
        <f t="shared" si="0"/>
        <v>0</v>
      </c>
      <c r="AI16" s="427">
        <v>4250000</v>
      </c>
      <c r="AJ16" s="474">
        <v>7500000</v>
      </c>
      <c r="AK16" s="474">
        <v>7500000</v>
      </c>
      <c r="AM16" s="307">
        <v>3250000</v>
      </c>
    </row>
    <row r="17" spans="1:42" hidden="1" x14ac:dyDescent="0.25">
      <c r="A17" s="475" t="s">
        <v>2460</v>
      </c>
      <c r="B17" s="476">
        <v>16500000</v>
      </c>
      <c r="C17" s="213" t="s">
        <v>2909</v>
      </c>
      <c r="D17" s="213">
        <v>15</v>
      </c>
      <c r="E17" s="312">
        <v>20211200000563</v>
      </c>
      <c r="F17" s="477">
        <v>44208</v>
      </c>
      <c r="G17" s="312" t="s">
        <v>2910</v>
      </c>
      <c r="H17" s="213" t="s">
        <v>2911</v>
      </c>
      <c r="I17" s="213" t="s">
        <v>143</v>
      </c>
      <c r="J17" s="474">
        <v>16500000</v>
      </c>
      <c r="K17" s="213" t="s">
        <v>138</v>
      </c>
      <c r="L17" s="213" t="s">
        <v>139</v>
      </c>
      <c r="M17" s="213" t="s">
        <v>44</v>
      </c>
      <c r="N17" s="213" t="s">
        <v>45</v>
      </c>
      <c r="O17" s="213" t="s">
        <v>142</v>
      </c>
      <c r="P17" s="213" t="s">
        <v>43</v>
      </c>
      <c r="R17" s="213">
        <v>16</v>
      </c>
      <c r="S17" s="477">
        <v>44209</v>
      </c>
      <c r="T17" s="213" t="s">
        <v>2951</v>
      </c>
      <c r="U17" s="474">
        <v>16500000</v>
      </c>
      <c r="V17" s="407"/>
      <c r="W17" s="363"/>
      <c r="X17" s="212">
        <v>3</v>
      </c>
      <c r="Y17" s="471">
        <v>44210</v>
      </c>
      <c r="Z17" s="471">
        <v>44210</v>
      </c>
      <c r="AA17" s="471">
        <v>44269</v>
      </c>
      <c r="AB17" s="3" t="s">
        <v>2913</v>
      </c>
      <c r="AC17" s="212">
        <v>758</v>
      </c>
      <c r="AD17" s="3">
        <v>1020754898</v>
      </c>
      <c r="AE17" s="213" t="s">
        <v>2952</v>
      </c>
      <c r="AF17" s="472">
        <v>16500000</v>
      </c>
      <c r="AG17" s="473">
        <f t="shared" si="0"/>
        <v>0</v>
      </c>
      <c r="AI17" s="427">
        <v>3116666</v>
      </c>
      <c r="AJ17" s="474">
        <v>5500000</v>
      </c>
      <c r="AK17" s="474">
        <v>5500000</v>
      </c>
      <c r="AL17" s="474">
        <v>2383333</v>
      </c>
      <c r="AM17" s="213"/>
    </row>
    <row r="18" spans="1:42" hidden="1" x14ac:dyDescent="0.25">
      <c r="A18" s="475" t="s">
        <v>2901</v>
      </c>
      <c r="B18" s="476" t="s">
        <v>2901</v>
      </c>
      <c r="C18" s="213" t="s">
        <v>2953</v>
      </c>
      <c r="D18" s="213">
        <v>16</v>
      </c>
      <c r="E18" s="312">
        <v>20215000000593</v>
      </c>
      <c r="F18" s="477">
        <v>44209</v>
      </c>
      <c r="G18" s="312" t="s">
        <v>2903</v>
      </c>
      <c r="H18" s="213" t="s">
        <v>2904</v>
      </c>
      <c r="I18" s="213" t="s">
        <v>228</v>
      </c>
      <c r="J18" s="474">
        <v>94600000</v>
      </c>
      <c r="K18" s="213" t="s">
        <v>223</v>
      </c>
      <c r="L18" s="213" t="s">
        <v>224</v>
      </c>
      <c r="M18" s="213" t="s">
        <v>44</v>
      </c>
      <c r="N18" s="213" t="s">
        <v>45</v>
      </c>
      <c r="O18" s="213" t="s">
        <v>251</v>
      </c>
      <c r="P18" s="213" t="s">
        <v>678</v>
      </c>
      <c r="R18" s="213">
        <v>17</v>
      </c>
      <c r="S18" s="477">
        <v>44209</v>
      </c>
      <c r="T18" s="213" t="s">
        <v>2954</v>
      </c>
      <c r="U18" s="474">
        <v>94600000</v>
      </c>
      <c r="V18" s="407"/>
      <c r="W18" s="363"/>
      <c r="X18" s="212">
        <v>8</v>
      </c>
      <c r="Y18" s="471">
        <v>44211</v>
      </c>
      <c r="Z18" s="471">
        <v>44211</v>
      </c>
      <c r="AA18" s="471">
        <v>44561</v>
      </c>
      <c r="AB18" s="3" t="s">
        <v>2955</v>
      </c>
      <c r="AC18" s="479">
        <v>20215000001243</v>
      </c>
      <c r="AD18" s="3">
        <v>901145808</v>
      </c>
      <c r="AE18" s="213" t="s">
        <v>2956</v>
      </c>
      <c r="AF18" s="472">
        <v>94600000</v>
      </c>
      <c r="AG18" s="473">
        <f t="shared" si="0"/>
        <v>0</v>
      </c>
      <c r="AH18" s="474">
        <v>2842060</v>
      </c>
      <c r="AJ18" s="474">
        <v>13893730</v>
      </c>
      <c r="AK18" s="474">
        <v>18666130</v>
      </c>
      <c r="AL18" s="474">
        <f>508608-34189</f>
        <v>474419</v>
      </c>
      <c r="AM18" s="307">
        <v>8220469</v>
      </c>
    </row>
    <row r="19" spans="1:42" hidden="1" x14ac:dyDescent="0.25">
      <c r="A19" s="475" t="s">
        <v>2113</v>
      </c>
      <c r="B19" s="476">
        <v>49608000</v>
      </c>
      <c r="C19" s="213" t="s">
        <v>2909</v>
      </c>
      <c r="D19" s="213">
        <v>17</v>
      </c>
      <c r="E19" s="312">
        <v>20215000000603</v>
      </c>
      <c r="F19" s="477">
        <v>44209</v>
      </c>
      <c r="G19" s="312" t="s">
        <v>2903</v>
      </c>
      <c r="H19" s="213" t="s">
        <v>2904</v>
      </c>
      <c r="I19" s="213" t="s">
        <v>228</v>
      </c>
      <c r="J19" s="474">
        <v>49608000</v>
      </c>
      <c r="K19" s="213" t="s">
        <v>223</v>
      </c>
      <c r="L19" s="213" t="s">
        <v>236</v>
      </c>
      <c r="M19" s="213" t="s">
        <v>44</v>
      </c>
      <c r="N19" s="213" t="s">
        <v>45</v>
      </c>
      <c r="O19" s="213" t="s">
        <v>63</v>
      </c>
      <c r="P19" s="213" t="s">
        <v>678</v>
      </c>
      <c r="R19" s="213">
        <v>18</v>
      </c>
      <c r="S19" s="477">
        <v>44209</v>
      </c>
      <c r="T19" s="213" t="s">
        <v>2957</v>
      </c>
      <c r="U19" s="474">
        <f>49608000-5608000</f>
        <v>44000000</v>
      </c>
      <c r="V19" s="412">
        <v>5608000</v>
      </c>
      <c r="W19" s="398"/>
      <c r="X19" s="212">
        <v>14</v>
      </c>
      <c r="Y19" s="471">
        <v>44215</v>
      </c>
      <c r="Z19" s="471">
        <v>44215</v>
      </c>
      <c r="AA19" s="471">
        <v>44549</v>
      </c>
      <c r="AB19" s="3" t="s">
        <v>2913</v>
      </c>
      <c r="AC19" s="212">
        <v>2</v>
      </c>
      <c r="AD19" s="3">
        <v>79787402</v>
      </c>
      <c r="AE19" s="213" t="s">
        <v>2958</v>
      </c>
      <c r="AF19" s="472">
        <v>44000000</v>
      </c>
      <c r="AG19" s="473">
        <f t="shared" si="0"/>
        <v>0</v>
      </c>
      <c r="AJ19" s="474">
        <v>5466667</v>
      </c>
      <c r="AK19" s="474">
        <v>4000000</v>
      </c>
      <c r="AL19" s="474">
        <v>4000000</v>
      </c>
      <c r="AM19" s="307">
        <v>4000000</v>
      </c>
    </row>
    <row r="20" spans="1:42" hidden="1" x14ac:dyDescent="0.25">
      <c r="B20" s="476" t="s">
        <v>2946</v>
      </c>
      <c r="C20" s="213" t="s">
        <v>2909</v>
      </c>
      <c r="D20" s="213">
        <v>18</v>
      </c>
      <c r="E20" s="312">
        <v>20217000000613</v>
      </c>
      <c r="F20" s="477">
        <v>44209</v>
      </c>
      <c r="G20" s="312" t="s">
        <v>2910</v>
      </c>
      <c r="H20" s="213" t="s">
        <v>2911</v>
      </c>
      <c r="I20" s="213" t="s">
        <v>164</v>
      </c>
      <c r="J20" s="474">
        <v>5266818</v>
      </c>
      <c r="K20" s="213" t="s">
        <v>138</v>
      </c>
      <c r="L20" s="213" t="s">
        <v>139</v>
      </c>
      <c r="M20" s="213" t="s">
        <v>44</v>
      </c>
      <c r="N20" s="213" t="s">
        <v>45</v>
      </c>
      <c r="O20" s="213" t="s">
        <v>142</v>
      </c>
      <c r="P20" s="213" t="s">
        <v>43</v>
      </c>
      <c r="R20" s="213">
        <v>19</v>
      </c>
      <c r="S20" s="477">
        <v>44209</v>
      </c>
      <c r="T20" s="213" t="s">
        <v>2959</v>
      </c>
      <c r="U20" s="474">
        <v>5266818</v>
      </c>
      <c r="V20" s="407"/>
      <c r="W20" s="363"/>
      <c r="X20" s="212">
        <v>25</v>
      </c>
      <c r="Y20" s="471">
        <v>44218</v>
      </c>
      <c r="Z20" s="471">
        <v>44220</v>
      </c>
      <c r="AA20" s="471">
        <v>44278</v>
      </c>
      <c r="AB20" s="3" t="s">
        <v>2913</v>
      </c>
      <c r="AC20" s="212">
        <v>434</v>
      </c>
      <c r="AD20" s="3">
        <v>79763003</v>
      </c>
      <c r="AE20" s="213" t="s">
        <v>2960</v>
      </c>
      <c r="AF20" s="472">
        <v>5266818</v>
      </c>
      <c r="AG20" s="473">
        <f t="shared" si="0"/>
        <v>0</v>
      </c>
      <c r="AI20" s="427">
        <v>2633409</v>
      </c>
      <c r="AJ20" s="474">
        <v>2633409</v>
      </c>
      <c r="AM20" s="213"/>
    </row>
    <row r="21" spans="1:42" hidden="1" x14ac:dyDescent="0.25">
      <c r="B21" s="476" t="s">
        <v>2946</v>
      </c>
      <c r="C21" s="213" t="s">
        <v>2909</v>
      </c>
      <c r="D21" s="213">
        <v>19</v>
      </c>
      <c r="E21" s="312">
        <v>20217000000633</v>
      </c>
      <c r="F21" s="477">
        <v>44209</v>
      </c>
      <c r="G21" s="312" t="s">
        <v>2910</v>
      </c>
      <c r="H21" s="213" t="s">
        <v>2911</v>
      </c>
      <c r="I21" s="213" t="s">
        <v>164</v>
      </c>
      <c r="J21" s="474">
        <v>5266818</v>
      </c>
      <c r="K21" s="213" t="s">
        <v>138</v>
      </c>
      <c r="L21" s="213" t="s">
        <v>139</v>
      </c>
      <c r="M21" s="213" t="s">
        <v>44</v>
      </c>
      <c r="N21" s="213" t="s">
        <v>45</v>
      </c>
      <c r="O21" s="213" t="s">
        <v>142</v>
      </c>
      <c r="P21" s="213" t="s">
        <v>43</v>
      </c>
      <c r="R21" s="213">
        <v>20</v>
      </c>
      <c r="S21" s="477">
        <v>44209</v>
      </c>
      <c r="T21" s="213" t="s">
        <v>2961</v>
      </c>
      <c r="U21" s="474">
        <v>5266818</v>
      </c>
      <c r="V21" s="407"/>
      <c r="W21" s="363"/>
      <c r="X21" s="212">
        <v>24</v>
      </c>
      <c r="Y21" s="471">
        <v>44218</v>
      </c>
      <c r="Z21" s="471">
        <v>44221</v>
      </c>
      <c r="AA21" s="471">
        <v>44279</v>
      </c>
      <c r="AB21" s="3" t="s">
        <v>2913</v>
      </c>
      <c r="AC21" s="212">
        <v>438</v>
      </c>
      <c r="AD21" s="3">
        <v>52766365</v>
      </c>
      <c r="AE21" s="213" t="s">
        <v>2962</v>
      </c>
      <c r="AF21" s="472">
        <v>5266818</v>
      </c>
      <c r="AG21" s="473">
        <f t="shared" si="0"/>
        <v>0</v>
      </c>
      <c r="AI21" s="427">
        <v>2633409</v>
      </c>
      <c r="AJ21" s="474">
        <v>2633409</v>
      </c>
      <c r="AM21" s="213"/>
    </row>
    <row r="22" spans="1:42" hidden="1" x14ac:dyDescent="0.25">
      <c r="B22" s="476" t="s">
        <v>2946</v>
      </c>
      <c r="C22" s="213" t="s">
        <v>2909</v>
      </c>
      <c r="D22" s="213">
        <v>20</v>
      </c>
      <c r="E22" s="312">
        <v>20217000000673</v>
      </c>
      <c r="F22" s="477">
        <v>44209</v>
      </c>
      <c r="G22" s="312" t="s">
        <v>2910</v>
      </c>
      <c r="H22" s="213" t="s">
        <v>2911</v>
      </c>
      <c r="I22" s="213" t="s">
        <v>164</v>
      </c>
      <c r="J22" s="474">
        <v>14040000</v>
      </c>
      <c r="K22" s="213" t="s">
        <v>138</v>
      </c>
      <c r="L22" s="213" t="s">
        <v>139</v>
      </c>
      <c r="M22" s="213" t="s">
        <v>44</v>
      </c>
      <c r="N22" s="213" t="s">
        <v>45</v>
      </c>
      <c r="O22" s="213" t="s">
        <v>142</v>
      </c>
      <c r="P22" s="213" t="s">
        <v>43</v>
      </c>
      <c r="R22" s="213">
        <v>21</v>
      </c>
      <c r="S22" s="477">
        <v>44209</v>
      </c>
      <c r="T22" s="213" t="s">
        <v>2963</v>
      </c>
      <c r="U22" s="474">
        <v>14040000</v>
      </c>
      <c r="V22" s="407"/>
      <c r="W22" s="363"/>
      <c r="X22" s="212">
        <v>47</v>
      </c>
      <c r="Y22" s="471">
        <v>44224</v>
      </c>
      <c r="Z22" s="471">
        <v>44225</v>
      </c>
      <c r="AA22" s="471">
        <v>44283</v>
      </c>
      <c r="AB22" s="3" t="s">
        <v>2913</v>
      </c>
      <c r="AC22" s="212">
        <v>475</v>
      </c>
      <c r="AD22" s="3">
        <v>79971696</v>
      </c>
      <c r="AE22" s="213" t="s">
        <v>2964</v>
      </c>
      <c r="AF22" s="472">
        <v>14040000</v>
      </c>
      <c r="AG22" s="473">
        <f t="shared" si="0"/>
        <v>0</v>
      </c>
      <c r="AI22" s="474">
        <v>7020000</v>
      </c>
      <c r="AJ22" s="474">
        <v>7020000</v>
      </c>
      <c r="AM22" s="213"/>
    </row>
    <row r="23" spans="1:42" hidden="1" x14ac:dyDescent="0.25">
      <c r="B23" s="476" t="s">
        <v>2946</v>
      </c>
      <c r="C23" s="213" t="s">
        <v>2909</v>
      </c>
      <c r="D23" s="213">
        <v>21</v>
      </c>
      <c r="E23" s="312">
        <v>20217000000683</v>
      </c>
      <c r="F23" s="477">
        <v>44209</v>
      </c>
      <c r="G23" s="312" t="s">
        <v>2910</v>
      </c>
      <c r="H23" s="213" t="s">
        <v>2911</v>
      </c>
      <c r="I23" s="213" t="s">
        <v>164</v>
      </c>
      <c r="J23" s="474">
        <v>17000000</v>
      </c>
      <c r="K23" s="213" t="s">
        <v>138</v>
      </c>
      <c r="L23" s="213" t="s">
        <v>139</v>
      </c>
      <c r="M23" s="213" t="s">
        <v>44</v>
      </c>
      <c r="N23" s="213" t="s">
        <v>45</v>
      </c>
      <c r="O23" s="213" t="s">
        <v>142</v>
      </c>
      <c r="P23" s="213" t="s">
        <v>43</v>
      </c>
      <c r="R23" s="213">
        <v>22</v>
      </c>
      <c r="S23" s="477">
        <v>44209</v>
      </c>
      <c r="T23" s="213" t="s">
        <v>2965</v>
      </c>
      <c r="U23" s="474">
        <v>17000000</v>
      </c>
      <c r="V23" s="407"/>
      <c r="W23" s="363"/>
      <c r="X23" s="212">
        <v>27</v>
      </c>
      <c r="Y23" s="471">
        <v>44218</v>
      </c>
      <c r="Z23" s="471">
        <v>44226</v>
      </c>
      <c r="AA23" s="471">
        <v>44284</v>
      </c>
      <c r="AB23" s="3" t="s">
        <v>2913</v>
      </c>
      <c r="AC23" s="212">
        <v>474</v>
      </c>
      <c r="AD23" s="3">
        <v>79294836</v>
      </c>
      <c r="AE23" s="213" t="s">
        <v>2966</v>
      </c>
      <c r="AF23" s="472">
        <v>17000000</v>
      </c>
      <c r="AG23" s="473">
        <f t="shared" si="0"/>
        <v>0</v>
      </c>
      <c r="AI23" s="474">
        <v>8500000</v>
      </c>
      <c r="AJ23" s="474">
        <v>8500000</v>
      </c>
      <c r="AM23" s="213"/>
    </row>
    <row r="24" spans="1:42" hidden="1" x14ac:dyDescent="0.25">
      <c r="B24" s="476" t="s">
        <v>2946</v>
      </c>
      <c r="C24" s="213" t="s">
        <v>2909</v>
      </c>
      <c r="D24" s="213">
        <v>22</v>
      </c>
      <c r="E24" s="312">
        <v>20217000000693</v>
      </c>
      <c r="F24" s="477">
        <v>44209</v>
      </c>
      <c r="G24" s="312" t="s">
        <v>2910</v>
      </c>
      <c r="H24" s="213" t="s">
        <v>2911</v>
      </c>
      <c r="I24" s="213" t="s">
        <v>164</v>
      </c>
      <c r="J24" s="474">
        <v>13576686</v>
      </c>
      <c r="K24" s="213" t="s">
        <v>138</v>
      </c>
      <c r="L24" s="213" t="s">
        <v>139</v>
      </c>
      <c r="M24" s="213" t="s">
        <v>44</v>
      </c>
      <c r="N24" s="213" t="s">
        <v>45</v>
      </c>
      <c r="O24" s="213" t="s">
        <v>142</v>
      </c>
      <c r="P24" s="213" t="s">
        <v>43</v>
      </c>
      <c r="R24" s="213">
        <v>23</v>
      </c>
      <c r="S24" s="477">
        <v>44209</v>
      </c>
      <c r="T24" s="213" t="s">
        <v>2967</v>
      </c>
      <c r="U24" s="474">
        <v>13576686</v>
      </c>
      <c r="V24" s="407"/>
      <c r="W24" s="363"/>
      <c r="X24" s="480">
        <v>130</v>
      </c>
      <c r="Y24" s="481">
        <v>44239</v>
      </c>
      <c r="Z24" s="481">
        <v>44242</v>
      </c>
      <c r="AA24" s="481">
        <v>44298</v>
      </c>
      <c r="AB24" s="482" t="s">
        <v>2913</v>
      </c>
      <c r="AC24" s="480">
        <v>482</v>
      </c>
      <c r="AD24" s="482">
        <v>53100506</v>
      </c>
      <c r="AE24" s="483" t="s">
        <v>2968</v>
      </c>
      <c r="AF24" s="472">
        <v>13576686</v>
      </c>
      <c r="AG24" s="473">
        <f t="shared" si="0"/>
        <v>0</v>
      </c>
      <c r="AJ24" s="474">
        <v>7022424</v>
      </c>
      <c r="AK24" s="474">
        <v>3745294</v>
      </c>
      <c r="AL24" s="474">
        <v>2808968</v>
      </c>
      <c r="AM24" s="213"/>
    </row>
    <row r="25" spans="1:42" hidden="1" x14ac:dyDescent="0.25">
      <c r="A25" s="475" t="s">
        <v>2969</v>
      </c>
      <c r="B25" s="476">
        <v>136056666</v>
      </c>
      <c r="C25" s="213" t="s">
        <v>2909</v>
      </c>
      <c r="D25" s="213">
        <v>23</v>
      </c>
      <c r="E25" s="312">
        <v>20214000000703</v>
      </c>
      <c r="F25" s="477">
        <v>44210</v>
      </c>
      <c r="G25" s="312" t="s">
        <v>2936</v>
      </c>
      <c r="H25" s="213" t="s">
        <v>2937</v>
      </c>
      <c r="I25" s="213" t="s">
        <v>117</v>
      </c>
      <c r="J25" s="474">
        <v>136056666</v>
      </c>
      <c r="K25" s="213" t="s">
        <v>112</v>
      </c>
      <c r="L25" s="213" t="s">
        <v>2938</v>
      </c>
      <c r="M25" s="213" t="s">
        <v>44</v>
      </c>
      <c r="N25" s="213" t="s">
        <v>45</v>
      </c>
      <c r="O25" s="213" t="s">
        <v>63</v>
      </c>
      <c r="P25" s="213" t="s">
        <v>43</v>
      </c>
      <c r="R25" s="213">
        <v>24</v>
      </c>
      <c r="S25" s="477">
        <v>44210</v>
      </c>
      <c r="T25" s="213" t="s">
        <v>2970</v>
      </c>
      <c r="U25" s="474">
        <v>136056666</v>
      </c>
      <c r="V25" s="407"/>
      <c r="W25" s="363"/>
      <c r="X25" s="33">
        <v>78</v>
      </c>
      <c r="Y25" s="481">
        <v>44232</v>
      </c>
      <c r="Z25" s="481">
        <v>44232</v>
      </c>
      <c r="AA25" s="481">
        <v>44561</v>
      </c>
      <c r="AB25" s="482" t="s">
        <v>2913</v>
      </c>
      <c r="AC25" s="212">
        <v>42</v>
      </c>
      <c r="AD25" s="484">
        <v>901014925</v>
      </c>
      <c r="AE25" s="483" t="s">
        <v>2971</v>
      </c>
      <c r="AF25" s="472">
        <v>126933333</v>
      </c>
      <c r="AG25" s="473">
        <f t="shared" si="0"/>
        <v>9123333</v>
      </c>
      <c r="AK25" s="474">
        <v>11900000</v>
      </c>
      <c r="AL25" s="474">
        <v>23800000</v>
      </c>
      <c r="AM25" s="307">
        <v>11900000</v>
      </c>
    </row>
    <row r="26" spans="1:42" hidden="1" x14ac:dyDescent="0.25">
      <c r="A26" s="475" t="s">
        <v>2511</v>
      </c>
      <c r="B26" s="476">
        <v>27000000</v>
      </c>
      <c r="C26" s="213" t="s">
        <v>2909</v>
      </c>
      <c r="D26" s="213">
        <v>24</v>
      </c>
      <c r="E26" s="312">
        <v>20214000000753</v>
      </c>
      <c r="F26" s="477">
        <v>44210</v>
      </c>
      <c r="G26" s="312" t="s">
        <v>2936</v>
      </c>
      <c r="H26" s="213" t="s">
        <v>2937</v>
      </c>
      <c r="I26" s="213" t="s">
        <v>117</v>
      </c>
      <c r="J26" s="474">
        <v>27000000</v>
      </c>
      <c r="K26" s="213" t="s">
        <v>112</v>
      </c>
      <c r="L26" s="213" t="s">
        <v>2938</v>
      </c>
      <c r="M26" s="213" t="s">
        <v>44</v>
      </c>
      <c r="N26" s="213" t="s">
        <v>45</v>
      </c>
      <c r="O26" s="213" t="s">
        <v>63</v>
      </c>
      <c r="P26" s="213" t="s">
        <v>43</v>
      </c>
      <c r="R26" s="213">
        <v>27</v>
      </c>
      <c r="S26" s="477">
        <v>44210</v>
      </c>
      <c r="T26" s="213" t="s">
        <v>2972</v>
      </c>
      <c r="U26" s="474">
        <v>27000000</v>
      </c>
      <c r="V26" s="407"/>
      <c r="W26" s="363"/>
      <c r="X26" s="309">
        <v>63</v>
      </c>
      <c r="Y26" s="471">
        <v>44229</v>
      </c>
      <c r="Z26" s="471">
        <v>44229</v>
      </c>
      <c r="AA26" s="471">
        <v>44502</v>
      </c>
      <c r="AB26" s="3" t="s">
        <v>2913</v>
      </c>
      <c r="AC26" s="212">
        <v>29</v>
      </c>
      <c r="AD26" s="3">
        <v>80796522</v>
      </c>
      <c r="AE26" s="213" t="s">
        <v>2973</v>
      </c>
      <c r="AF26" s="472">
        <v>27000000</v>
      </c>
      <c r="AG26" s="473">
        <f t="shared" si="0"/>
        <v>0</v>
      </c>
      <c r="AK26" s="474">
        <f>2600000+3000000</f>
        <v>5600000</v>
      </c>
      <c r="AL26" s="474">
        <v>3000000</v>
      </c>
      <c r="AM26" s="307">
        <v>3000000</v>
      </c>
    </row>
    <row r="27" spans="1:42" hidden="1" x14ac:dyDescent="0.25">
      <c r="A27" s="475" t="s">
        <v>2260</v>
      </c>
      <c r="B27" s="476">
        <v>36950520</v>
      </c>
      <c r="C27" s="213" t="s">
        <v>2909</v>
      </c>
      <c r="D27" s="213">
        <v>25</v>
      </c>
      <c r="E27" s="312">
        <v>20212000000723</v>
      </c>
      <c r="F27" s="477">
        <v>44210</v>
      </c>
      <c r="G27" s="312" t="s">
        <v>2903</v>
      </c>
      <c r="H27" s="213" t="s">
        <v>2904</v>
      </c>
      <c r="I27" s="213" t="s">
        <v>391</v>
      </c>
      <c r="J27" s="474">
        <v>35593580</v>
      </c>
      <c r="K27" s="211" t="s">
        <v>2974</v>
      </c>
      <c r="L27" s="213" t="s">
        <v>2975</v>
      </c>
      <c r="M27" s="213" t="s">
        <v>44</v>
      </c>
      <c r="N27" s="213" t="s">
        <v>45</v>
      </c>
      <c r="O27" s="213" t="s">
        <v>63</v>
      </c>
      <c r="P27" s="213" t="s">
        <v>678</v>
      </c>
      <c r="R27" s="213">
        <v>25</v>
      </c>
      <c r="S27" s="477">
        <v>44210</v>
      </c>
      <c r="T27" s="213" t="s">
        <v>2976</v>
      </c>
      <c r="U27" s="474">
        <f>35593580-2713880</f>
        <v>32879700</v>
      </c>
      <c r="V27" s="412">
        <v>2713880</v>
      </c>
      <c r="W27" s="398"/>
      <c r="X27" s="309">
        <v>75</v>
      </c>
      <c r="Y27" s="481">
        <v>44231</v>
      </c>
      <c r="Z27" s="481">
        <v>44231</v>
      </c>
      <c r="AA27" s="481">
        <v>44561</v>
      </c>
      <c r="AB27" s="482" t="s">
        <v>2913</v>
      </c>
      <c r="AC27" s="212">
        <v>32</v>
      </c>
      <c r="AD27" s="484">
        <v>80197560</v>
      </c>
      <c r="AE27" s="483" t="s">
        <v>2977</v>
      </c>
      <c r="AF27" s="472">
        <v>32879700</v>
      </c>
      <c r="AG27" s="473">
        <f t="shared" si="0"/>
        <v>0</v>
      </c>
      <c r="AJ27" s="474">
        <v>2505120</v>
      </c>
      <c r="AK27" s="474">
        <v>3131400</v>
      </c>
      <c r="AL27" s="474">
        <v>3131400</v>
      </c>
      <c r="AM27" s="307">
        <v>3131400</v>
      </c>
    </row>
    <row r="28" spans="1:42" s="313" customFormat="1" hidden="1" x14ac:dyDescent="0.25">
      <c r="A28" s="362"/>
      <c r="B28" s="418"/>
      <c r="C28" s="313" t="s">
        <v>2909</v>
      </c>
      <c r="D28" s="313">
        <v>26</v>
      </c>
      <c r="E28" s="326">
        <v>20212000000733</v>
      </c>
      <c r="F28" s="316">
        <v>44210</v>
      </c>
      <c r="G28" s="326" t="s">
        <v>2903</v>
      </c>
      <c r="H28" s="313" t="s">
        <v>2904</v>
      </c>
      <c r="I28" s="313" t="s">
        <v>391</v>
      </c>
      <c r="J28" s="406">
        <v>41738400</v>
      </c>
      <c r="K28" s="313" t="s">
        <v>2974</v>
      </c>
      <c r="L28" s="313" t="s">
        <v>2975</v>
      </c>
      <c r="M28" s="313" t="s">
        <v>44</v>
      </c>
      <c r="N28" s="313" t="s">
        <v>45</v>
      </c>
      <c r="O28" s="313" t="s">
        <v>63</v>
      </c>
      <c r="P28" s="313" t="s">
        <v>678</v>
      </c>
      <c r="R28" s="313">
        <v>26</v>
      </c>
      <c r="S28" s="316">
        <v>44210</v>
      </c>
      <c r="T28" s="313" t="s">
        <v>2978</v>
      </c>
      <c r="U28" s="406">
        <f>41738400-41738400</f>
        <v>0</v>
      </c>
      <c r="V28" s="412">
        <v>41738400</v>
      </c>
      <c r="W28" s="398"/>
      <c r="X28" s="315"/>
      <c r="Y28" s="359"/>
      <c r="Z28" s="359"/>
      <c r="AA28" s="359"/>
      <c r="AB28" s="318"/>
      <c r="AC28" s="317"/>
      <c r="AD28" s="318"/>
      <c r="AF28" s="411"/>
      <c r="AG28" s="319">
        <f t="shared" si="0"/>
        <v>0</v>
      </c>
      <c r="AH28" s="406"/>
      <c r="AI28" s="406"/>
      <c r="AJ28" s="406"/>
      <c r="AK28" s="406"/>
      <c r="AL28" s="406"/>
      <c r="AM28" s="213"/>
    </row>
    <row r="29" spans="1:42" hidden="1" x14ac:dyDescent="0.25">
      <c r="A29" s="475" t="s">
        <v>2172</v>
      </c>
      <c r="B29" s="476">
        <v>40800000</v>
      </c>
      <c r="C29" s="213" t="s">
        <v>2909</v>
      </c>
      <c r="D29" s="213">
        <v>27</v>
      </c>
      <c r="E29" s="312">
        <v>20215000000793</v>
      </c>
      <c r="F29" s="477">
        <v>44210</v>
      </c>
      <c r="G29" s="312" t="s">
        <v>2903</v>
      </c>
      <c r="H29" s="213" t="s">
        <v>2904</v>
      </c>
      <c r="I29" s="213" t="s">
        <v>228</v>
      </c>
      <c r="J29" s="474">
        <v>34000000</v>
      </c>
      <c r="K29" s="213" t="s">
        <v>223</v>
      </c>
      <c r="L29" s="213" t="s">
        <v>236</v>
      </c>
      <c r="M29" s="213" t="s">
        <v>44</v>
      </c>
      <c r="N29" s="213" t="s">
        <v>45</v>
      </c>
      <c r="O29" s="213" t="s">
        <v>63</v>
      </c>
      <c r="P29" s="213" t="s">
        <v>678</v>
      </c>
      <c r="R29" s="213">
        <v>28</v>
      </c>
      <c r="S29" s="477">
        <v>44210</v>
      </c>
      <c r="T29" s="213" t="s">
        <v>2979</v>
      </c>
      <c r="U29" s="474">
        <f>34000000-1000000</f>
        <v>33000000</v>
      </c>
      <c r="V29" s="412">
        <v>1000000</v>
      </c>
      <c r="W29" s="398"/>
      <c r="X29" s="212">
        <v>19</v>
      </c>
      <c r="Y29" s="471">
        <v>44216</v>
      </c>
      <c r="Z29" s="471">
        <v>44216</v>
      </c>
      <c r="AA29" s="471">
        <v>44550</v>
      </c>
      <c r="AB29" s="3" t="s">
        <v>2913</v>
      </c>
      <c r="AC29" s="212">
        <v>7</v>
      </c>
      <c r="AD29" s="3">
        <v>1010044231</v>
      </c>
      <c r="AE29" s="213" t="s">
        <v>2980</v>
      </c>
      <c r="AF29" s="472">
        <v>33000000</v>
      </c>
      <c r="AG29" s="473">
        <f t="shared" si="0"/>
        <v>0</v>
      </c>
      <c r="AJ29" s="474">
        <v>3600000</v>
      </c>
      <c r="AK29" s="474">
        <v>3000000</v>
      </c>
      <c r="AL29" s="474">
        <v>3000000</v>
      </c>
      <c r="AM29" s="307">
        <v>3000000</v>
      </c>
    </row>
    <row r="30" spans="1:42" hidden="1" x14ac:dyDescent="0.25">
      <c r="B30" s="476" t="s">
        <v>2946</v>
      </c>
      <c r="C30" s="213" t="s">
        <v>2909</v>
      </c>
      <c r="D30" s="213">
        <v>28</v>
      </c>
      <c r="E30" s="312">
        <v>20211300001153</v>
      </c>
      <c r="F30" s="477">
        <v>44211</v>
      </c>
      <c r="G30" s="312" t="s">
        <v>2910</v>
      </c>
      <c r="H30" s="213" t="s">
        <v>2911</v>
      </c>
      <c r="I30" s="213" t="s">
        <v>210</v>
      </c>
      <c r="J30" s="474">
        <v>7900000</v>
      </c>
      <c r="K30" s="213" t="s">
        <v>138</v>
      </c>
      <c r="L30" s="213" t="s">
        <v>139</v>
      </c>
      <c r="M30" s="213" t="s">
        <v>44</v>
      </c>
      <c r="N30" s="213" t="s">
        <v>45</v>
      </c>
      <c r="O30" s="213" t="s">
        <v>142</v>
      </c>
      <c r="P30" s="213" t="s">
        <v>43</v>
      </c>
      <c r="R30" s="213">
        <v>42</v>
      </c>
      <c r="S30" s="477">
        <v>44211</v>
      </c>
      <c r="T30" s="213" t="s">
        <v>2981</v>
      </c>
      <c r="U30" s="474">
        <v>7900000</v>
      </c>
      <c r="V30" s="407"/>
      <c r="W30" s="363"/>
      <c r="X30" s="309">
        <v>55</v>
      </c>
      <c r="Y30" s="471">
        <v>44228</v>
      </c>
      <c r="Z30" s="471">
        <v>44228</v>
      </c>
      <c r="AA30" s="471">
        <v>44286</v>
      </c>
      <c r="AB30" s="3" t="s">
        <v>2913</v>
      </c>
      <c r="AC30" s="212">
        <v>427</v>
      </c>
      <c r="AD30" s="3">
        <v>80174339</v>
      </c>
      <c r="AE30" s="213" t="s">
        <v>2982</v>
      </c>
      <c r="AF30" s="472">
        <v>7900000</v>
      </c>
      <c r="AG30" s="473">
        <f t="shared" si="0"/>
        <v>0</v>
      </c>
      <c r="AJ30" s="474">
        <v>3950000</v>
      </c>
      <c r="AL30" s="474">
        <v>3950000</v>
      </c>
      <c r="AM30" s="213"/>
    </row>
    <row r="31" spans="1:42" hidden="1" x14ac:dyDescent="0.25">
      <c r="A31" s="475" t="s">
        <v>2361</v>
      </c>
      <c r="B31" s="476">
        <v>64900000</v>
      </c>
      <c r="C31" s="213" t="s">
        <v>2909</v>
      </c>
      <c r="D31" s="213">
        <v>29</v>
      </c>
      <c r="E31" s="312">
        <v>20215000000833</v>
      </c>
      <c r="F31" s="477">
        <v>44211</v>
      </c>
      <c r="G31" s="312" t="s">
        <v>2903</v>
      </c>
      <c r="H31" s="213" t="s">
        <v>2904</v>
      </c>
      <c r="I31" s="213" t="s">
        <v>228</v>
      </c>
      <c r="J31" s="474">
        <v>64900000</v>
      </c>
      <c r="K31" s="213" t="s">
        <v>223</v>
      </c>
      <c r="L31" s="213" t="s">
        <v>233</v>
      </c>
      <c r="M31" s="213" t="s">
        <v>44</v>
      </c>
      <c r="N31" s="213" t="s">
        <v>45</v>
      </c>
      <c r="O31" s="213" t="s">
        <v>63</v>
      </c>
      <c r="P31" s="213" t="s">
        <v>678</v>
      </c>
      <c r="R31" s="213">
        <v>31</v>
      </c>
      <c r="S31" s="477">
        <v>44211</v>
      </c>
      <c r="T31" s="213" t="s">
        <v>2983</v>
      </c>
      <c r="U31" s="474">
        <v>64900000</v>
      </c>
      <c r="V31" s="407"/>
      <c r="W31" s="363"/>
      <c r="X31" s="212">
        <v>41</v>
      </c>
      <c r="Y31" s="471">
        <v>44224</v>
      </c>
      <c r="Z31" s="471">
        <v>44224</v>
      </c>
      <c r="AA31" s="471">
        <v>44558</v>
      </c>
      <c r="AB31" s="3" t="s">
        <v>2913</v>
      </c>
      <c r="AC31" s="212">
        <v>16</v>
      </c>
      <c r="AD31" s="3">
        <v>1013629185</v>
      </c>
      <c r="AE31" s="213" t="s">
        <v>2984</v>
      </c>
      <c r="AF31" s="472">
        <v>64900000</v>
      </c>
      <c r="AG31" s="473">
        <f t="shared" si="0"/>
        <v>0</v>
      </c>
      <c r="AJ31" s="474">
        <v>6490000</v>
      </c>
      <c r="AK31" s="474">
        <v>5900000</v>
      </c>
      <c r="AL31" s="474">
        <v>5900000</v>
      </c>
      <c r="AM31" s="307">
        <v>5900000</v>
      </c>
    </row>
    <row r="32" spans="1:42" hidden="1" x14ac:dyDescent="0.25">
      <c r="A32" s="475" t="s">
        <v>2361</v>
      </c>
      <c r="B32" s="476">
        <v>64900000</v>
      </c>
      <c r="C32" s="213" t="s">
        <v>2909</v>
      </c>
      <c r="D32" s="213">
        <v>30</v>
      </c>
      <c r="E32" s="312">
        <v>20215000000843</v>
      </c>
      <c r="F32" s="477">
        <v>44211</v>
      </c>
      <c r="G32" s="312" t="s">
        <v>2903</v>
      </c>
      <c r="H32" s="213" t="s">
        <v>2904</v>
      </c>
      <c r="I32" s="213" t="s">
        <v>228</v>
      </c>
      <c r="J32" s="474">
        <v>64900000</v>
      </c>
      <c r="K32" s="213" t="s">
        <v>223</v>
      </c>
      <c r="L32" s="213" t="s">
        <v>233</v>
      </c>
      <c r="M32" s="213" t="s">
        <v>44</v>
      </c>
      <c r="N32" s="213" t="s">
        <v>45</v>
      </c>
      <c r="O32" s="213" t="s">
        <v>63</v>
      </c>
      <c r="P32" s="213" t="s">
        <v>678</v>
      </c>
      <c r="R32" s="213">
        <v>32</v>
      </c>
      <c r="S32" s="477">
        <v>44211</v>
      </c>
      <c r="T32" s="213" t="s">
        <v>2983</v>
      </c>
      <c r="U32" s="474">
        <f>64900000-9250000</f>
        <v>55650000</v>
      </c>
      <c r="V32" s="412">
        <v>9250000</v>
      </c>
      <c r="W32" s="398"/>
      <c r="X32" s="480">
        <v>122</v>
      </c>
      <c r="Y32" s="481">
        <v>44239</v>
      </c>
      <c r="Z32" s="481">
        <v>44239</v>
      </c>
      <c r="AA32" s="481">
        <v>44561</v>
      </c>
      <c r="AB32" s="482" t="s">
        <v>2913</v>
      </c>
      <c r="AC32" s="480">
        <v>75</v>
      </c>
      <c r="AD32" s="482">
        <v>31832625</v>
      </c>
      <c r="AE32" s="483" t="s">
        <v>2985</v>
      </c>
      <c r="AF32" s="472">
        <v>55650000</v>
      </c>
      <c r="AG32" s="473">
        <f t="shared" si="0"/>
        <v>0</v>
      </c>
      <c r="AJ32" s="474">
        <v>3003333</v>
      </c>
      <c r="AK32" s="474">
        <v>5300000</v>
      </c>
      <c r="AL32" s="474">
        <v>5300000</v>
      </c>
      <c r="AM32" s="307">
        <v>5300000</v>
      </c>
      <c r="AP32" s="390"/>
    </row>
    <row r="33" spans="1:39" hidden="1" x14ac:dyDescent="0.25">
      <c r="A33" s="475" t="s">
        <v>2361</v>
      </c>
      <c r="B33" s="476">
        <v>64900000</v>
      </c>
      <c r="C33" s="213" t="s">
        <v>2909</v>
      </c>
      <c r="D33" s="213">
        <v>31</v>
      </c>
      <c r="E33" s="312">
        <v>20215000000853</v>
      </c>
      <c r="F33" s="477">
        <v>44211</v>
      </c>
      <c r="G33" s="312" t="s">
        <v>2903</v>
      </c>
      <c r="H33" s="213" t="s">
        <v>2904</v>
      </c>
      <c r="I33" s="213" t="s">
        <v>228</v>
      </c>
      <c r="J33" s="474">
        <v>64900000</v>
      </c>
      <c r="K33" s="213" t="s">
        <v>223</v>
      </c>
      <c r="L33" s="213" t="s">
        <v>233</v>
      </c>
      <c r="M33" s="213" t="s">
        <v>44</v>
      </c>
      <c r="N33" s="213" t="s">
        <v>45</v>
      </c>
      <c r="O33" s="213" t="s">
        <v>63</v>
      </c>
      <c r="P33" s="213" t="s">
        <v>678</v>
      </c>
      <c r="R33" s="213">
        <v>33</v>
      </c>
      <c r="S33" s="477">
        <v>44211</v>
      </c>
      <c r="T33" s="213" t="s">
        <v>2983</v>
      </c>
      <c r="U33" s="474">
        <v>64900000</v>
      </c>
      <c r="V33" s="407"/>
      <c r="W33" s="363"/>
      <c r="X33" s="212">
        <v>48</v>
      </c>
      <c r="Y33" s="471">
        <v>44224</v>
      </c>
      <c r="Z33" s="471">
        <v>44224</v>
      </c>
      <c r="AA33" s="471">
        <v>44558</v>
      </c>
      <c r="AB33" s="3" t="s">
        <v>2913</v>
      </c>
      <c r="AC33" s="212">
        <v>19</v>
      </c>
      <c r="AD33" s="3">
        <v>1019004199</v>
      </c>
      <c r="AE33" s="213" t="s">
        <v>2986</v>
      </c>
      <c r="AF33" s="472">
        <v>64900000</v>
      </c>
      <c r="AG33" s="473">
        <f t="shared" si="0"/>
        <v>0</v>
      </c>
      <c r="AJ33" s="474">
        <v>6293333</v>
      </c>
      <c r="AK33" s="474">
        <v>5900000</v>
      </c>
      <c r="AL33" s="474">
        <v>5900000</v>
      </c>
      <c r="AM33" s="307">
        <v>5900000</v>
      </c>
    </row>
    <row r="34" spans="1:39" hidden="1" x14ac:dyDescent="0.25">
      <c r="A34" s="475" t="s">
        <v>2361</v>
      </c>
      <c r="B34" s="476">
        <v>64900000</v>
      </c>
      <c r="C34" s="213" t="s">
        <v>2909</v>
      </c>
      <c r="D34" s="213">
        <v>32</v>
      </c>
      <c r="E34" s="312">
        <v>20215000000863</v>
      </c>
      <c r="F34" s="477">
        <v>44211</v>
      </c>
      <c r="G34" s="312" t="s">
        <v>2903</v>
      </c>
      <c r="H34" s="213" t="s">
        <v>2904</v>
      </c>
      <c r="I34" s="213" t="s">
        <v>228</v>
      </c>
      <c r="J34" s="474">
        <v>64900000</v>
      </c>
      <c r="K34" s="213" t="s">
        <v>223</v>
      </c>
      <c r="L34" s="213" t="s">
        <v>233</v>
      </c>
      <c r="M34" s="213" t="s">
        <v>44</v>
      </c>
      <c r="N34" s="213" t="s">
        <v>45</v>
      </c>
      <c r="O34" s="213" t="s">
        <v>63</v>
      </c>
      <c r="P34" s="213" t="s">
        <v>678</v>
      </c>
      <c r="R34" s="213">
        <v>43</v>
      </c>
      <c r="S34" s="477">
        <v>44214</v>
      </c>
      <c r="T34" s="213" t="s">
        <v>2983</v>
      </c>
      <c r="U34" s="474">
        <v>64900000</v>
      </c>
      <c r="V34" s="407"/>
      <c r="W34" s="363"/>
      <c r="X34" s="212">
        <v>46</v>
      </c>
      <c r="Y34" s="471">
        <v>44224</v>
      </c>
      <c r="Z34" s="471">
        <v>44224</v>
      </c>
      <c r="AA34" s="471">
        <v>44558</v>
      </c>
      <c r="AB34" s="3" t="s">
        <v>2913</v>
      </c>
      <c r="AC34" s="212">
        <v>18</v>
      </c>
      <c r="AD34" s="3">
        <v>79751603</v>
      </c>
      <c r="AE34" s="213" t="s">
        <v>2987</v>
      </c>
      <c r="AF34" s="472">
        <v>64900000</v>
      </c>
      <c r="AG34" s="473">
        <f t="shared" si="0"/>
        <v>0</v>
      </c>
      <c r="AJ34" s="474">
        <v>6293333</v>
      </c>
      <c r="AK34" s="474">
        <v>5900000</v>
      </c>
      <c r="AL34" s="474">
        <v>5900000</v>
      </c>
      <c r="AM34" s="307">
        <v>5900000</v>
      </c>
    </row>
    <row r="35" spans="1:39" hidden="1" x14ac:dyDescent="0.25">
      <c r="A35" s="475" t="s">
        <v>2365</v>
      </c>
      <c r="B35" s="476">
        <v>33000000</v>
      </c>
      <c r="C35" s="213" t="s">
        <v>2909</v>
      </c>
      <c r="D35" s="213">
        <v>33</v>
      </c>
      <c r="E35" s="312">
        <v>20215000002823</v>
      </c>
      <c r="F35" s="477">
        <v>44225</v>
      </c>
      <c r="G35" s="312" t="s">
        <v>2903</v>
      </c>
      <c r="H35" s="213" t="s">
        <v>2904</v>
      </c>
      <c r="I35" s="213" t="s">
        <v>228</v>
      </c>
      <c r="J35" s="474">
        <v>33000000</v>
      </c>
      <c r="K35" s="213" t="s">
        <v>223</v>
      </c>
      <c r="L35" s="213" t="s">
        <v>236</v>
      </c>
      <c r="M35" s="213" t="s">
        <v>44</v>
      </c>
      <c r="N35" s="213" t="s">
        <v>45</v>
      </c>
      <c r="O35" s="213" t="s">
        <v>63</v>
      </c>
      <c r="P35" s="213" t="s">
        <v>678</v>
      </c>
      <c r="R35" s="213">
        <v>124</v>
      </c>
      <c r="S35" s="477">
        <v>44225</v>
      </c>
      <c r="T35" s="213" t="s">
        <v>2988</v>
      </c>
      <c r="U35" s="474">
        <f>33000000-6900000</f>
        <v>26100000</v>
      </c>
      <c r="V35" s="443">
        <v>6900000</v>
      </c>
      <c r="W35" s="399"/>
      <c r="X35" s="309">
        <v>206</v>
      </c>
      <c r="Y35" s="481">
        <v>44256</v>
      </c>
      <c r="Z35" s="481">
        <v>44256</v>
      </c>
      <c r="AA35" s="481">
        <v>44561</v>
      </c>
      <c r="AB35" s="482" t="s">
        <v>2913</v>
      </c>
      <c r="AC35" s="212">
        <v>150</v>
      </c>
      <c r="AD35" s="482" t="s">
        <v>2989</v>
      </c>
      <c r="AE35" s="483" t="s">
        <v>2990</v>
      </c>
      <c r="AF35" s="472">
        <v>26100000</v>
      </c>
      <c r="AG35" s="473">
        <f t="shared" si="0"/>
        <v>0</v>
      </c>
      <c r="AK35" s="474">
        <v>2610000</v>
      </c>
      <c r="AL35" s="474">
        <v>2700000</v>
      </c>
      <c r="AM35" s="307">
        <v>2700000</v>
      </c>
    </row>
    <row r="36" spans="1:39" hidden="1" x14ac:dyDescent="0.25">
      <c r="A36" s="475" t="s">
        <v>2515</v>
      </c>
      <c r="B36" s="476">
        <v>59054190</v>
      </c>
      <c r="C36" s="213" t="s">
        <v>2909</v>
      </c>
      <c r="D36" s="213">
        <v>34</v>
      </c>
      <c r="E36" s="312">
        <v>20217000005643</v>
      </c>
      <c r="F36" s="477">
        <v>44231</v>
      </c>
      <c r="G36" s="312" t="s">
        <v>2910</v>
      </c>
      <c r="H36" s="213" t="s">
        <v>2911</v>
      </c>
      <c r="I36" s="213" t="s">
        <v>164</v>
      </c>
      <c r="J36" s="474">
        <v>54511560</v>
      </c>
      <c r="K36" s="213" t="s">
        <v>138</v>
      </c>
      <c r="L36" s="213" t="s">
        <v>139</v>
      </c>
      <c r="M36" s="213" t="s">
        <v>44</v>
      </c>
      <c r="N36" s="213" t="s">
        <v>45</v>
      </c>
      <c r="O36" s="213" t="s">
        <v>142</v>
      </c>
      <c r="P36" s="213" t="s">
        <v>43</v>
      </c>
      <c r="R36" s="213">
        <v>197</v>
      </c>
      <c r="S36" s="477">
        <v>44231</v>
      </c>
      <c r="T36" s="213" t="s">
        <v>2991</v>
      </c>
      <c r="U36" s="474">
        <v>54511560</v>
      </c>
      <c r="V36" s="407"/>
      <c r="W36" s="363"/>
      <c r="X36" s="309">
        <v>207</v>
      </c>
      <c r="Y36" s="481">
        <v>44256</v>
      </c>
      <c r="Z36" s="481">
        <v>44256</v>
      </c>
      <c r="AA36" s="481">
        <v>44500</v>
      </c>
      <c r="AB36" s="482" t="s">
        <v>2913</v>
      </c>
      <c r="AC36" s="212">
        <v>151</v>
      </c>
      <c r="AD36" s="482" t="s">
        <v>2992</v>
      </c>
      <c r="AE36" s="483" t="s">
        <v>2993</v>
      </c>
      <c r="AF36" s="472">
        <v>54511560</v>
      </c>
      <c r="AG36" s="473">
        <f t="shared" si="0"/>
        <v>0</v>
      </c>
      <c r="AK36" s="474">
        <v>6586813</v>
      </c>
      <c r="AL36" s="474">
        <v>6813945</v>
      </c>
      <c r="AM36" s="307">
        <v>6813945</v>
      </c>
    </row>
    <row r="37" spans="1:39" hidden="1" x14ac:dyDescent="0.25">
      <c r="A37" s="475" t="s">
        <v>2361</v>
      </c>
      <c r="B37" s="476">
        <v>64900000</v>
      </c>
      <c r="C37" s="213" t="s">
        <v>2909</v>
      </c>
      <c r="D37" s="213">
        <v>35</v>
      </c>
      <c r="E37" s="312">
        <v>20215000000893</v>
      </c>
      <c r="F37" s="477">
        <v>44211</v>
      </c>
      <c r="G37" s="312" t="s">
        <v>2903</v>
      </c>
      <c r="H37" s="213" t="s">
        <v>2904</v>
      </c>
      <c r="I37" s="213" t="s">
        <v>228</v>
      </c>
      <c r="J37" s="474">
        <v>64900000</v>
      </c>
      <c r="K37" s="213" t="s">
        <v>223</v>
      </c>
      <c r="L37" s="213" t="s">
        <v>233</v>
      </c>
      <c r="M37" s="213" t="s">
        <v>44</v>
      </c>
      <c r="N37" s="213" t="s">
        <v>45</v>
      </c>
      <c r="O37" s="213" t="s">
        <v>63</v>
      </c>
      <c r="P37" s="213" t="s">
        <v>678</v>
      </c>
      <c r="R37" s="213">
        <v>36</v>
      </c>
      <c r="S37" s="477">
        <v>44211</v>
      </c>
      <c r="T37" s="213" t="s">
        <v>2983</v>
      </c>
      <c r="U37" s="474">
        <f>64900000-2950000</f>
        <v>61950000</v>
      </c>
      <c r="V37" s="412">
        <v>2950000</v>
      </c>
      <c r="W37" s="398"/>
      <c r="X37" s="309">
        <v>69</v>
      </c>
      <c r="Y37" s="471">
        <v>44230</v>
      </c>
      <c r="Z37" s="471">
        <v>44230</v>
      </c>
      <c r="AA37" s="471">
        <v>44548</v>
      </c>
      <c r="AB37" s="3" t="s">
        <v>2913</v>
      </c>
      <c r="AC37" s="212">
        <v>24</v>
      </c>
      <c r="AD37" s="3">
        <v>66946576</v>
      </c>
      <c r="AE37" s="213" t="s">
        <v>2994</v>
      </c>
      <c r="AF37" s="472">
        <v>61950000</v>
      </c>
      <c r="AG37" s="473">
        <f t="shared" si="0"/>
        <v>0</v>
      </c>
      <c r="AJ37" s="474">
        <v>5113333</v>
      </c>
      <c r="AK37" s="474">
        <v>5900000</v>
      </c>
      <c r="AL37" s="474">
        <v>5900000</v>
      </c>
      <c r="AM37" s="307">
        <v>5900000</v>
      </c>
    </row>
    <row r="38" spans="1:39" hidden="1" x14ac:dyDescent="0.25">
      <c r="A38" s="475" t="s">
        <v>2361</v>
      </c>
      <c r="B38" s="476">
        <v>44319000</v>
      </c>
      <c r="C38" s="213" t="s">
        <v>2909</v>
      </c>
      <c r="D38" s="213">
        <v>36</v>
      </c>
      <c r="E38" s="312">
        <v>20215000000903</v>
      </c>
      <c r="F38" s="477">
        <v>44211</v>
      </c>
      <c r="G38" s="312" t="s">
        <v>2903</v>
      </c>
      <c r="H38" s="213" t="s">
        <v>2904</v>
      </c>
      <c r="I38" s="213" t="s">
        <v>228</v>
      </c>
      <c r="J38" s="474">
        <v>44319000</v>
      </c>
      <c r="K38" s="213" t="s">
        <v>223</v>
      </c>
      <c r="L38" s="213" t="s">
        <v>233</v>
      </c>
      <c r="M38" s="213" t="s">
        <v>44</v>
      </c>
      <c r="N38" s="213" t="s">
        <v>45</v>
      </c>
      <c r="O38" s="213" t="s">
        <v>63</v>
      </c>
      <c r="P38" s="213" t="s">
        <v>678</v>
      </c>
      <c r="R38" s="213">
        <v>37</v>
      </c>
      <c r="S38" s="477">
        <v>44211</v>
      </c>
      <c r="T38" s="213" t="s">
        <v>2983</v>
      </c>
      <c r="U38" s="474">
        <f>44319000-2669000</f>
        <v>41650000</v>
      </c>
      <c r="V38" s="407">
        <v>2669000</v>
      </c>
      <c r="W38" s="363"/>
      <c r="X38" s="480" t="s">
        <v>2995</v>
      </c>
      <c r="Y38" s="481">
        <v>44309</v>
      </c>
      <c r="Z38" s="481">
        <v>44309</v>
      </c>
      <c r="AA38" s="481">
        <v>44561</v>
      </c>
      <c r="AB38" s="482" t="s">
        <v>2913</v>
      </c>
      <c r="AC38" s="480" t="s">
        <v>2996</v>
      </c>
      <c r="AD38" s="482" t="s">
        <v>2997</v>
      </c>
      <c r="AE38" s="483" t="s">
        <v>2998</v>
      </c>
      <c r="AF38" s="472">
        <v>41650000</v>
      </c>
      <c r="AG38" s="473">
        <f t="shared" si="0"/>
        <v>0</v>
      </c>
      <c r="AL38" s="474">
        <v>1306667</v>
      </c>
      <c r="AM38" s="307">
        <v>4900000</v>
      </c>
    </row>
    <row r="39" spans="1:39" s="313" customFormat="1" hidden="1" x14ac:dyDescent="0.25">
      <c r="A39" s="362" t="s">
        <v>2361</v>
      </c>
      <c r="B39" s="418">
        <v>44000000</v>
      </c>
      <c r="C39" s="313" t="s">
        <v>2909</v>
      </c>
      <c r="D39" s="313">
        <v>37</v>
      </c>
      <c r="E39" s="326">
        <v>20215000000913</v>
      </c>
      <c r="F39" s="316">
        <v>44211</v>
      </c>
      <c r="G39" s="326" t="s">
        <v>2903</v>
      </c>
      <c r="H39" s="313" t="s">
        <v>2904</v>
      </c>
      <c r="I39" s="313" t="s">
        <v>228</v>
      </c>
      <c r="J39" s="406">
        <v>44000000</v>
      </c>
      <c r="K39" s="313" t="s">
        <v>288</v>
      </c>
      <c r="L39" s="313" t="s">
        <v>2999</v>
      </c>
      <c r="M39" s="313" t="s">
        <v>44</v>
      </c>
      <c r="N39" s="313" t="s">
        <v>45</v>
      </c>
      <c r="O39" s="313" t="s">
        <v>63</v>
      </c>
      <c r="P39" s="313" t="s">
        <v>678</v>
      </c>
      <c r="R39" s="313">
        <v>38</v>
      </c>
      <c r="S39" s="316">
        <v>44211</v>
      </c>
      <c r="T39" s="313" t="s">
        <v>2983</v>
      </c>
      <c r="U39" s="406">
        <f>44000000-44000000</f>
        <v>0</v>
      </c>
      <c r="V39" s="412">
        <v>44000000</v>
      </c>
      <c r="W39" s="398"/>
      <c r="X39" s="315"/>
      <c r="Y39" s="359"/>
      <c r="Z39" s="359"/>
      <c r="AA39" s="359"/>
      <c r="AB39" s="318"/>
      <c r="AC39" s="317"/>
      <c r="AD39" s="318"/>
      <c r="AF39" s="411"/>
      <c r="AG39" s="319">
        <f t="shared" si="0"/>
        <v>0</v>
      </c>
      <c r="AH39" s="406"/>
      <c r="AI39" s="406"/>
      <c r="AJ39" s="406"/>
      <c r="AK39" s="406"/>
      <c r="AL39" s="406"/>
      <c r="AM39" s="213"/>
    </row>
    <row r="40" spans="1:39" hidden="1" x14ac:dyDescent="0.25">
      <c r="A40" s="475" t="s">
        <v>2025</v>
      </c>
      <c r="B40" s="476">
        <v>58300000</v>
      </c>
      <c r="C40" s="213" t="s">
        <v>2909</v>
      </c>
      <c r="D40" s="213">
        <v>38</v>
      </c>
      <c r="E40" s="312">
        <v>20215000000953</v>
      </c>
      <c r="F40" s="477">
        <v>44211</v>
      </c>
      <c r="G40" s="312" t="s">
        <v>2903</v>
      </c>
      <c r="H40" s="213" t="s">
        <v>2904</v>
      </c>
      <c r="I40" s="213" t="s">
        <v>228</v>
      </c>
      <c r="J40" s="474">
        <v>58300000</v>
      </c>
      <c r="K40" s="213" t="s">
        <v>223</v>
      </c>
      <c r="L40" s="213" t="s">
        <v>236</v>
      </c>
      <c r="M40" s="213" t="s">
        <v>44</v>
      </c>
      <c r="N40" s="213" t="s">
        <v>45</v>
      </c>
      <c r="O40" s="213" t="s">
        <v>63</v>
      </c>
      <c r="P40" s="213" t="s">
        <v>678</v>
      </c>
      <c r="R40" s="213">
        <v>39</v>
      </c>
      <c r="S40" s="477">
        <v>44211</v>
      </c>
      <c r="T40" s="213" t="s">
        <v>2957</v>
      </c>
      <c r="U40" s="474">
        <f>58300000-530000</f>
        <v>57770000</v>
      </c>
      <c r="V40" s="412">
        <v>530000</v>
      </c>
      <c r="W40" s="398"/>
      <c r="X40" s="309">
        <v>64</v>
      </c>
      <c r="Y40" s="471">
        <v>44229</v>
      </c>
      <c r="Z40" s="471">
        <v>44229</v>
      </c>
      <c r="AA40" s="471">
        <v>44532</v>
      </c>
      <c r="AB40" s="3" t="s">
        <v>2913</v>
      </c>
      <c r="AC40" s="212">
        <v>22</v>
      </c>
      <c r="AD40" s="3">
        <v>1030530840</v>
      </c>
      <c r="AE40" s="213" t="s">
        <v>3000</v>
      </c>
      <c r="AF40" s="472">
        <v>57770000</v>
      </c>
      <c r="AG40" s="473">
        <f t="shared" si="0"/>
        <v>0</v>
      </c>
      <c r="AJ40" s="474">
        <v>4416667</v>
      </c>
      <c r="AK40" s="474">
        <v>5300000</v>
      </c>
      <c r="AL40" s="474">
        <v>5300000</v>
      </c>
      <c r="AM40" s="307">
        <v>5300000</v>
      </c>
    </row>
    <row r="41" spans="1:39" hidden="1" x14ac:dyDescent="0.25">
      <c r="A41" s="475" t="s">
        <v>2022</v>
      </c>
      <c r="B41" s="476">
        <v>58300000</v>
      </c>
      <c r="C41" s="213" t="s">
        <v>2909</v>
      </c>
      <c r="D41" s="213">
        <v>39</v>
      </c>
      <c r="E41" s="312">
        <v>20215000000963</v>
      </c>
      <c r="F41" s="477">
        <v>44211</v>
      </c>
      <c r="G41" s="312" t="s">
        <v>2903</v>
      </c>
      <c r="H41" s="213" t="s">
        <v>2904</v>
      </c>
      <c r="I41" s="213" t="s">
        <v>228</v>
      </c>
      <c r="J41" s="474">
        <v>58300000</v>
      </c>
      <c r="K41" s="213" t="s">
        <v>223</v>
      </c>
      <c r="L41" s="213" t="s">
        <v>236</v>
      </c>
      <c r="M41" s="213" t="s">
        <v>44</v>
      </c>
      <c r="N41" s="213" t="s">
        <v>45</v>
      </c>
      <c r="O41" s="213" t="s">
        <v>63</v>
      </c>
      <c r="P41" s="213" t="s">
        <v>678</v>
      </c>
      <c r="R41" s="213">
        <v>40</v>
      </c>
      <c r="S41" s="477">
        <v>44211</v>
      </c>
      <c r="T41" s="213" t="s">
        <v>2957</v>
      </c>
      <c r="U41" s="474">
        <f>58300000-2650000</f>
        <v>55650000</v>
      </c>
      <c r="V41" s="412">
        <v>2650000</v>
      </c>
      <c r="W41" s="398"/>
      <c r="X41" s="309">
        <v>65</v>
      </c>
      <c r="Y41" s="471">
        <v>44230</v>
      </c>
      <c r="Z41" s="471">
        <v>44230</v>
      </c>
      <c r="AA41" s="471">
        <v>44561</v>
      </c>
      <c r="AB41" s="3" t="s">
        <v>2913</v>
      </c>
      <c r="AC41" s="212">
        <v>28</v>
      </c>
      <c r="AD41" s="3">
        <v>1122650093</v>
      </c>
      <c r="AE41" s="213" t="s">
        <v>3001</v>
      </c>
      <c r="AF41" s="472">
        <f>58300000-2650000</f>
        <v>55650000</v>
      </c>
      <c r="AG41" s="473">
        <f t="shared" si="0"/>
        <v>0</v>
      </c>
      <c r="AJ41" s="474">
        <v>4416666</v>
      </c>
      <c r="AK41" s="474">
        <v>5300000</v>
      </c>
      <c r="AL41" s="474">
        <v>5300000</v>
      </c>
      <c r="AM41" s="307">
        <v>5300000</v>
      </c>
    </row>
    <row r="42" spans="1:39" hidden="1" x14ac:dyDescent="0.25">
      <c r="A42" s="475" t="s">
        <v>2025</v>
      </c>
      <c r="B42" s="476">
        <v>43780000</v>
      </c>
      <c r="C42" s="213" t="s">
        <v>2909</v>
      </c>
      <c r="D42" s="213">
        <v>40</v>
      </c>
      <c r="E42" s="312">
        <v>20215000000973</v>
      </c>
      <c r="F42" s="477">
        <v>44211</v>
      </c>
      <c r="G42" s="312" t="s">
        <v>2903</v>
      </c>
      <c r="H42" s="213" t="s">
        <v>2904</v>
      </c>
      <c r="I42" s="213" t="s">
        <v>228</v>
      </c>
      <c r="J42" s="474">
        <v>43780000</v>
      </c>
      <c r="K42" s="213" t="s">
        <v>223</v>
      </c>
      <c r="L42" s="213" t="s">
        <v>236</v>
      </c>
      <c r="M42" s="213" t="s">
        <v>44</v>
      </c>
      <c r="N42" s="213" t="s">
        <v>45</v>
      </c>
      <c r="O42" s="213" t="s">
        <v>63</v>
      </c>
      <c r="P42" s="213" t="s">
        <v>678</v>
      </c>
      <c r="R42" s="213">
        <v>41</v>
      </c>
      <c r="S42" s="477">
        <v>44211</v>
      </c>
      <c r="T42" s="213" t="s">
        <v>2957</v>
      </c>
      <c r="U42" s="474">
        <f>43780000-3780000</f>
        <v>40000000</v>
      </c>
      <c r="V42" s="412">
        <v>3780000</v>
      </c>
      <c r="W42" s="398"/>
      <c r="X42" s="309">
        <v>68</v>
      </c>
      <c r="Y42" s="471">
        <v>44230</v>
      </c>
      <c r="Z42" s="471">
        <v>44230</v>
      </c>
      <c r="AA42" s="471">
        <v>44533</v>
      </c>
      <c r="AB42" s="3" t="s">
        <v>2913</v>
      </c>
      <c r="AC42" s="212">
        <v>30</v>
      </c>
      <c r="AD42" s="3">
        <v>1118546448</v>
      </c>
      <c r="AE42" s="213" t="s">
        <v>3002</v>
      </c>
      <c r="AF42" s="472">
        <v>40000000</v>
      </c>
      <c r="AG42" s="473">
        <f t="shared" si="0"/>
        <v>0</v>
      </c>
      <c r="AJ42" s="474">
        <v>3466667</v>
      </c>
      <c r="AK42" s="474">
        <v>4000000</v>
      </c>
      <c r="AL42" s="474">
        <v>4000000</v>
      </c>
      <c r="AM42" s="307">
        <v>4000000</v>
      </c>
    </row>
    <row r="43" spans="1:39" s="313" customFormat="1" hidden="1" x14ac:dyDescent="0.25">
      <c r="A43" s="362"/>
      <c r="B43" s="418"/>
      <c r="C43" s="313" t="s">
        <v>3003</v>
      </c>
      <c r="D43" s="313">
        <v>41</v>
      </c>
      <c r="E43" s="326">
        <v>20213000000823</v>
      </c>
      <c r="F43" s="316">
        <v>44211</v>
      </c>
      <c r="G43" s="326" t="s">
        <v>2903</v>
      </c>
      <c r="H43" s="313" t="s">
        <v>2904</v>
      </c>
      <c r="I43" s="313" t="s">
        <v>432</v>
      </c>
      <c r="J43" s="406">
        <v>15689000</v>
      </c>
      <c r="K43" s="313" t="s">
        <v>342</v>
      </c>
      <c r="L43" s="313" t="s">
        <v>343</v>
      </c>
      <c r="M43" s="313" t="s">
        <v>44</v>
      </c>
      <c r="N43" s="313" t="s">
        <v>45</v>
      </c>
      <c r="O43" s="213" t="s">
        <v>310</v>
      </c>
      <c r="P43" s="313" t="s">
        <v>678</v>
      </c>
      <c r="R43" s="313">
        <v>30</v>
      </c>
      <c r="S43" s="316">
        <v>44211</v>
      </c>
      <c r="T43" s="313" t="s">
        <v>3004</v>
      </c>
      <c r="U43" s="406">
        <f>15689000-15689000</f>
        <v>0</v>
      </c>
      <c r="V43" s="412">
        <v>15689000</v>
      </c>
      <c r="W43" s="398"/>
      <c r="X43" s="315"/>
      <c r="Y43" s="359"/>
      <c r="Z43" s="359"/>
      <c r="AA43" s="359"/>
      <c r="AB43" s="318"/>
      <c r="AC43" s="317"/>
      <c r="AD43" s="318"/>
      <c r="AF43" s="411"/>
      <c r="AG43" s="319">
        <f t="shared" si="0"/>
        <v>0</v>
      </c>
      <c r="AH43" s="406"/>
      <c r="AI43" s="406"/>
      <c r="AJ43" s="406"/>
      <c r="AK43" s="406"/>
      <c r="AL43" s="406"/>
      <c r="AM43" s="213"/>
    </row>
    <row r="44" spans="1:39" s="313" customFormat="1" hidden="1" x14ac:dyDescent="0.25">
      <c r="A44" s="362"/>
      <c r="B44" s="418"/>
      <c r="C44" s="313" t="s">
        <v>3005</v>
      </c>
      <c r="D44" s="313">
        <v>42</v>
      </c>
      <c r="E44" s="326">
        <v>20213000000813</v>
      </c>
      <c r="F44" s="316">
        <v>44211</v>
      </c>
      <c r="G44" s="326" t="s">
        <v>2903</v>
      </c>
      <c r="H44" s="313" t="s">
        <v>2904</v>
      </c>
      <c r="I44" s="313" t="s">
        <v>432</v>
      </c>
      <c r="J44" s="406">
        <v>153169000</v>
      </c>
      <c r="K44" s="313" t="s">
        <v>342</v>
      </c>
      <c r="L44" s="313" t="s">
        <v>343</v>
      </c>
      <c r="M44" s="313" t="s">
        <v>44</v>
      </c>
      <c r="N44" s="313" t="s">
        <v>45</v>
      </c>
      <c r="O44" s="213" t="s">
        <v>310</v>
      </c>
      <c r="P44" s="313" t="s">
        <v>678</v>
      </c>
      <c r="R44" s="313">
        <v>29</v>
      </c>
      <c r="S44" s="316">
        <v>44211</v>
      </c>
      <c r="T44" s="313" t="s">
        <v>3006</v>
      </c>
      <c r="U44" s="406">
        <f>153169000-153169000</f>
        <v>0</v>
      </c>
      <c r="V44" s="412">
        <v>153169000</v>
      </c>
      <c r="W44" s="398"/>
      <c r="X44" s="315"/>
      <c r="Y44" s="359"/>
      <c r="Z44" s="359"/>
      <c r="AA44" s="359"/>
      <c r="AB44" s="318"/>
      <c r="AC44" s="317"/>
      <c r="AD44" s="318"/>
      <c r="AF44" s="411"/>
      <c r="AG44" s="319">
        <f t="shared" si="0"/>
        <v>0</v>
      </c>
      <c r="AH44" s="406"/>
      <c r="AI44" s="406"/>
      <c r="AJ44" s="406"/>
      <c r="AK44" s="406"/>
      <c r="AL44" s="406"/>
      <c r="AM44" s="213"/>
    </row>
    <row r="45" spans="1:39" hidden="1" x14ac:dyDescent="0.25">
      <c r="A45" s="475" t="s">
        <v>2025</v>
      </c>
      <c r="B45" s="476">
        <v>53900000</v>
      </c>
      <c r="C45" s="213" t="s">
        <v>2909</v>
      </c>
      <c r="D45" s="213">
        <v>43</v>
      </c>
      <c r="E45" s="312">
        <v>20215000000983</v>
      </c>
      <c r="F45" s="477">
        <v>44214</v>
      </c>
      <c r="G45" s="312" t="s">
        <v>2903</v>
      </c>
      <c r="H45" s="213" t="s">
        <v>2904</v>
      </c>
      <c r="I45" s="213" t="s">
        <v>228</v>
      </c>
      <c r="J45" s="474">
        <v>53900000</v>
      </c>
      <c r="K45" s="213" t="s">
        <v>223</v>
      </c>
      <c r="L45" s="213" t="s">
        <v>236</v>
      </c>
      <c r="M45" s="213" t="s">
        <v>44</v>
      </c>
      <c r="N45" s="213" t="s">
        <v>45</v>
      </c>
      <c r="O45" s="213" t="s">
        <v>63</v>
      </c>
      <c r="P45" s="213" t="s">
        <v>678</v>
      </c>
      <c r="R45" s="213">
        <v>44</v>
      </c>
      <c r="S45" s="477">
        <v>44214</v>
      </c>
      <c r="T45" s="213" t="s">
        <v>2957</v>
      </c>
      <c r="U45" s="474">
        <v>53900000</v>
      </c>
      <c r="V45" s="407"/>
      <c r="W45" s="363"/>
      <c r="X45" s="212">
        <v>42</v>
      </c>
      <c r="Y45" s="471">
        <v>44224</v>
      </c>
      <c r="Z45" s="471">
        <v>44224</v>
      </c>
      <c r="AA45" s="471">
        <v>44558</v>
      </c>
      <c r="AB45" s="3" t="s">
        <v>2913</v>
      </c>
      <c r="AC45" s="212">
        <v>17</v>
      </c>
      <c r="AD45" s="3">
        <v>1031147678</v>
      </c>
      <c r="AE45" s="213" t="s">
        <v>3007</v>
      </c>
      <c r="AF45" s="472">
        <v>53900000</v>
      </c>
      <c r="AG45" s="473">
        <f t="shared" si="0"/>
        <v>0</v>
      </c>
      <c r="AJ45" s="474">
        <v>5226667</v>
      </c>
      <c r="AK45" s="474">
        <v>4900000</v>
      </c>
      <c r="AL45" s="474">
        <v>4900000</v>
      </c>
      <c r="AM45" s="307">
        <v>4900000</v>
      </c>
    </row>
    <row r="46" spans="1:39" hidden="1" x14ac:dyDescent="0.25">
      <c r="A46" s="475" t="s">
        <v>2025</v>
      </c>
      <c r="B46" s="476">
        <v>58300000</v>
      </c>
      <c r="C46" s="213" t="s">
        <v>2909</v>
      </c>
      <c r="D46" s="213">
        <v>44</v>
      </c>
      <c r="E46" s="312">
        <v>20215000001003</v>
      </c>
      <c r="F46" s="477">
        <v>44214</v>
      </c>
      <c r="G46" s="312" t="s">
        <v>2903</v>
      </c>
      <c r="H46" s="213" t="s">
        <v>2904</v>
      </c>
      <c r="I46" s="213" t="s">
        <v>228</v>
      </c>
      <c r="J46" s="474">
        <v>58300000</v>
      </c>
      <c r="K46" s="213" t="s">
        <v>223</v>
      </c>
      <c r="L46" s="213" t="s">
        <v>236</v>
      </c>
      <c r="M46" s="213" t="s">
        <v>44</v>
      </c>
      <c r="N46" s="213" t="s">
        <v>45</v>
      </c>
      <c r="O46" s="213" t="s">
        <v>63</v>
      </c>
      <c r="P46" s="213" t="s">
        <v>678</v>
      </c>
      <c r="R46" s="213">
        <v>45</v>
      </c>
      <c r="S46" s="477">
        <v>44214</v>
      </c>
      <c r="T46" s="213" t="s">
        <v>2957</v>
      </c>
      <c r="U46" s="474">
        <f>58300000-9300000</f>
        <v>49000000</v>
      </c>
      <c r="V46" s="412">
        <v>9300000</v>
      </c>
      <c r="W46" s="398"/>
      <c r="X46" s="309">
        <v>73</v>
      </c>
      <c r="Y46" s="481">
        <v>44231</v>
      </c>
      <c r="Z46" s="481">
        <v>44231</v>
      </c>
      <c r="AA46" s="481">
        <v>44534</v>
      </c>
      <c r="AB46" s="482" t="s">
        <v>2913</v>
      </c>
      <c r="AC46" s="212">
        <v>36</v>
      </c>
      <c r="AD46" s="484">
        <v>53050737</v>
      </c>
      <c r="AE46" s="483" t="s">
        <v>3008</v>
      </c>
      <c r="AF46" s="472">
        <v>49000000</v>
      </c>
      <c r="AG46" s="473">
        <f t="shared" si="0"/>
        <v>0</v>
      </c>
      <c r="AJ46" s="474">
        <v>4083333</v>
      </c>
      <c r="AK46" s="474">
        <v>4900000</v>
      </c>
      <c r="AL46" s="474">
        <v>4900000</v>
      </c>
      <c r="AM46" s="307">
        <v>4900000</v>
      </c>
    </row>
    <row r="47" spans="1:39" hidden="1" x14ac:dyDescent="0.25">
      <c r="A47" s="475" t="s">
        <v>2025</v>
      </c>
      <c r="B47" s="476">
        <v>43780000</v>
      </c>
      <c r="C47" s="213" t="s">
        <v>2909</v>
      </c>
      <c r="D47" s="213">
        <v>45</v>
      </c>
      <c r="E47" s="312">
        <v>20215000001013</v>
      </c>
      <c r="F47" s="477">
        <v>44214</v>
      </c>
      <c r="G47" s="312" t="s">
        <v>2903</v>
      </c>
      <c r="H47" s="213" t="s">
        <v>2904</v>
      </c>
      <c r="I47" s="213" t="s">
        <v>228</v>
      </c>
      <c r="J47" s="474">
        <v>43780000</v>
      </c>
      <c r="K47" s="213" t="s">
        <v>223</v>
      </c>
      <c r="L47" s="213" t="s">
        <v>236</v>
      </c>
      <c r="M47" s="213" t="s">
        <v>44</v>
      </c>
      <c r="N47" s="213" t="s">
        <v>45</v>
      </c>
      <c r="O47" s="213" t="s">
        <v>63</v>
      </c>
      <c r="P47" s="213" t="s">
        <v>678</v>
      </c>
      <c r="R47" s="213">
        <v>46</v>
      </c>
      <c r="S47" s="477">
        <v>44214</v>
      </c>
      <c r="T47" s="213" t="s">
        <v>2957</v>
      </c>
      <c r="U47" s="474">
        <f>43780000-3780000</f>
        <v>40000000</v>
      </c>
      <c r="V47" s="412">
        <v>3780000</v>
      </c>
      <c r="W47" s="398"/>
      <c r="X47" s="309">
        <v>83</v>
      </c>
      <c r="Y47" s="481">
        <v>44232</v>
      </c>
      <c r="Z47" s="481">
        <v>44232</v>
      </c>
      <c r="AA47" s="481">
        <v>44535</v>
      </c>
      <c r="AB47" s="482" t="s">
        <v>2913</v>
      </c>
      <c r="AC47" s="212">
        <v>43</v>
      </c>
      <c r="AD47" s="484">
        <v>52114836</v>
      </c>
      <c r="AE47" s="483" t="s">
        <v>3009</v>
      </c>
      <c r="AF47" s="472">
        <v>40000000</v>
      </c>
      <c r="AG47" s="473">
        <f t="shared" si="0"/>
        <v>0</v>
      </c>
      <c r="AJ47" s="474">
        <v>2800000</v>
      </c>
      <c r="AK47" s="474">
        <v>4000000</v>
      </c>
      <c r="AL47" s="474">
        <v>4000000</v>
      </c>
      <c r="AM47" s="307">
        <v>4000000</v>
      </c>
    </row>
    <row r="48" spans="1:39" hidden="1" x14ac:dyDescent="0.25">
      <c r="A48" s="475" t="s">
        <v>2417</v>
      </c>
      <c r="B48" s="476">
        <v>43780000</v>
      </c>
      <c r="C48" s="213" t="s">
        <v>2909</v>
      </c>
      <c r="D48" s="213">
        <v>46</v>
      </c>
      <c r="E48" s="312">
        <v>20215000001033</v>
      </c>
      <c r="F48" s="477">
        <v>44214</v>
      </c>
      <c r="G48" s="312" t="s">
        <v>2903</v>
      </c>
      <c r="H48" s="213" t="s">
        <v>2904</v>
      </c>
      <c r="I48" s="213" t="s">
        <v>228</v>
      </c>
      <c r="J48" s="474">
        <v>43780000</v>
      </c>
      <c r="K48" s="213" t="s">
        <v>223</v>
      </c>
      <c r="L48" s="213" t="s">
        <v>269</v>
      </c>
      <c r="M48" s="213" t="s">
        <v>44</v>
      </c>
      <c r="N48" s="213" t="s">
        <v>45</v>
      </c>
      <c r="O48" s="213" t="s">
        <v>63</v>
      </c>
      <c r="P48" s="213" t="s">
        <v>678</v>
      </c>
      <c r="R48" s="213">
        <v>47</v>
      </c>
      <c r="S48" s="477">
        <v>44214</v>
      </c>
      <c r="T48" s="213" t="s">
        <v>3010</v>
      </c>
      <c r="U48" s="474">
        <f>43780000-3780000</f>
        <v>40000000</v>
      </c>
      <c r="V48" s="412">
        <v>3780000</v>
      </c>
      <c r="W48" s="398"/>
      <c r="X48" s="309">
        <v>97</v>
      </c>
      <c r="Y48" s="481">
        <v>44235</v>
      </c>
      <c r="Z48" s="481">
        <v>44235</v>
      </c>
      <c r="AA48" s="481">
        <v>44538</v>
      </c>
      <c r="AB48" s="482" t="s">
        <v>2913</v>
      </c>
      <c r="AC48" s="212">
        <v>48</v>
      </c>
      <c r="AD48" s="484">
        <v>1032469103</v>
      </c>
      <c r="AE48" s="483" t="s">
        <v>3011</v>
      </c>
      <c r="AF48" s="472">
        <v>40000000</v>
      </c>
      <c r="AG48" s="473">
        <f t="shared" si="0"/>
        <v>0</v>
      </c>
      <c r="AJ48" s="474">
        <v>2800000</v>
      </c>
      <c r="AK48" s="474">
        <v>4000000</v>
      </c>
      <c r="AL48" s="474">
        <v>4000000</v>
      </c>
      <c r="AM48" s="307">
        <v>4000000</v>
      </c>
    </row>
    <row r="49" spans="1:39" hidden="1" x14ac:dyDescent="0.25">
      <c r="A49" s="475" t="s">
        <v>2026</v>
      </c>
      <c r="B49" s="476">
        <v>44330000</v>
      </c>
      <c r="C49" s="213" t="s">
        <v>2909</v>
      </c>
      <c r="D49" s="213">
        <v>47</v>
      </c>
      <c r="E49" s="312">
        <v>20215000001043</v>
      </c>
      <c r="F49" s="477">
        <v>44214</v>
      </c>
      <c r="G49" s="312" t="s">
        <v>2903</v>
      </c>
      <c r="H49" s="213" t="s">
        <v>2904</v>
      </c>
      <c r="I49" s="213" t="s">
        <v>228</v>
      </c>
      <c r="J49" s="474">
        <v>44330000</v>
      </c>
      <c r="K49" s="213" t="s">
        <v>223</v>
      </c>
      <c r="L49" s="213" t="s">
        <v>269</v>
      </c>
      <c r="M49" s="213" t="s">
        <v>44</v>
      </c>
      <c r="N49" s="213" t="s">
        <v>45</v>
      </c>
      <c r="O49" s="213" t="s">
        <v>63</v>
      </c>
      <c r="P49" s="213" t="s">
        <v>678</v>
      </c>
      <c r="R49" s="213">
        <v>48</v>
      </c>
      <c r="S49" s="477">
        <v>44214</v>
      </c>
      <c r="T49" s="213" t="s">
        <v>3012</v>
      </c>
      <c r="U49" s="474">
        <f>44330000-2330000</f>
        <v>42000000</v>
      </c>
      <c r="V49" s="412">
        <v>2330000</v>
      </c>
      <c r="W49" s="398"/>
      <c r="X49" s="480">
        <v>125</v>
      </c>
      <c r="Y49" s="481">
        <v>44239</v>
      </c>
      <c r="Z49" s="481">
        <v>44239</v>
      </c>
      <c r="AA49" s="481">
        <v>44561</v>
      </c>
      <c r="AB49" s="482" t="s">
        <v>2913</v>
      </c>
      <c r="AC49" s="480">
        <v>80</v>
      </c>
      <c r="AD49" s="482">
        <v>40612939</v>
      </c>
      <c r="AE49" s="483" t="s">
        <v>3013</v>
      </c>
      <c r="AF49" s="472">
        <v>42000000</v>
      </c>
      <c r="AG49" s="473">
        <f t="shared" si="0"/>
        <v>0</v>
      </c>
      <c r="AK49" s="474">
        <f>1866667+4000000</f>
        <v>5866667</v>
      </c>
      <c r="AL49" s="474">
        <v>4000000</v>
      </c>
      <c r="AM49" s="307">
        <v>4000000</v>
      </c>
    </row>
    <row r="50" spans="1:39" hidden="1" x14ac:dyDescent="0.25">
      <c r="A50" s="475" t="s">
        <v>2026</v>
      </c>
      <c r="B50" s="476">
        <v>58300000</v>
      </c>
      <c r="C50" s="213" t="s">
        <v>2909</v>
      </c>
      <c r="D50" s="213">
        <v>48</v>
      </c>
      <c r="E50" s="312">
        <v>20215000001053</v>
      </c>
      <c r="F50" s="477">
        <v>44214</v>
      </c>
      <c r="G50" s="312" t="s">
        <v>2903</v>
      </c>
      <c r="H50" s="213" t="s">
        <v>2904</v>
      </c>
      <c r="I50" s="213" t="s">
        <v>228</v>
      </c>
      <c r="J50" s="474">
        <v>58300000</v>
      </c>
      <c r="K50" s="213" t="s">
        <v>223</v>
      </c>
      <c r="L50" s="213" t="s">
        <v>269</v>
      </c>
      <c r="M50" s="213" t="s">
        <v>44</v>
      </c>
      <c r="N50" s="213" t="s">
        <v>45</v>
      </c>
      <c r="O50" s="213" t="s">
        <v>63</v>
      </c>
      <c r="P50" s="213" t="s">
        <v>678</v>
      </c>
      <c r="R50" s="213">
        <v>49</v>
      </c>
      <c r="S50" s="477">
        <v>44214</v>
      </c>
      <c r="T50" s="213" t="s">
        <v>3012</v>
      </c>
      <c r="U50" s="474">
        <f>58300000-5300000</f>
        <v>53000000</v>
      </c>
      <c r="V50" s="412">
        <v>5300000</v>
      </c>
      <c r="W50" s="398"/>
      <c r="X50" s="480">
        <v>128</v>
      </c>
      <c r="Y50" s="481">
        <v>44239</v>
      </c>
      <c r="Z50" s="481">
        <v>44239</v>
      </c>
      <c r="AA50" s="481">
        <v>44542</v>
      </c>
      <c r="AB50" s="482" t="s">
        <v>2913</v>
      </c>
      <c r="AC50" s="480">
        <v>72</v>
      </c>
      <c r="AD50" s="482">
        <v>77092915</v>
      </c>
      <c r="AE50" s="483" t="s">
        <v>3014</v>
      </c>
      <c r="AF50" s="472">
        <v>53000000</v>
      </c>
      <c r="AG50" s="473">
        <f t="shared" si="0"/>
        <v>0</v>
      </c>
      <c r="AJ50" s="474">
        <v>3003333</v>
      </c>
      <c r="AK50" s="474">
        <v>5300000</v>
      </c>
      <c r="AL50" s="474">
        <v>5300000</v>
      </c>
      <c r="AM50" s="307">
        <v>5300000</v>
      </c>
    </row>
    <row r="51" spans="1:39" hidden="1" x14ac:dyDescent="0.25">
      <c r="A51" s="475" t="s">
        <v>2025</v>
      </c>
      <c r="B51" s="476">
        <v>43780000</v>
      </c>
      <c r="C51" s="213" t="s">
        <v>2909</v>
      </c>
      <c r="D51" s="213">
        <v>49</v>
      </c>
      <c r="E51" s="312">
        <v>20215000001063</v>
      </c>
      <c r="F51" s="477">
        <v>44214</v>
      </c>
      <c r="G51" s="312" t="s">
        <v>2903</v>
      </c>
      <c r="H51" s="213" t="s">
        <v>2904</v>
      </c>
      <c r="I51" s="213" t="s">
        <v>228</v>
      </c>
      <c r="J51" s="474">
        <v>43780000</v>
      </c>
      <c r="K51" s="213" t="s">
        <v>223</v>
      </c>
      <c r="L51" s="213" t="s">
        <v>269</v>
      </c>
      <c r="M51" s="213" t="s">
        <v>44</v>
      </c>
      <c r="N51" s="213" t="s">
        <v>45</v>
      </c>
      <c r="O51" s="213" t="s">
        <v>63</v>
      </c>
      <c r="P51" s="213" t="s">
        <v>678</v>
      </c>
      <c r="R51" s="213">
        <v>50</v>
      </c>
      <c r="S51" s="477">
        <v>44214</v>
      </c>
      <c r="T51" s="213" t="s">
        <v>3015</v>
      </c>
      <c r="U51" s="474">
        <f>43780000-3780000</f>
        <v>40000000</v>
      </c>
      <c r="V51" s="412">
        <v>3780000</v>
      </c>
      <c r="W51" s="398"/>
      <c r="X51" s="309">
        <v>95</v>
      </c>
      <c r="Y51" s="481">
        <v>44235</v>
      </c>
      <c r="Z51" s="481">
        <v>44235</v>
      </c>
      <c r="AA51" s="481">
        <v>44538</v>
      </c>
      <c r="AB51" s="482" t="s">
        <v>2913</v>
      </c>
      <c r="AC51" s="212">
        <v>47</v>
      </c>
      <c r="AD51" s="484">
        <v>1014261943</v>
      </c>
      <c r="AE51" s="483" t="s">
        <v>3016</v>
      </c>
      <c r="AF51" s="472">
        <v>40000000</v>
      </c>
      <c r="AG51" s="473">
        <f t="shared" si="0"/>
        <v>0</v>
      </c>
      <c r="AJ51" s="474">
        <v>2800000</v>
      </c>
      <c r="AK51" s="474">
        <v>4000000</v>
      </c>
      <c r="AL51" s="474">
        <v>4000000</v>
      </c>
      <c r="AM51" s="307">
        <v>4000000</v>
      </c>
    </row>
    <row r="52" spans="1:39" hidden="1" x14ac:dyDescent="0.25">
      <c r="A52" s="475" t="s">
        <v>2029</v>
      </c>
      <c r="B52" s="476">
        <v>58300000</v>
      </c>
      <c r="C52" s="213" t="s">
        <v>2909</v>
      </c>
      <c r="D52" s="213">
        <v>50</v>
      </c>
      <c r="E52" s="312">
        <v>20215000001133</v>
      </c>
      <c r="F52" s="477">
        <v>44214</v>
      </c>
      <c r="G52" s="312" t="s">
        <v>2903</v>
      </c>
      <c r="H52" s="213" t="s">
        <v>2904</v>
      </c>
      <c r="I52" s="213" t="s">
        <v>228</v>
      </c>
      <c r="J52" s="474">
        <v>58300000</v>
      </c>
      <c r="K52" s="213" t="s">
        <v>223</v>
      </c>
      <c r="L52" s="213" t="s">
        <v>283</v>
      </c>
      <c r="M52" s="213" t="s">
        <v>44</v>
      </c>
      <c r="N52" s="213" t="s">
        <v>45</v>
      </c>
      <c r="O52" s="213" t="s">
        <v>63</v>
      </c>
      <c r="P52" s="213" t="s">
        <v>678</v>
      </c>
      <c r="R52" s="213">
        <v>51</v>
      </c>
      <c r="S52" s="477">
        <v>44214</v>
      </c>
      <c r="T52" s="213" t="s">
        <v>2921</v>
      </c>
      <c r="U52" s="474">
        <f>58300000-50703334</f>
        <v>7596666</v>
      </c>
      <c r="V52" s="407">
        <v>50703334</v>
      </c>
      <c r="W52" s="363"/>
      <c r="X52" s="212">
        <v>51</v>
      </c>
      <c r="Y52" s="471">
        <v>44224</v>
      </c>
      <c r="Z52" s="471">
        <v>44224</v>
      </c>
      <c r="AA52" s="471">
        <v>44558</v>
      </c>
      <c r="AB52" s="3" t="s">
        <v>2913</v>
      </c>
      <c r="AC52" s="212">
        <v>20</v>
      </c>
      <c r="AD52" s="3">
        <v>1016039001</v>
      </c>
      <c r="AE52" s="213" t="s">
        <v>3017</v>
      </c>
      <c r="AF52" s="472">
        <f>58300000-50703334</f>
        <v>7596666</v>
      </c>
      <c r="AG52" s="473">
        <f t="shared" si="0"/>
        <v>0</v>
      </c>
      <c r="AJ52" s="474">
        <v>5653333</v>
      </c>
      <c r="AK52" s="474">
        <v>1943333</v>
      </c>
      <c r="AM52" s="213"/>
    </row>
    <row r="53" spans="1:39" hidden="1" x14ac:dyDescent="0.25">
      <c r="A53" s="475" t="s">
        <v>2314</v>
      </c>
      <c r="B53" s="476">
        <v>44000000</v>
      </c>
      <c r="C53" s="213" t="s">
        <v>2909</v>
      </c>
      <c r="D53" s="213">
        <v>51</v>
      </c>
      <c r="E53" s="312">
        <v>20215000001143</v>
      </c>
      <c r="F53" s="477">
        <v>44214</v>
      </c>
      <c r="G53" s="312" t="s">
        <v>2903</v>
      </c>
      <c r="H53" s="213" t="s">
        <v>2904</v>
      </c>
      <c r="I53" s="213" t="s">
        <v>228</v>
      </c>
      <c r="J53" s="474">
        <v>44000000</v>
      </c>
      <c r="K53" s="213" t="s">
        <v>288</v>
      </c>
      <c r="L53" s="213" t="s">
        <v>294</v>
      </c>
      <c r="M53" s="213" t="s">
        <v>44</v>
      </c>
      <c r="N53" s="213" t="s">
        <v>45</v>
      </c>
      <c r="O53" s="213" t="s">
        <v>63</v>
      </c>
      <c r="P53" s="213" t="s">
        <v>678</v>
      </c>
      <c r="R53" s="213">
        <v>52</v>
      </c>
      <c r="S53" s="477">
        <v>44214</v>
      </c>
      <c r="T53" s="213" t="s">
        <v>3018</v>
      </c>
      <c r="U53" s="474">
        <f>44000000-1600000</f>
        <v>42400000</v>
      </c>
      <c r="V53" s="412">
        <v>1600000</v>
      </c>
      <c r="W53" s="398"/>
      <c r="X53" s="309">
        <v>109</v>
      </c>
      <c r="Y53" s="481">
        <v>44237</v>
      </c>
      <c r="Z53" s="481">
        <v>44237</v>
      </c>
      <c r="AA53" s="481">
        <v>44479</v>
      </c>
      <c r="AB53" s="482" t="s">
        <v>2913</v>
      </c>
      <c r="AC53" s="212">
        <v>46</v>
      </c>
      <c r="AD53" s="484">
        <v>80779128</v>
      </c>
      <c r="AE53" s="483" t="s">
        <v>3019</v>
      </c>
      <c r="AF53" s="472">
        <v>42400000</v>
      </c>
      <c r="AG53" s="473">
        <f t="shared" si="0"/>
        <v>0</v>
      </c>
      <c r="AJ53" s="474">
        <v>3356667</v>
      </c>
      <c r="AK53" s="474">
        <v>5300000</v>
      </c>
      <c r="AL53" s="474">
        <v>5300000</v>
      </c>
      <c r="AM53" s="213"/>
    </row>
    <row r="54" spans="1:39" hidden="1" x14ac:dyDescent="0.25">
      <c r="A54" s="475" t="s">
        <v>2174</v>
      </c>
      <c r="B54" s="476">
        <v>48348000</v>
      </c>
      <c r="C54" s="213" t="s">
        <v>2909</v>
      </c>
      <c r="D54" s="213">
        <v>52</v>
      </c>
      <c r="E54" s="312">
        <v>20215000001163</v>
      </c>
      <c r="F54" s="477">
        <v>44214</v>
      </c>
      <c r="G54" s="312" t="s">
        <v>2903</v>
      </c>
      <c r="H54" s="213" t="s">
        <v>2904</v>
      </c>
      <c r="I54" s="213" t="s">
        <v>228</v>
      </c>
      <c r="J54" s="474">
        <v>48348000</v>
      </c>
      <c r="K54" s="213" t="s">
        <v>288</v>
      </c>
      <c r="L54" s="213" t="s">
        <v>294</v>
      </c>
      <c r="M54" s="213" t="s">
        <v>44</v>
      </c>
      <c r="N54" s="213" t="s">
        <v>45</v>
      </c>
      <c r="O54" s="213" t="s">
        <v>63</v>
      </c>
      <c r="P54" s="213" t="s">
        <v>678</v>
      </c>
      <c r="R54" s="213">
        <v>53</v>
      </c>
      <c r="S54" s="477">
        <v>44214</v>
      </c>
      <c r="T54" s="213" t="s">
        <v>3018</v>
      </c>
      <c r="U54" s="474">
        <f>48348000-48000</f>
        <v>48300000</v>
      </c>
      <c r="V54" s="412">
        <v>48000</v>
      </c>
      <c r="W54" s="398"/>
      <c r="X54" s="212">
        <v>45</v>
      </c>
      <c r="Y54" s="471">
        <v>44224</v>
      </c>
      <c r="Z54" s="471">
        <v>44224</v>
      </c>
      <c r="AA54" s="471">
        <v>44436</v>
      </c>
      <c r="AB54" s="3" t="s">
        <v>2913</v>
      </c>
      <c r="AC54" s="212">
        <v>15</v>
      </c>
      <c r="AD54" s="3">
        <v>79459883</v>
      </c>
      <c r="AE54" s="213" t="s">
        <v>3020</v>
      </c>
      <c r="AF54" s="472">
        <v>48300000</v>
      </c>
      <c r="AG54" s="473">
        <f t="shared" si="0"/>
        <v>0</v>
      </c>
      <c r="AJ54" s="474">
        <v>7590000</v>
      </c>
      <c r="AK54" s="474">
        <v>6900000</v>
      </c>
      <c r="AL54" s="474">
        <v>6900000</v>
      </c>
      <c r="AM54" s="307">
        <v>6900000</v>
      </c>
    </row>
    <row r="55" spans="1:39" hidden="1" x14ac:dyDescent="0.25">
      <c r="A55" s="475" t="s">
        <v>2358</v>
      </c>
      <c r="B55" s="476">
        <v>70800000</v>
      </c>
      <c r="C55" s="213" t="s">
        <v>2909</v>
      </c>
      <c r="D55" s="213">
        <v>53</v>
      </c>
      <c r="E55" s="312">
        <v>20215000001173</v>
      </c>
      <c r="F55" s="477">
        <v>44214</v>
      </c>
      <c r="G55" s="312" t="s">
        <v>2903</v>
      </c>
      <c r="H55" s="213" t="s">
        <v>2904</v>
      </c>
      <c r="I55" s="213" t="s">
        <v>228</v>
      </c>
      <c r="J55" s="474">
        <v>70800000</v>
      </c>
      <c r="K55" s="213" t="s">
        <v>223</v>
      </c>
      <c r="L55" s="213" t="s">
        <v>3021</v>
      </c>
      <c r="M55" s="213" t="s">
        <v>44</v>
      </c>
      <c r="N55" s="213" t="s">
        <v>45</v>
      </c>
      <c r="O55" s="213" t="s">
        <v>63</v>
      </c>
      <c r="P55" s="213" t="s">
        <v>678</v>
      </c>
      <c r="R55" s="213">
        <v>54</v>
      </c>
      <c r="S55" s="477">
        <v>44214</v>
      </c>
      <c r="T55" s="213" t="s">
        <v>3022</v>
      </c>
      <c r="U55" s="474">
        <f>70800000-17716667</f>
        <v>53083333</v>
      </c>
      <c r="V55" s="412">
        <v>17716667</v>
      </c>
      <c r="W55" s="398"/>
      <c r="X55" s="309">
        <v>72</v>
      </c>
      <c r="Y55" s="481">
        <v>44231</v>
      </c>
      <c r="Z55" s="481">
        <v>44231</v>
      </c>
      <c r="AA55" s="481">
        <v>44561</v>
      </c>
      <c r="AB55" s="482" t="s">
        <v>2913</v>
      </c>
      <c r="AC55" s="212">
        <v>27</v>
      </c>
      <c r="AD55" s="484">
        <v>30506558</v>
      </c>
      <c r="AE55" s="483" t="s">
        <v>3023</v>
      </c>
      <c r="AF55" s="472">
        <v>53083333</v>
      </c>
      <c r="AG55" s="473">
        <f t="shared" si="0"/>
        <v>0</v>
      </c>
      <c r="AJ55" s="474">
        <v>4083333</v>
      </c>
      <c r="AK55" s="474">
        <v>4900000</v>
      </c>
      <c r="AL55" s="474">
        <v>4900000</v>
      </c>
      <c r="AM55" s="307">
        <v>4900000</v>
      </c>
    </row>
    <row r="56" spans="1:39" hidden="1" x14ac:dyDescent="0.25">
      <c r="A56" s="475" t="s">
        <v>3024</v>
      </c>
      <c r="B56" s="476">
        <v>51586233</v>
      </c>
      <c r="C56" s="213" t="s">
        <v>3025</v>
      </c>
      <c r="D56" s="213">
        <v>54</v>
      </c>
      <c r="E56" s="310">
        <v>20214000008283</v>
      </c>
      <c r="F56" s="311">
        <v>44243</v>
      </c>
      <c r="G56" s="312" t="s">
        <v>2943</v>
      </c>
      <c r="H56" s="213" t="s">
        <v>2944</v>
      </c>
      <c r="I56" s="213" t="s">
        <v>47</v>
      </c>
      <c r="J56" s="474">
        <v>35280000</v>
      </c>
      <c r="K56" s="213" t="s">
        <v>37</v>
      </c>
      <c r="L56" s="213" t="s">
        <v>2945</v>
      </c>
      <c r="M56" s="213" t="s">
        <v>44</v>
      </c>
      <c r="N56" s="213" t="s">
        <v>45</v>
      </c>
      <c r="O56" s="213" t="s">
        <v>310</v>
      </c>
      <c r="P56" s="213" t="s">
        <v>43</v>
      </c>
      <c r="R56" s="213">
        <v>256</v>
      </c>
      <c r="S56" s="477">
        <v>44244</v>
      </c>
      <c r="T56" s="213" t="s">
        <v>3026</v>
      </c>
      <c r="U56" s="474">
        <v>35280000</v>
      </c>
      <c r="V56" s="407"/>
      <c r="W56" s="363"/>
      <c r="X56" s="309">
        <v>208</v>
      </c>
      <c r="Y56" s="481">
        <v>44256</v>
      </c>
      <c r="Z56" s="481">
        <v>44256</v>
      </c>
      <c r="AA56" s="481">
        <v>44469</v>
      </c>
      <c r="AB56" s="482" t="s">
        <v>2913</v>
      </c>
      <c r="AC56" s="212">
        <v>145</v>
      </c>
      <c r="AD56" s="482" t="s">
        <v>3027</v>
      </c>
      <c r="AE56" s="483" t="s">
        <v>3028</v>
      </c>
      <c r="AF56" s="472">
        <v>35280000</v>
      </c>
      <c r="AG56" s="473">
        <f t="shared" si="0"/>
        <v>0</v>
      </c>
      <c r="AL56" s="474">
        <v>4872000</v>
      </c>
      <c r="AM56" s="307">
        <v>5040000</v>
      </c>
    </row>
    <row r="57" spans="1:39" hidden="1" x14ac:dyDescent="0.25">
      <c r="A57" s="475" t="s">
        <v>2367</v>
      </c>
      <c r="B57" s="476">
        <v>42260948</v>
      </c>
      <c r="C57" s="213" t="s">
        <v>2909</v>
      </c>
      <c r="D57" s="213">
        <v>55</v>
      </c>
      <c r="E57" s="312">
        <v>20212000001323</v>
      </c>
      <c r="F57" s="477">
        <v>44214</v>
      </c>
      <c r="G57" s="312" t="s">
        <v>2903</v>
      </c>
      <c r="H57" s="213" t="s">
        <v>2904</v>
      </c>
      <c r="I57" s="213" t="s">
        <v>391</v>
      </c>
      <c r="J57" s="474">
        <v>38918274</v>
      </c>
      <c r="K57" s="211" t="s">
        <v>2974</v>
      </c>
      <c r="L57" s="213" t="s">
        <v>2975</v>
      </c>
      <c r="M57" s="213" t="s">
        <v>44</v>
      </c>
      <c r="N57" s="213" t="s">
        <v>45</v>
      </c>
      <c r="O57" s="213" t="s">
        <v>63</v>
      </c>
      <c r="P57" s="213" t="s">
        <v>678</v>
      </c>
      <c r="R57" s="213">
        <v>56</v>
      </c>
      <c r="S57" s="477">
        <v>44214</v>
      </c>
      <c r="T57" s="213" t="s">
        <v>3029</v>
      </c>
      <c r="U57" s="474">
        <f>38918274-3103914</f>
        <v>35814360</v>
      </c>
      <c r="V57" s="412">
        <v>3103914</v>
      </c>
      <c r="W57" s="398"/>
      <c r="X57" s="480">
        <v>136</v>
      </c>
      <c r="Y57" s="481">
        <v>44243</v>
      </c>
      <c r="Z57" s="481">
        <v>44243</v>
      </c>
      <c r="AA57" s="481">
        <v>44546</v>
      </c>
      <c r="AB57" s="482" t="s">
        <v>2913</v>
      </c>
      <c r="AC57" s="480">
        <v>92</v>
      </c>
      <c r="AD57" s="482">
        <v>1052400677</v>
      </c>
      <c r="AE57" s="483" t="s">
        <v>3030</v>
      </c>
      <c r="AF57" s="472">
        <v>35814360</v>
      </c>
      <c r="AG57" s="473">
        <f t="shared" si="0"/>
        <v>0</v>
      </c>
      <c r="AJ57" s="474">
        <v>1551956</v>
      </c>
      <c r="AK57" s="474">
        <v>3581436</v>
      </c>
      <c r="AL57" s="474">
        <v>3581436</v>
      </c>
      <c r="AM57" s="307">
        <v>3581436</v>
      </c>
    </row>
    <row r="58" spans="1:39" hidden="1" x14ac:dyDescent="0.25">
      <c r="A58" s="475" t="s">
        <v>2175</v>
      </c>
      <c r="B58" s="476">
        <v>23287500</v>
      </c>
      <c r="C58" s="213" t="s">
        <v>2909</v>
      </c>
      <c r="D58" s="213">
        <v>56</v>
      </c>
      <c r="E58" s="312">
        <v>20211400001493</v>
      </c>
      <c r="F58" s="477">
        <v>44214</v>
      </c>
      <c r="G58" s="312" t="s">
        <v>2910</v>
      </c>
      <c r="H58" s="213" t="s">
        <v>2911</v>
      </c>
      <c r="I58" s="213" t="s">
        <v>184</v>
      </c>
      <c r="J58" s="474">
        <v>23287500</v>
      </c>
      <c r="K58" s="213" t="s">
        <v>138</v>
      </c>
      <c r="L58" s="213" t="s">
        <v>2915</v>
      </c>
      <c r="M58" s="213" t="s">
        <v>44</v>
      </c>
      <c r="N58" s="213" t="s">
        <v>45</v>
      </c>
      <c r="O58" s="213" t="s">
        <v>142</v>
      </c>
      <c r="P58" s="213" t="s">
        <v>43</v>
      </c>
      <c r="R58" s="213">
        <v>61</v>
      </c>
      <c r="S58" s="477">
        <v>44214</v>
      </c>
      <c r="T58" s="213" t="s">
        <v>2916</v>
      </c>
      <c r="U58" s="474">
        <v>23287500</v>
      </c>
      <c r="V58" s="407"/>
      <c r="W58" s="363"/>
      <c r="X58" s="212">
        <v>33</v>
      </c>
      <c r="Y58" s="471">
        <v>44223</v>
      </c>
      <c r="Z58" s="471">
        <v>44223</v>
      </c>
      <c r="AA58" s="471">
        <v>44496</v>
      </c>
      <c r="AB58" s="3" t="s">
        <v>2913</v>
      </c>
      <c r="AC58" s="212">
        <v>14</v>
      </c>
      <c r="AD58" s="3">
        <v>1001167443</v>
      </c>
      <c r="AE58" s="213" t="s">
        <v>3031</v>
      </c>
      <c r="AF58" s="472">
        <v>23287500</v>
      </c>
      <c r="AG58" s="473">
        <f t="shared" si="0"/>
        <v>0</v>
      </c>
      <c r="AI58" s="474">
        <v>345000</v>
      </c>
      <c r="AJ58" s="478">
        <v>2587500</v>
      </c>
      <c r="AK58" s="474">
        <v>2587500</v>
      </c>
      <c r="AL58" s="474">
        <v>2587500</v>
      </c>
      <c r="AM58" s="307">
        <v>2587500</v>
      </c>
    </row>
    <row r="59" spans="1:39" hidden="1" x14ac:dyDescent="0.25">
      <c r="A59" s="475" t="s">
        <v>2177</v>
      </c>
      <c r="B59" s="476">
        <v>68400000</v>
      </c>
      <c r="C59" s="213" t="s">
        <v>2909</v>
      </c>
      <c r="D59" s="213">
        <v>57</v>
      </c>
      <c r="E59" s="312">
        <v>20214000001463</v>
      </c>
      <c r="F59" s="477">
        <v>44214</v>
      </c>
      <c r="G59" s="312" t="s">
        <v>2936</v>
      </c>
      <c r="H59" s="213" t="s">
        <v>2937</v>
      </c>
      <c r="I59" s="213" t="s">
        <v>117</v>
      </c>
      <c r="J59" s="427">
        <v>22800000</v>
      </c>
      <c r="K59" s="213" t="s">
        <v>112</v>
      </c>
      <c r="L59" s="213" t="s">
        <v>2938</v>
      </c>
      <c r="M59" s="213" t="s">
        <v>44</v>
      </c>
      <c r="N59" s="213" t="s">
        <v>45</v>
      </c>
      <c r="O59" s="213" t="s">
        <v>63</v>
      </c>
      <c r="P59" s="213" t="s">
        <v>43</v>
      </c>
      <c r="R59" s="213">
        <v>60</v>
      </c>
      <c r="S59" s="477">
        <v>44214</v>
      </c>
      <c r="T59" s="213" t="s">
        <v>3032</v>
      </c>
      <c r="U59" s="427">
        <v>22800000</v>
      </c>
      <c r="V59" s="407"/>
      <c r="W59" s="400"/>
      <c r="X59" s="212">
        <v>30</v>
      </c>
      <c r="Y59" s="471">
        <v>44222</v>
      </c>
      <c r="Z59" s="471">
        <v>44222</v>
      </c>
      <c r="AA59" s="471">
        <v>44342</v>
      </c>
      <c r="AB59" s="3" t="s">
        <v>2913</v>
      </c>
      <c r="AC59" s="212">
        <v>10</v>
      </c>
      <c r="AD59" s="3">
        <v>1032359934</v>
      </c>
      <c r="AE59" s="213" t="s">
        <v>3033</v>
      </c>
      <c r="AF59" s="485">
        <v>19984000</v>
      </c>
      <c r="AG59" s="473">
        <f t="shared" si="0"/>
        <v>2816000</v>
      </c>
      <c r="AH59" s="427"/>
      <c r="AI59" s="427"/>
      <c r="AJ59" s="427"/>
      <c r="AK59" s="427"/>
      <c r="AL59" s="427"/>
      <c r="AM59" s="213"/>
    </row>
    <row r="60" spans="1:39" hidden="1" x14ac:dyDescent="0.25">
      <c r="A60" s="475" t="s">
        <v>2109</v>
      </c>
      <c r="B60" s="476">
        <v>29700000</v>
      </c>
      <c r="C60" s="213" t="s">
        <v>2909</v>
      </c>
      <c r="D60" s="213">
        <v>58</v>
      </c>
      <c r="E60" s="312">
        <v>20216000001413</v>
      </c>
      <c r="F60" s="477">
        <v>44214</v>
      </c>
      <c r="G60" s="312" t="s">
        <v>2910</v>
      </c>
      <c r="H60" s="213" t="s">
        <v>2911</v>
      </c>
      <c r="I60" s="213" t="s">
        <v>214</v>
      </c>
      <c r="J60" s="474">
        <v>16200000</v>
      </c>
      <c r="K60" s="213" t="s">
        <v>138</v>
      </c>
      <c r="L60" s="213" t="s">
        <v>139</v>
      </c>
      <c r="M60" s="213" t="s">
        <v>44</v>
      </c>
      <c r="N60" s="213" t="s">
        <v>45</v>
      </c>
      <c r="O60" s="213" t="s">
        <v>142</v>
      </c>
      <c r="P60" s="213" t="s">
        <v>43</v>
      </c>
      <c r="R60" s="213">
        <v>59</v>
      </c>
      <c r="S60" s="477">
        <v>44214</v>
      </c>
      <c r="T60" s="213" t="s">
        <v>3034</v>
      </c>
      <c r="U60" s="474">
        <v>16200000</v>
      </c>
      <c r="V60" s="407"/>
      <c r="W60" s="363"/>
      <c r="X60" s="212">
        <v>17</v>
      </c>
      <c r="Y60" s="471">
        <v>44216</v>
      </c>
      <c r="Z60" s="471">
        <v>44216</v>
      </c>
      <c r="AA60" s="471">
        <v>44397</v>
      </c>
      <c r="AB60" s="3" t="s">
        <v>2913</v>
      </c>
      <c r="AC60" s="212">
        <v>5</v>
      </c>
      <c r="AD60" s="3">
        <v>1026583329</v>
      </c>
      <c r="AE60" s="213" t="s">
        <v>3035</v>
      </c>
      <c r="AF60" s="472">
        <v>16200000</v>
      </c>
      <c r="AG60" s="473">
        <f t="shared" si="0"/>
        <v>0</v>
      </c>
      <c r="AI60" s="427">
        <v>990000</v>
      </c>
      <c r="AJ60" s="474">
        <v>2700000</v>
      </c>
      <c r="AK60" s="474">
        <v>2700000</v>
      </c>
      <c r="AL60" s="474">
        <v>2700000</v>
      </c>
      <c r="AM60" s="307">
        <v>2700000</v>
      </c>
    </row>
    <row r="61" spans="1:39" hidden="1" x14ac:dyDescent="0.25">
      <c r="A61" s="475" t="s">
        <v>2108</v>
      </c>
      <c r="B61" s="476">
        <v>85250000</v>
      </c>
      <c r="C61" s="213" t="s">
        <v>2909</v>
      </c>
      <c r="D61" s="213">
        <v>59</v>
      </c>
      <c r="E61" s="312">
        <v>20216000001383</v>
      </c>
      <c r="F61" s="477">
        <v>44214</v>
      </c>
      <c r="G61" s="312" t="s">
        <v>2910</v>
      </c>
      <c r="H61" s="213" t="s">
        <v>2911</v>
      </c>
      <c r="I61" s="213" t="s">
        <v>214</v>
      </c>
      <c r="J61" s="474">
        <v>46500000</v>
      </c>
      <c r="K61" s="213" t="s">
        <v>138</v>
      </c>
      <c r="L61" s="213" t="s">
        <v>139</v>
      </c>
      <c r="M61" s="213" t="s">
        <v>44</v>
      </c>
      <c r="N61" s="213" t="s">
        <v>45</v>
      </c>
      <c r="O61" s="213" t="s">
        <v>142</v>
      </c>
      <c r="P61" s="213" t="s">
        <v>43</v>
      </c>
      <c r="R61" s="213">
        <v>57</v>
      </c>
      <c r="S61" s="477">
        <v>44214</v>
      </c>
      <c r="T61" s="213" t="s">
        <v>3036</v>
      </c>
      <c r="U61" s="474">
        <v>46500000</v>
      </c>
      <c r="V61" s="407"/>
      <c r="W61" s="363"/>
      <c r="X61" s="212">
        <v>35</v>
      </c>
      <c r="Y61" s="471">
        <v>44223</v>
      </c>
      <c r="Z61" s="471">
        <v>44223</v>
      </c>
      <c r="AA61" s="471">
        <v>44404</v>
      </c>
      <c r="AB61" s="3" t="s">
        <v>2913</v>
      </c>
      <c r="AC61" s="212">
        <v>12</v>
      </c>
      <c r="AD61" s="3">
        <v>52433506</v>
      </c>
      <c r="AE61" s="213" t="s">
        <v>3037</v>
      </c>
      <c r="AF61" s="472">
        <v>46500000</v>
      </c>
      <c r="AG61" s="473">
        <f t="shared" si="0"/>
        <v>0</v>
      </c>
      <c r="AJ61" s="474">
        <v>8266667</v>
      </c>
      <c r="AK61" s="474">
        <v>7750000</v>
      </c>
      <c r="AL61" s="474">
        <v>7750000</v>
      </c>
      <c r="AM61" s="307">
        <v>7750000</v>
      </c>
    </row>
    <row r="62" spans="1:39" hidden="1" x14ac:dyDescent="0.25">
      <c r="A62" s="475" t="s">
        <v>2109</v>
      </c>
      <c r="B62" s="476">
        <v>29700000</v>
      </c>
      <c r="C62" s="213" t="s">
        <v>2909</v>
      </c>
      <c r="D62" s="213">
        <v>60</v>
      </c>
      <c r="E62" s="312">
        <v>20216000001403</v>
      </c>
      <c r="F62" s="477">
        <v>44214</v>
      </c>
      <c r="G62" s="312" t="s">
        <v>2910</v>
      </c>
      <c r="H62" s="213" t="s">
        <v>2911</v>
      </c>
      <c r="I62" s="213" t="s">
        <v>214</v>
      </c>
      <c r="J62" s="474">
        <v>16200000</v>
      </c>
      <c r="K62" s="213" t="s">
        <v>138</v>
      </c>
      <c r="L62" s="213" t="s">
        <v>139</v>
      </c>
      <c r="M62" s="213" t="s">
        <v>44</v>
      </c>
      <c r="N62" s="213" t="s">
        <v>45</v>
      </c>
      <c r="O62" s="213" t="s">
        <v>142</v>
      </c>
      <c r="P62" s="213" t="s">
        <v>43</v>
      </c>
      <c r="R62" s="213">
        <v>58</v>
      </c>
      <c r="S62" s="477">
        <v>44214</v>
      </c>
      <c r="T62" s="213" t="s">
        <v>3034</v>
      </c>
      <c r="U62" s="474">
        <v>16200000</v>
      </c>
      <c r="V62" s="407"/>
      <c r="W62" s="363"/>
      <c r="X62" s="212">
        <v>18</v>
      </c>
      <c r="Y62" s="471">
        <v>44216</v>
      </c>
      <c r="Z62" s="471">
        <v>44216</v>
      </c>
      <c r="AA62" s="471">
        <v>44397</v>
      </c>
      <c r="AB62" s="3" t="s">
        <v>2913</v>
      </c>
      <c r="AC62" s="212">
        <v>4</v>
      </c>
      <c r="AD62" s="3">
        <v>79514189</v>
      </c>
      <c r="AE62" s="213" t="s">
        <v>3038</v>
      </c>
      <c r="AF62" s="472">
        <v>16200000</v>
      </c>
      <c r="AG62" s="473">
        <f t="shared" si="0"/>
        <v>0</v>
      </c>
      <c r="AI62" s="427">
        <v>990000</v>
      </c>
      <c r="AJ62" s="474">
        <v>2700000</v>
      </c>
      <c r="AK62" s="474">
        <v>2700000</v>
      </c>
      <c r="AL62" s="474">
        <v>2700000</v>
      </c>
      <c r="AM62" s="307">
        <v>2700000</v>
      </c>
    </row>
    <row r="63" spans="1:39" hidden="1" x14ac:dyDescent="0.25">
      <c r="A63" s="475" t="s">
        <v>2110</v>
      </c>
      <c r="B63" s="476">
        <v>88000000</v>
      </c>
      <c r="C63" s="213" t="s">
        <v>2909</v>
      </c>
      <c r="D63" s="213">
        <v>61</v>
      </c>
      <c r="E63" s="312">
        <v>20216000001373</v>
      </c>
      <c r="F63" s="477">
        <v>44214</v>
      </c>
      <c r="G63" s="312" t="s">
        <v>2910</v>
      </c>
      <c r="H63" s="213" t="s">
        <v>2911</v>
      </c>
      <c r="I63" s="213" t="s">
        <v>214</v>
      </c>
      <c r="J63" s="474">
        <v>48000000</v>
      </c>
      <c r="K63" s="213" t="s">
        <v>138</v>
      </c>
      <c r="L63" s="213" t="s">
        <v>139</v>
      </c>
      <c r="M63" s="213" t="s">
        <v>44</v>
      </c>
      <c r="N63" s="213" t="s">
        <v>45</v>
      </c>
      <c r="O63" s="213" t="s">
        <v>142</v>
      </c>
      <c r="P63" s="213" t="s">
        <v>43</v>
      </c>
      <c r="R63" s="213">
        <v>62</v>
      </c>
      <c r="S63" s="477">
        <v>44214</v>
      </c>
      <c r="T63" s="213" t="s">
        <v>3039</v>
      </c>
      <c r="U63" s="474">
        <v>48000000</v>
      </c>
      <c r="V63" s="407"/>
      <c r="W63" s="363"/>
      <c r="X63" s="212">
        <v>20</v>
      </c>
      <c r="Y63" s="471">
        <v>44216</v>
      </c>
      <c r="Z63" s="471">
        <v>44216</v>
      </c>
      <c r="AA63" s="471">
        <v>44397</v>
      </c>
      <c r="AB63" s="3" t="s">
        <v>2913</v>
      </c>
      <c r="AC63" s="212">
        <v>8</v>
      </c>
      <c r="AD63" s="3">
        <v>52310337</v>
      </c>
      <c r="AE63" s="213" t="s">
        <v>3040</v>
      </c>
      <c r="AF63" s="472">
        <v>48000000</v>
      </c>
      <c r="AG63" s="473">
        <f t="shared" si="0"/>
        <v>0</v>
      </c>
      <c r="AI63" s="427">
        <v>2666667</v>
      </c>
      <c r="AJ63" s="474">
        <v>8000000</v>
      </c>
      <c r="AK63" s="474">
        <v>8000000</v>
      </c>
      <c r="AL63" s="474">
        <v>8000000</v>
      </c>
      <c r="AM63" s="307">
        <v>8000000</v>
      </c>
    </row>
    <row r="64" spans="1:39" hidden="1" x14ac:dyDescent="0.25">
      <c r="A64" s="475" t="s">
        <v>3041</v>
      </c>
      <c r="B64" s="476">
        <v>47092500</v>
      </c>
      <c r="C64" s="213" t="s">
        <v>2909</v>
      </c>
      <c r="D64" s="213">
        <v>62</v>
      </c>
      <c r="E64" s="312">
        <v>20211400001543</v>
      </c>
      <c r="F64" s="477">
        <v>44214</v>
      </c>
      <c r="G64" s="312" t="s">
        <v>2910</v>
      </c>
      <c r="H64" s="213" t="s">
        <v>2911</v>
      </c>
      <c r="I64" s="213" t="s">
        <v>184</v>
      </c>
      <c r="J64" s="474">
        <v>47092500</v>
      </c>
      <c r="K64" s="213" t="s">
        <v>138</v>
      </c>
      <c r="L64" s="213" t="s">
        <v>2915</v>
      </c>
      <c r="M64" s="213" t="s">
        <v>44</v>
      </c>
      <c r="N64" s="213" t="s">
        <v>45</v>
      </c>
      <c r="O64" s="213" t="s">
        <v>142</v>
      </c>
      <c r="P64" s="213" t="s">
        <v>43</v>
      </c>
      <c r="R64" s="213">
        <v>66</v>
      </c>
      <c r="S64" s="477">
        <v>44214</v>
      </c>
      <c r="T64" s="213" t="s">
        <v>3042</v>
      </c>
      <c r="U64" s="474">
        <v>47092500</v>
      </c>
      <c r="V64" s="407"/>
      <c r="W64" s="363"/>
      <c r="X64" s="309">
        <v>76</v>
      </c>
      <c r="Y64" s="481">
        <v>44231</v>
      </c>
      <c r="Z64" s="481">
        <v>44231</v>
      </c>
      <c r="AA64" s="481">
        <v>44443</v>
      </c>
      <c r="AB64" s="482" t="s">
        <v>2913</v>
      </c>
      <c r="AC64" s="212">
        <v>40</v>
      </c>
      <c r="AD64" s="484">
        <v>79531707</v>
      </c>
      <c r="AE64" s="483" t="s">
        <v>3043</v>
      </c>
      <c r="AF64" s="472">
        <v>47092500</v>
      </c>
      <c r="AG64" s="473">
        <f t="shared" si="0"/>
        <v>0</v>
      </c>
      <c r="AJ64" s="478">
        <v>5382000</v>
      </c>
      <c r="AK64" s="474">
        <v>6727500</v>
      </c>
      <c r="AL64" s="474">
        <v>6727500</v>
      </c>
      <c r="AM64" s="307">
        <v>6727500</v>
      </c>
    </row>
    <row r="65" spans="1:39" hidden="1" x14ac:dyDescent="0.25">
      <c r="A65" s="475" t="s">
        <v>2767</v>
      </c>
      <c r="B65" s="476">
        <v>66198000</v>
      </c>
      <c r="C65" s="213" t="s">
        <v>2909</v>
      </c>
      <c r="D65" s="213">
        <v>63</v>
      </c>
      <c r="E65" s="312">
        <v>20212000007943</v>
      </c>
      <c r="F65" s="477">
        <v>44243</v>
      </c>
      <c r="G65" s="312" t="s">
        <v>2903</v>
      </c>
      <c r="H65" s="213" t="s">
        <v>2904</v>
      </c>
      <c r="I65" s="213" t="s">
        <v>391</v>
      </c>
      <c r="J65" s="474">
        <v>56100000</v>
      </c>
      <c r="K65" s="211" t="s">
        <v>2974</v>
      </c>
      <c r="L65" s="213" t="s">
        <v>2975</v>
      </c>
      <c r="M65" s="213" t="s">
        <v>44</v>
      </c>
      <c r="N65" s="213" t="s">
        <v>45</v>
      </c>
      <c r="O65" s="213" t="s">
        <v>63</v>
      </c>
      <c r="P65" s="213" t="s">
        <v>678</v>
      </c>
      <c r="R65" s="213">
        <v>243</v>
      </c>
      <c r="S65" s="477">
        <v>44243</v>
      </c>
      <c r="T65" s="213" t="s">
        <v>3044</v>
      </c>
      <c r="U65" s="474">
        <f>56100000-2805000</f>
        <v>53295000</v>
      </c>
      <c r="V65" s="412">
        <v>2805000</v>
      </c>
      <c r="W65" s="398"/>
      <c r="X65" s="309">
        <v>209</v>
      </c>
      <c r="Y65" s="481">
        <v>44256</v>
      </c>
      <c r="Z65" s="481">
        <v>44256</v>
      </c>
      <c r="AA65" s="481">
        <v>44545</v>
      </c>
      <c r="AB65" s="482" t="s">
        <v>2913</v>
      </c>
      <c r="AC65" s="212">
        <v>152</v>
      </c>
      <c r="AD65" s="482" t="s">
        <v>3045</v>
      </c>
      <c r="AE65" s="483" t="s">
        <v>3046</v>
      </c>
      <c r="AF65" s="472">
        <v>53295000</v>
      </c>
      <c r="AG65" s="473">
        <f t="shared" si="0"/>
        <v>0</v>
      </c>
      <c r="AK65" s="474">
        <v>5236000</v>
      </c>
      <c r="AL65" s="474">
        <v>5610000</v>
      </c>
      <c r="AM65" s="307">
        <v>5610000</v>
      </c>
    </row>
    <row r="66" spans="1:39" hidden="1" x14ac:dyDescent="0.25">
      <c r="A66" s="475" t="s">
        <v>2374</v>
      </c>
      <c r="B66" s="476">
        <v>55300000</v>
      </c>
      <c r="C66" s="213" t="s">
        <v>2909</v>
      </c>
      <c r="D66" s="213">
        <v>64</v>
      </c>
      <c r="E66" s="312">
        <v>20211400001533</v>
      </c>
      <c r="F66" s="477">
        <v>44214</v>
      </c>
      <c r="G66" s="312" t="s">
        <v>2910</v>
      </c>
      <c r="H66" s="213" t="s">
        <v>2911</v>
      </c>
      <c r="I66" s="213" t="s">
        <v>184</v>
      </c>
      <c r="J66" s="474">
        <v>55300000</v>
      </c>
      <c r="K66" s="213" t="s">
        <v>138</v>
      </c>
      <c r="L66" s="213" t="s">
        <v>2915</v>
      </c>
      <c r="M66" s="213" t="s">
        <v>44</v>
      </c>
      <c r="N66" s="213" t="s">
        <v>45</v>
      </c>
      <c r="O66" s="213" t="s">
        <v>142</v>
      </c>
      <c r="P66" s="213" t="s">
        <v>43</v>
      </c>
      <c r="R66" s="213">
        <v>65</v>
      </c>
      <c r="S66" s="477">
        <v>44214</v>
      </c>
      <c r="T66" s="213" t="s">
        <v>3047</v>
      </c>
      <c r="U66" s="474">
        <v>55300000</v>
      </c>
      <c r="V66" s="407"/>
      <c r="W66" s="363"/>
      <c r="X66" s="309">
        <v>91</v>
      </c>
      <c r="Y66" s="481">
        <v>44235</v>
      </c>
      <c r="Z66" s="481">
        <v>44235</v>
      </c>
      <c r="AA66" s="481">
        <v>44447</v>
      </c>
      <c r="AB66" s="482" t="s">
        <v>2913</v>
      </c>
      <c r="AC66" s="212">
        <v>49</v>
      </c>
      <c r="AD66" s="484">
        <v>80100229</v>
      </c>
      <c r="AE66" s="483" t="s">
        <v>3048</v>
      </c>
      <c r="AF66" s="472">
        <v>55300000</v>
      </c>
      <c r="AG66" s="473">
        <f t="shared" ref="AG66:AG129" si="1">+U66-AF66</f>
        <v>0</v>
      </c>
      <c r="AJ66" s="478">
        <v>5530000</v>
      </c>
      <c r="AK66" s="474">
        <v>7900000</v>
      </c>
      <c r="AL66" s="474">
        <v>7900000</v>
      </c>
      <c r="AM66" s="307">
        <v>7900000</v>
      </c>
    </row>
    <row r="67" spans="1:39" hidden="1" x14ac:dyDescent="0.25">
      <c r="A67" s="475" t="s">
        <v>2745</v>
      </c>
      <c r="B67" s="476">
        <v>82133333</v>
      </c>
      <c r="C67" s="213" t="s">
        <v>2909</v>
      </c>
      <c r="D67" s="213">
        <v>65</v>
      </c>
      <c r="E67" s="312">
        <v>20214000004723</v>
      </c>
      <c r="F67" s="477">
        <v>44229</v>
      </c>
      <c r="G67" s="312" t="s">
        <v>2943</v>
      </c>
      <c r="H67" s="213" t="s">
        <v>2944</v>
      </c>
      <c r="I67" s="213" t="s">
        <v>47</v>
      </c>
      <c r="J67" s="474">
        <v>64000000</v>
      </c>
      <c r="K67" s="213" t="s">
        <v>37</v>
      </c>
      <c r="L67" s="213" t="s">
        <v>2945</v>
      </c>
      <c r="M67" s="213" t="s">
        <v>44</v>
      </c>
      <c r="N67" s="213" t="s">
        <v>45</v>
      </c>
      <c r="O67" s="213" t="s">
        <v>310</v>
      </c>
      <c r="P67" s="213" t="s">
        <v>43</v>
      </c>
      <c r="R67" s="213">
        <v>172</v>
      </c>
      <c r="S67" s="477">
        <v>44229</v>
      </c>
      <c r="T67" s="213" t="s">
        <v>3049</v>
      </c>
      <c r="U67" s="474">
        <v>64000000</v>
      </c>
      <c r="V67" s="407"/>
      <c r="W67" s="363"/>
      <c r="X67" s="309">
        <v>210</v>
      </c>
      <c r="Y67" s="481">
        <v>44256</v>
      </c>
      <c r="Z67" s="481">
        <v>44256</v>
      </c>
      <c r="AA67" s="481">
        <v>44499</v>
      </c>
      <c r="AB67" s="482" t="s">
        <v>2913</v>
      </c>
      <c r="AC67" s="212">
        <v>149</v>
      </c>
      <c r="AD67" s="482" t="s">
        <v>3050</v>
      </c>
      <c r="AE67" s="483" t="s">
        <v>3051</v>
      </c>
      <c r="AF67" s="472">
        <v>64000000</v>
      </c>
      <c r="AG67" s="473">
        <f t="shared" si="1"/>
        <v>0</v>
      </c>
      <c r="AK67" s="474">
        <v>7733333</v>
      </c>
      <c r="AL67" s="474">
        <v>8000000</v>
      </c>
      <c r="AM67" s="307">
        <v>8000000</v>
      </c>
    </row>
    <row r="68" spans="1:39" hidden="1" x14ac:dyDescent="0.25">
      <c r="A68" s="475" t="s">
        <v>2373</v>
      </c>
      <c r="B68" s="476">
        <v>62341552</v>
      </c>
      <c r="C68" s="213" t="s">
        <v>2909</v>
      </c>
      <c r="D68" s="213">
        <v>66</v>
      </c>
      <c r="E68" s="312">
        <v>20211400001523</v>
      </c>
      <c r="F68" s="477">
        <v>44214</v>
      </c>
      <c r="G68" s="312" t="s">
        <v>2910</v>
      </c>
      <c r="H68" s="213" t="s">
        <v>2911</v>
      </c>
      <c r="I68" s="213" t="s">
        <v>184</v>
      </c>
      <c r="J68" s="474">
        <v>62341552</v>
      </c>
      <c r="K68" s="213" t="s">
        <v>138</v>
      </c>
      <c r="L68" s="213" t="s">
        <v>2915</v>
      </c>
      <c r="M68" s="213" t="s">
        <v>44</v>
      </c>
      <c r="N68" s="213" t="s">
        <v>45</v>
      </c>
      <c r="O68" s="213" t="s">
        <v>142</v>
      </c>
      <c r="P68" s="213" t="s">
        <v>43</v>
      </c>
      <c r="R68" s="213">
        <v>64</v>
      </c>
      <c r="S68" s="477">
        <v>44214</v>
      </c>
      <c r="T68" s="213" t="s">
        <v>3052</v>
      </c>
      <c r="U68" s="474">
        <v>62341552</v>
      </c>
      <c r="V68" s="407"/>
      <c r="W68" s="363"/>
      <c r="X68" s="309">
        <v>115</v>
      </c>
      <c r="Y68" s="481">
        <v>44237</v>
      </c>
      <c r="Z68" s="481">
        <v>44237</v>
      </c>
      <c r="AA68" s="481">
        <v>44449</v>
      </c>
      <c r="AB68" s="482" t="s">
        <v>2913</v>
      </c>
      <c r="AC68" s="212">
        <v>65</v>
      </c>
      <c r="AD68" s="484">
        <v>13171587</v>
      </c>
      <c r="AE68" s="483" t="s">
        <v>3053</v>
      </c>
      <c r="AF68" s="472">
        <v>62341552</v>
      </c>
      <c r="AG68" s="473">
        <f t="shared" si="1"/>
        <v>0</v>
      </c>
      <c r="AJ68" s="478">
        <v>5343562</v>
      </c>
      <c r="AK68" s="474">
        <v>8905936</v>
      </c>
      <c r="AL68" s="474">
        <v>8905936</v>
      </c>
      <c r="AM68" s="307">
        <v>8905936</v>
      </c>
    </row>
    <row r="69" spans="1:39" hidden="1" x14ac:dyDescent="0.25">
      <c r="B69" s="476" t="s">
        <v>2946</v>
      </c>
      <c r="C69" s="213" t="s">
        <v>2909</v>
      </c>
      <c r="D69" s="213">
        <v>67</v>
      </c>
      <c r="E69" s="312">
        <v>20213000001603</v>
      </c>
      <c r="F69" s="477">
        <v>44215</v>
      </c>
      <c r="G69" s="312" t="s">
        <v>2903</v>
      </c>
      <c r="H69" s="213" t="s">
        <v>2904</v>
      </c>
      <c r="I69" s="213" t="s">
        <v>432</v>
      </c>
      <c r="J69" s="474">
        <v>17400000</v>
      </c>
      <c r="K69" s="213" t="s">
        <v>358</v>
      </c>
      <c r="L69" s="213" t="s">
        <v>3054</v>
      </c>
      <c r="M69" s="213" t="s">
        <v>44</v>
      </c>
      <c r="N69" s="213" t="s">
        <v>45</v>
      </c>
      <c r="O69" s="213" t="s">
        <v>63</v>
      </c>
      <c r="P69" s="213" t="s">
        <v>678</v>
      </c>
      <c r="R69" s="213">
        <v>68</v>
      </c>
      <c r="S69" s="477">
        <v>44215</v>
      </c>
      <c r="T69" s="213" t="s">
        <v>3055</v>
      </c>
      <c r="U69" s="474">
        <v>17400000</v>
      </c>
      <c r="V69" s="407"/>
      <c r="W69" s="363"/>
      <c r="X69" s="212">
        <v>26</v>
      </c>
      <c r="Y69" s="471">
        <v>44218</v>
      </c>
      <c r="Z69" s="471">
        <v>44221</v>
      </c>
      <c r="AA69" s="471">
        <v>44279</v>
      </c>
      <c r="AB69" s="3" t="s">
        <v>2913</v>
      </c>
      <c r="AC69" s="212">
        <v>454</v>
      </c>
      <c r="AD69" s="3">
        <v>47439734</v>
      </c>
      <c r="AE69" s="213" t="s">
        <v>3056</v>
      </c>
      <c r="AF69" s="472">
        <v>17400000</v>
      </c>
      <c r="AG69" s="473">
        <f t="shared" si="1"/>
        <v>0</v>
      </c>
      <c r="AI69" s="427">
        <v>8700000</v>
      </c>
      <c r="AJ69" s="474">
        <v>8700000</v>
      </c>
      <c r="AM69" s="213"/>
    </row>
    <row r="70" spans="1:39" hidden="1" x14ac:dyDescent="0.25">
      <c r="B70" s="476" t="s">
        <v>2946</v>
      </c>
      <c r="C70" s="213" t="s">
        <v>2909</v>
      </c>
      <c r="D70" s="213">
        <v>68</v>
      </c>
      <c r="E70" s="312">
        <v>20217000001633</v>
      </c>
      <c r="F70" s="477">
        <v>44216</v>
      </c>
      <c r="G70" s="312" t="s">
        <v>2910</v>
      </c>
      <c r="H70" s="213" t="s">
        <v>2911</v>
      </c>
      <c r="I70" s="213" t="s">
        <v>164</v>
      </c>
      <c r="J70" s="474">
        <v>6144614</v>
      </c>
      <c r="K70" s="213" t="s">
        <v>138</v>
      </c>
      <c r="L70" s="213" t="s">
        <v>139</v>
      </c>
      <c r="M70" s="213" t="s">
        <v>44</v>
      </c>
      <c r="N70" s="213" t="s">
        <v>45</v>
      </c>
      <c r="O70" s="213" t="s">
        <v>142</v>
      </c>
      <c r="P70" s="213" t="s">
        <v>43</v>
      </c>
      <c r="R70" s="213">
        <v>69</v>
      </c>
      <c r="S70" s="477">
        <v>44216</v>
      </c>
      <c r="T70" s="213" t="s">
        <v>3057</v>
      </c>
      <c r="U70" s="474">
        <v>6144614</v>
      </c>
      <c r="V70" s="407"/>
      <c r="W70" s="363"/>
      <c r="X70" s="212">
        <v>28</v>
      </c>
      <c r="Y70" s="471">
        <v>44218</v>
      </c>
      <c r="Z70" s="471">
        <v>44220</v>
      </c>
      <c r="AA70" s="471">
        <v>44278</v>
      </c>
      <c r="AB70" s="3" t="s">
        <v>2913</v>
      </c>
      <c r="AC70" s="212">
        <v>426</v>
      </c>
      <c r="AD70" s="3">
        <v>53116356</v>
      </c>
      <c r="AE70" s="213" t="s">
        <v>3058</v>
      </c>
      <c r="AF70" s="472">
        <v>6144614</v>
      </c>
      <c r="AG70" s="473">
        <f t="shared" si="1"/>
        <v>0</v>
      </c>
      <c r="AI70" s="474">
        <v>716871</v>
      </c>
      <c r="AJ70" s="474">
        <v>3072307</v>
      </c>
      <c r="AK70" s="474">
        <v>2355436</v>
      </c>
      <c r="AM70" s="213"/>
    </row>
    <row r="71" spans="1:39" hidden="1" x14ac:dyDescent="0.25">
      <c r="B71" s="476" t="s">
        <v>3059</v>
      </c>
      <c r="C71" s="213" t="s">
        <v>3060</v>
      </c>
      <c r="D71" s="213">
        <v>69</v>
      </c>
      <c r="E71" s="312">
        <v>20213000001933</v>
      </c>
      <c r="F71" s="477">
        <v>44216</v>
      </c>
      <c r="G71" s="312" t="s">
        <v>2903</v>
      </c>
      <c r="H71" s="213" t="s">
        <v>2904</v>
      </c>
      <c r="I71" s="213" t="s">
        <v>432</v>
      </c>
      <c r="J71" s="474">
        <v>9600000</v>
      </c>
      <c r="K71" s="213" t="s">
        <v>358</v>
      </c>
      <c r="L71" s="213" t="s">
        <v>3054</v>
      </c>
      <c r="M71" s="213" t="s">
        <v>44</v>
      </c>
      <c r="N71" s="213" t="s">
        <v>45</v>
      </c>
      <c r="O71" s="213" t="s">
        <v>63</v>
      </c>
      <c r="P71" s="213" t="s">
        <v>678</v>
      </c>
      <c r="R71" s="213">
        <v>70</v>
      </c>
      <c r="S71" s="477">
        <v>44216</v>
      </c>
      <c r="T71" s="213" t="s">
        <v>3061</v>
      </c>
      <c r="U71" s="474">
        <v>9600000</v>
      </c>
      <c r="V71" s="407"/>
      <c r="W71" s="363"/>
      <c r="X71" s="212">
        <v>36</v>
      </c>
      <c r="Y71" s="471">
        <v>44223</v>
      </c>
      <c r="Z71" s="471">
        <v>44224</v>
      </c>
      <c r="AA71" s="471">
        <v>44282</v>
      </c>
      <c r="AB71" s="3" t="s">
        <v>2913</v>
      </c>
      <c r="AC71" s="212">
        <v>465</v>
      </c>
      <c r="AD71" s="3">
        <v>1026287593</v>
      </c>
      <c r="AE71" s="213" t="s">
        <v>3062</v>
      </c>
      <c r="AF71" s="472">
        <v>9600000</v>
      </c>
      <c r="AG71" s="473">
        <f t="shared" si="1"/>
        <v>0</v>
      </c>
      <c r="AI71" s="427">
        <v>480000</v>
      </c>
      <c r="AJ71" s="474">
        <v>4800000</v>
      </c>
      <c r="AK71" s="474">
        <v>4320000</v>
      </c>
      <c r="AM71" s="213"/>
    </row>
    <row r="72" spans="1:39" hidden="1" x14ac:dyDescent="0.25">
      <c r="B72" s="476" t="s">
        <v>2946</v>
      </c>
      <c r="C72" s="213" t="s">
        <v>3060</v>
      </c>
      <c r="D72" s="213">
        <v>70</v>
      </c>
      <c r="E72" s="312">
        <v>20217000001623</v>
      </c>
      <c r="F72" s="477">
        <v>44217</v>
      </c>
      <c r="G72" s="312" t="s">
        <v>2910</v>
      </c>
      <c r="H72" s="213" t="s">
        <v>2911</v>
      </c>
      <c r="I72" s="213" t="s">
        <v>164</v>
      </c>
      <c r="J72" s="474">
        <v>6583523</v>
      </c>
      <c r="K72" s="213" t="s">
        <v>138</v>
      </c>
      <c r="L72" s="213" t="s">
        <v>139</v>
      </c>
      <c r="M72" s="213" t="s">
        <v>44</v>
      </c>
      <c r="N72" s="213" t="s">
        <v>45</v>
      </c>
      <c r="O72" s="213" t="s">
        <v>142</v>
      </c>
      <c r="P72" s="213" t="s">
        <v>43</v>
      </c>
      <c r="R72" s="213">
        <v>71</v>
      </c>
      <c r="S72" s="477">
        <v>44217</v>
      </c>
      <c r="T72" s="213" t="s">
        <v>3063</v>
      </c>
      <c r="U72" s="474">
        <v>6583523</v>
      </c>
      <c r="V72" s="407"/>
      <c r="W72" s="363"/>
      <c r="X72" s="212">
        <v>29</v>
      </c>
      <c r="Y72" s="471">
        <v>44218</v>
      </c>
      <c r="Z72" s="471">
        <v>44220</v>
      </c>
      <c r="AA72" s="471">
        <v>44293</v>
      </c>
      <c r="AB72" s="3" t="s">
        <v>2913</v>
      </c>
      <c r="AC72" s="212">
        <v>389</v>
      </c>
      <c r="AD72" s="3">
        <v>37277102</v>
      </c>
      <c r="AE72" s="213" t="s">
        <v>3064</v>
      </c>
      <c r="AF72" s="472">
        <v>6583523</v>
      </c>
      <c r="AG72" s="473">
        <f t="shared" si="1"/>
        <v>0</v>
      </c>
      <c r="AI72" s="474">
        <v>2633409</v>
      </c>
      <c r="AJ72" s="474">
        <v>2633409</v>
      </c>
      <c r="AK72" s="474">
        <v>614462</v>
      </c>
      <c r="AL72" s="474">
        <v>702242</v>
      </c>
      <c r="AM72" s="213"/>
    </row>
    <row r="73" spans="1:39" hidden="1" x14ac:dyDescent="0.25">
      <c r="A73" s="475" t="s">
        <v>2741</v>
      </c>
      <c r="B73" s="476">
        <v>85250000</v>
      </c>
      <c r="C73" s="213" t="s">
        <v>3060</v>
      </c>
      <c r="D73" s="213">
        <v>71</v>
      </c>
      <c r="E73" s="312">
        <v>20216000002183</v>
      </c>
      <c r="F73" s="477">
        <v>44217</v>
      </c>
      <c r="G73" s="312" t="s">
        <v>2910</v>
      </c>
      <c r="H73" s="213" t="s">
        <v>2911</v>
      </c>
      <c r="I73" s="213" t="s">
        <v>214</v>
      </c>
      <c r="J73" s="474">
        <v>85250000</v>
      </c>
      <c r="K73" s="213" t="s">
        <v>138</v>
      </c>
      <c r="L73" s="213" t="s">
        <v>139</v>
      </c>
      <c r="M73" s="213" t="s">
        <v>44</v>
      </c>
      <c r="N73" s="213" t="s">
        <v>45</v>
      </c>
      <c r="O73" s="213" t="s">
        <v>142</v>
      </c>
      <c r="P73" s="213" t="s">
        <v>43</v>
      </c>
      <c r="R73" s="213">
        <v>72</v>
      </c>
      <c r="S73" s="477">
        <v>44217</v>
      </c>
      <c r="T73" s="213" t="s">
        <v>3065</v>
      </c>
      <c r="U73" s="474">
        <v>85250000</v>
      </c>
      <c r="V73" s="407"/>
      <c r="W73" s="363"/>
      <c r="X73" s="212">
        <v>52</v>
      </c>
      <c r="Y73" s="471">
        <v>44225</v>
      </c>
      <c r="Z73" s="471">
        <v>44225</v>
      </c>
      <c r="AA73" s="471">
        <v>44559</v>
      </c>
      <c r="AB73" s="3" t="s">
        <v>2913</v>
      </c>
      <c r="AC73" s="212">
        <v>21</v>
      </c>
      <c r="AD73" s="3">
        <v>1067863967</v>
      </c>
      <c r="AE73" s="213" t="s">
        <v>3066</v>
      </c>
      <c r="AF73" s="472">
        <v>85250000</v>
      </c>
      <c r="AG73" s="473">
        <f t="shared" si="1"/>
        <v>0</v>
      </c>
      <c r="AJ73" s="474">
        <v>8266667</v>
      </c>
      <c r="AK73" s="474">
        <v>7750000</v>
      </c>
      <c r="AL73" s="474">
        <v>7750000</v>
      </c>
      <c r="AM73" s="307">
        <v>7750000</v>
      </c>
    </row>
    <row r="74" spans="1:39" hidden="1" x14ac:dyDescent="0.25">
      <c r="B74" s="476" t="s">
        <v>2946</v>
      </c>
      <c r="C74" s="213" t="s">
        <v>2909</v>
      </c>
      <c r="D74" s="213">
        <v>72</v>
      </c>
      <c r="E74" s="312">
        <v>2021000002063</v>
      </c>
      <c r="F74" s="477">
        <v>44217</v>
      </c>
      <c r="G74" s="312" t="s">
        <v>2910</v>
      </c>
      <c r="H74" s="213" t="s">
        <v>2911</v>
      </c>
      <c r="I74" s="213" t="s">
        <v>164</v>
      </c>
      <c r="J74" s="474">
        <v>3511208</v>
      </c>
      <c r="K74" s="213" t="s">
        <v>138</v>
      </c>
      <c r="L74" s="213" t="s">
        <v>139</v>
      </c>
      <c r="M74" s="213" t="s">
        <v>44</v>
      </c>
      <c r="N74" s="213" t="s">
        <v>45</v>
      </c>
      <c r="O74" s="213" t="s">
        <v>142</v>
      </c>
      <c r="P74" s="213" t="s">
        <v>43</v>
      </c>
      <c r="R74" s="213">
        <v>76</v>
      </c>
      <c r="S74" s="477">
        <v>44217</v>
      </c>
      <c r="T74" s="213" t="s">
        <v>3067</v>
      </c>
      <c r="U74" s="474">
        <v>3511208</v>
      </c>
      <c r="V74" s="407"/>
      <c r="W74" s="363"/>
      <c r="X74" s="212">
        <v>40</v>
      </c>
      <c r="Y74" s="471">
        <v>44223</v>
      </c>
      <c r="Z74" s="471">
        <v>44224</v>
      </c>
      <c r="AA74" s="471">
        <v>44282</v>
      </c>
      <c r="AB74" s="3" t="s">
        <v>2913</v>
      </c>
      <c r="AC74" s="212">
        <v>461</v>
      </c>
      <c r="AD74" s="3">
        <v>1030697600</v>
      </c>
      <c r="AE74" s="213" t="s">
        <v>3068</v>
      </c>
      <c r="AF74" s="472">
        <v>3511208</v>
      </c>
      <c r="AG74" s="473">
        <f t="shared" si="1"/>
        <v>0</v>
      </c>
      <c r="AI74" s="474">
        <v>175560</v>
      </c>
      <c r="AJ74" s="474">
        <v>1755604</v>
      </c>
      <c r="AK74" s="474">
        <v>1580044</v>
      </c>
      <c r="AM74" s="213"/>
    </row>
    <row r="75" spans="1:39" hidden="1" x14ac:dyDescent="0.25">
      <c r="B75" s="476" t="s">
        <v>2946</v>
      </c>
      <c r="C75" s="213" t="s">
        <v>2909</v>
      </c>
      <c r="D75" s="213">
        <v>73</v>
      </c>
      <c r="E75" s="312">
        <v>20217000002093</v>
      </c>
      <c r="F75" s="477">
        <v>44217</v>
      </c>
      <c r="G75" s="312" t="s">
        <v>2910</v>
      </c>
      <c r="H75" s="213" t="s">
        <v>2911</v>
      </c>
      <c r="I75" s="213" t="s">
        <v>164</v>
      </c>
      <c r="J75" s="474">
        <v>11191976</v>
      </c>
      <c r="K75" s="213" t="s">
        <v>138</v>
      </c>
      <c r="L75" s="213" t="s">
        <v>139</v>
      </c>
      <c r="M75" s="213" t="s">
        <v>44</v>
      </c>
      <c r="N75" s="213" t="s">
        <v>45</v>
      </c>
      <c r="O75" s="213" t="s">
        <v>142</v>
      </c>
      <c r="P75" s="213" t="s">
        <v>43</v>
      </c>
      <c r="R75" s="213">
        <v>77</v>
      </c>
      <c r="S75" s="477">
        <v>44217</v>
      </c>
      <c r="T75" s="213" t="s">
        <v>3069</v>
      </c>
      <c r="U75" s="474">
        <v>11191976</v>
      </c>
      <c r="V75" s="407"/>
      <c r="W75" s="363"/>
      <c r="X75" s="212">
        <v>49</v>
      </c>
      <c r="Y75" s="471">
        <v>44224</v>
      </c>
      <c r="Z75" s="471">
        <v>44228</v>
      </c>
      <c r="AA75" s="471">
        <v>44311</v>
      </c>
      <c r="AB75" s="3" t="s">
        <v>2913</v>
      </c>
      <c r="AC75" s="212">
        <v>351</v>
      </c>
      <c r="AD75" s="3">
        <v>1094949319</v>
      </c>
      <c r="AE75" s="213" t="s">
        <v>3070</v>
      </c>
      <c r="AF75" s="472">
        <v>11191976</v>
      </c>
      <c r="AG75" s="473">
        <f t="shared" si="1"/>
        <v>0</v>
      </c>
      <c r="AM75" s="213"/>
    </row>
    <row r="76" spans="1:39" hidden="1" x14ac:dyDescent="0.25">
      <c r="B76" s="476" t="s">
        <v>2946</v>
      </c>
      <c r="C76" s="213" t="s">
        <v>2909</v>
      </c>
      <c r="D76" s="213">
        <v>74</v>
      </c>
      <c r="E76" s="312">
        <v>20217000002103</v>
      </c>
      <c r="F76" s="477">
        <v>44217</v>
      </c>
      <c r="G76" s="312" t="s">
        <v>2910</v>
      </c>
      <c r="H76" s="213" t="s">
        <v>2911</v>
      </c>
      <c r="I76" s="213" t="s">
        <v>164</v>
      </c>
      <c r="J76" s="474">
        <v>7505000</v>
      </c>
      <c r="K76" s="213" t="s">
        <v>138</v>
      </c>
      <c r="L76" s="213" t="s">
        <v>139</v>
      </c>
      <c r="M76" s="213" t="s">
        <v>44</v>
      </c>
      <c r="N76" s="213" t="s">
        <v>45</v>
      </c>
      <c r="O76" s="213" t="s">
        <v>142</v>
      </c>
      <c r="P76" s="213" t="s">
        <v>43</v>
      </c>
      <c r="R76" s="213">
        <v>78</v>
      </c>
      <c r="S76" s="477">
        <v>44217</v>
      </c>
      <c r="T76" s="213" t="s">
        <v>3071</v>
      </c>
      <c r="U76" s="474">
        <v>7505000</v>
      </c>
      <c r="V76" s="407"/>
      <c r="W76" s="363"/>
      <c r="X76" s="309">
        <v>81</v>
      </c>
      <c r="Y76" s="481">
        <v>44232</v>
      </c>
      <c r="Z76" s="481">
        <v>44241</v>
      </c>
      <c r="AA76" s="481">
        <v>44295</v>
      </c>
      <c r="AB76" s="482" t="s">
        <v>2913</v>
      </c>
      <c r="AC76" s="212">
        <v>497</v>
      </c>
      <c r="AD76" s="484">
        <v>1049647713</v>
      </c>
      <c r="AE76" s="483" t="s">
        <v>3072</v>
      </c>
      <c r="AF76" s="472">
        <v>7505000</v>
      </c>
      <c r="AG76" s="473">
        <f t="shared" si="1"/>
        <v>0</v>
      </c>
      <c r="AJ76" s="474">
        <v>3950000</v>
      </c>
      <c r="AK76" s="474">
        <f>2106000+1185000</f>
        <v>3291000</v>
      </c>
      <c r="AM76" s="213"/>
    </row>
    <row r="77" spans="1:39" hidden="1" x14ac:dyDescent="0.25">
      <c r="B77" s="476" t="s">
        <v>2946</v>
      </c>
      <c r="C77" s="213" t="s">
        <v>2909</v>
      </c>
      <c r="D77" s="213">
        <v>75</v>
      </c>
      <c r="E77" s="312">
        <v>20217000001733</v>
      </c>
      <c r="F77" s="477">
        <v>44217</v>
      </c>
      <c r="G77" s="312" t="s">
        <v>2910</v>
      </c>
      <c r="H77" s="213" t="s">
        <v>2911</v>
      </c>
      <c r="I77" s="213" t="s">
        <v>164</v>
      </c>
      <c r="J77" s="474">
        <v>13342605</v>
      </c>
      <c r="K77" s="213" t="s">
        <v>138</v>
      </c>
      <c r="L77" s="213" t="s">
        <v>139</v>
      </c>
      <c r="M77" s="213" t="s">
        <v>44</v>
      </c>
      <c r="N77" s="213" t="s">
        <v>45</v>
      </c>
      <c r="O77" s="213" t="s">
        <v>142</v>
      </c>
      <c r="P77" s="213" t="s">
        <v>43</v>
      </c>
      <c r="R77" s="213">
        <v>74</v>
      </c>
      <c r="S77" s="477">
        <v>44217</v>
      </c>
      <c r="T77" s="213" t="s">
        <v>3073</v>
      </c>
      <c r="U77" s="474">
        <v>13342605</v>
      </c>
      <c r="V77" s="407"/>
      <c r="W77" s="363"/>
      <c r="X77" s="309">
        <v>93</v>
      </c>
      <c r="Y77" s="481">
        <v>44235</v>
      </c>
      <c r="Z77" s="481">
        <v>44241</v>
      </c>
      <c r="AA77" s="481">
        <v>44295</v>
      </c>
      <c r="AB77" s="482" t="s">
        <v>2913</v>
      </c>
      <c r="AC77" s="212">
        <v>481</v>
      </c>
      <c r="AD77" s="484">
        <v>79956761</v>
      </c>
      <c r="AE77" s="483" t="s">
        <v>3074</v>
      </c>
      <c r="AF77" s="472">
        <v>13342605</v>
      </c>
      <c r="AG77" s="473">
        <f t="shared" si="1"/>
        <v>0</v>
      </c>
      <c r="AJ77" s="474">
        <v>7022424</v>
      </c>
      <c r="AK77" s="474">
        <v>6320181</v>
      </c>
      <c r="AM77" s="213"/>
    </row>
    <row r="78" spans="1:39" hidden="1" x14ac:dyDescent="0.25">
      <c r="B78" s="476" t="s">
        <v>2946</v>
      </c>
      <c r="C78" s="213" t="s">
        <v>2909</v>
      </c>
      <c r="D78" s="213">
        <v>76</v>
      </c>
      <c r="E78" s="312">
        <v>20217000001723</v>
      </c>
      <c r="F78" s="477">
        <v>44217</v>
      </c>
      <c r="G78" s="312" t="s">
        <v>2910</v>
      </c>
      <c r="H78" s="213" t="s">
        <v>2911</v>
      </c>
      <c r="I78" s="213" t="s">
        <v>164</v>
      </c>
      <c r="J78" s="474">
        <v>13342605</v>
      </c>
      <c r="K78" s="213" t="s">
        <v>138</v>
      </c>
      <c r="L78" s="213" t="s">
        <v>139</v>
      </c>
      <c r="M78" s="213" t="s">
        <v>44</v>
      </c>
      <c r="N78" s="213" t="s">
        <v>45</v>
      </c>
      <c r="O78" s="213" t="s">
        <v>142</v>
      </c>
      <c r="P78" s="213" t="s">
        <v>43</v>
      </c>
      <c r="R78" s="213">
        <v>73</v>
      </c>
      <c r="S78" s="477">
        <v>44217</v>
      </c>
      <c r="T78" s="213" t="s">
        <v>3075</v>
      </c>
      <c r="U78" s="474">
        <v>13342605</v>
      </c>
      <c r="V78" s="407"/>
      <c r="W78" s="363"/>
      <c r="X78" s="480">
        <v>126</v>
      </c>
      <c r="Y78" s="481">
        <v>44239</v>
      </c>
      <c r="Z78" s="481">
        <v>44241</v>
      </c>
      <c r="AA78" s="481">
        <v>44295</v>
      </c>
      <c r="AB78" s="482" t="s">
        <v>2913</v>
      </c>
      <c r="AC78" s="480">
        <v>487</v>
      </c>
      <c r="AD78" s="482">
        <v>80393754</v>
      </c>
      <c r="AE78" s="483" t="s">
        <v>3076</v>
      </c>
      <c r="AF78" s="472">
        <v>13342605</v>
      </c>
      <c r="AG78" s="473">
        <f t="shared" si="1"/>
        <v>0</v>
      </c>
      <c r="AJ78" s="474">
        <v>7022424</v>
      </c>
      <c r="AK78" s="474">
        <v>3979374</v>
      </c>
      <c r="AM78" s="307">
        <v>2106727</v>
      </c>
    </row>
    <row r="79" spans="1:39" hidden="1" x14ac:dyDescent="0.25">
      <c r="B79" s="476" t="s">
        <v>2946</v>
      </c>
      <c r="C79" s="213" t="s">
        <v>2909</v>
      </c>
      <c r="D79" s="213">
        <v>77</v>
      </c>
      <c r="E79" s="312">
        <v>20217000001753</v>
      </c>
      <c r="F79" s="477">
        <v>44217</v>
      </c>
      <c r="G79" s="312" t="s">
        <v>2910</v>
      </c>
      <c r="H79" s="213" t="s">
        <v>2911</v>
      </c>
      <c r="I79" s="213" t="s">
        <v>164</v>
      </c>
      <c r="J79" s="474">
        <v>13342605</v>
      </c>
      <c r="K79" s="213" t="s">
        <v>138</v>
      </c>
      <c r="L79" s="213" t="s">
        <v>139</v>
      </c>
      <c r="M79" s="213" t="s">
        <v>44</v>
      </c>
      <c r="N79" s="213" t="s">
        <v>45</v>
      </c>
      <c r="O79" s="213" t="s">
        <v>142</v>
      </c>
      <c r="P79" s="213" t="s">
        <v>43</v>
      </c>
      <c r="R79" s="213">
        <v>75</v>
      </c>
      <c r="S79" s="477">
        <v>44217</v>
      </c>
      <c r="T79" s="213" t="s">
        <v>3077</v>
      </c>
      <c r="U79" s="474">
        <v>13342605</v>
      </c>
      <c r="V79" s="407"/>
      <c r="W79" s="363"/>
      <c r="X79" s="309">
        <v>96</v>
      </c>
      <c r="Y79" s="481">
        <v>44235</v>
      </c>
      <c r="Z79" s="481">
        <v>44241</v>
      </c>
      <c r="AA79" s="481">
        <v>44295</v>
      </c>
      <c r="AB79" s="482" t="s">
        <v>2913</v>
      </c>
      <c r="AC79" s="212">
        <v>480</v>
      </c>
      <c r="AD79" s="484">
        <v>79504573</v>
      </c>
      <c r="AE79" s="483" t="s">
        <v>3078</v>
      </c>
      <c r="AF79" s="472">
        <v>13342605</v>
      </c>
      <c r="AG79" s="473">
        <f t="shared" si="1"/>
        <v>0</v>
      </c>
      <c r="AJ79" s="474">
        <v>7022424</v>
      </c>
      <c r="AK79" s="474">
        <v>6320181</v>
      </c>
      <c r="AM79" s="213"/>
    </row>
    <row r="80" spans="1:39" hidden="1" x14ac:dyDescent="0.25">
      <c r="B80" s="476" t="s">
        <v>2946</v>
      </c>
      <c r="C80" s="213" t="s">
        <v>2909</v>
      </c>
      <c r="D80" s="213">
        <v>78</v>
      </c>
      <c r="E80" s="312">
        <v>20217000002233</v>
      </c>
      <c r="F80" s="477">
        <v>44217</v>
      </c>
      <c r="G80" s="312" t="s">
        <v>2910</v>
      </c>
      <c r="H80" s="213" t="s">
        <v>2911</v>
      </c>
      <c r="I80" s="213" t="s">
        <v>164</v>
      </c>
      <c r="J80" s="474">
        <v>8295237</v>
      </c>
      <c r="K80" s="213" t="s">
        <v>138</v>
      </c>
      <c r="L80" s="213" t="s">
        <v>139</v>
      </c>
      <c r="M80" s="213" t="s">
        <v>44</v>
      </c>
      <c r="N80" s="213" t="s">
        <v>45</v>
      </c>
      <c r="O80" s="213" t="s">
        <v>142</v>
      </c>
      <c r="P80" s="213" t="s">
        <v>43</v>
      </c>
      <c r="R80" s="213">
        <v>79</v>
      </c>
      <c r="S80" s="477">
        <v>44217</v>
      </c>
      <c r="T80" s="213" t="s">
        <v>3079</v>
      </c>
      <c r="U80" s="474">
        <v>8295237</v>
      </c>
      <c r="V80" s="407"/>
      <c r="W80" s="363"/>
      <c r="X80" s="212">
        <v>50</v>
      </c>
      <c r="Y80" s="471">
        <v>44224</v>
      </c>
      <c r="Z80" s="471">
        <v>44227</v>
      </c>
      <c r="AA80" s="471">
        <v>44289</v>
      </c>
      <c r="AB80" s="3" t="s">
        <v>2913</v>
      </c>
      <c r="AC80" s="212">
        <v>452</v>
      </c>
      <c r="AD80" s="3">
        <v>1022366551</v>
      </c>
      <c r="AE80" s="213" t="s">
        <v>3080</v>
      </c>
      <c r="AF80" s="472">
        <v>8295237</v>
      </c>
      <c r="AG80" s="473">
        <f t="shared" si="1"/>
        <v>0</v>
      </c>
      <c r="AJ80" s="474">
        <v>3950113</v>
      </c>
      <c r="AK80" s="474">
        <v>3950113</v>
      </c>
      <c r="AL80" s="474">
        <v>395011</v>
      </c>
      <c r="AM80" s="213"/>
    </row>
    <row r="81" spans="1:39" hidden="1" x14ac:dyDescent="0.25">
      <c r="B81" s="476" t="s">
        <v>2946</v>
      </c>
      <c r="C81" s="213" t="s">
        <v>2909</v>
      </c>
      <c r="D81" s="213">
        <v>79</v>
      </c>
      <c r="E81" s="312">
        <v>20211300002373</v>
      </c>
      <c r="F81" s="477">
        <v>44218</v>
      </c>
      <c r="G81" s="312" t="s">
        <v>2910</v>
      </c>
      <c r="H81" s="213" t="s">
        <v>2911</v>
      </c>
      <c r="I81" s="213" t="s">
        <v>210</v>
      </c>
      <c r="J81" s="474">
        <v>17259563</v>
      </c>
      <c r="K81" s="213" t="s">
        <v>138</v>
      </c>
      <c r="L81" s="213" t="s">
        <v>139</v>
      </c>
      <c r="M81" s="213" t="s">
        <v>44</v>
      </c>
      <c r="N81" s="213" t="s">
        <v>45</v>
      </c>
      <c r="O81" s="213" t="s">
        <v>142</v>
      </c>
      <c r="P81" s="213" t="s">
        <v>43</v>
      </c>
      <c r="R81" s="213">
        <v>81</v>
      </c>
      <c r="S81" s="477">
        <v>44218</v>
      </c>
      <c r="T81" s="213" t="s">
        <v>3081</v>
      </c>
      <c r="U81" s="474">
        <v>17259563</v>
      </c>
      <c r="V81" s="407"/>
      <c r="W81" s="363"/>
      <c r="X81" s="309">
        <v>62</v>
      </c>
      <c r="Y81" s="471">
        <v>44229</v>
      </c>
      <c r="Z81" s="471">
        <v>44230</v>
      </c>
      <c r="AA81" s="471">
        <v>44294</v>
      </c>
      <c r="AB81" s="3" t="s">
        <v>2913</v>
      </c>
      <c r="AC81" s="212">
        <v>424</v>
      </c>
      <c r="AD81" s="3">
        <v>52164280</v>
      </c>
      <c r="AE81" s="213" t="s">
        <v>3082</v>
      </c>
      <c r="AF81" s="472">
        <v>17259563</v>
      </c>
      <c r="AG81" s="473">
        <f t="shared" si="1"/>
        <v>0</v>
      </c>
      <c r="AJ81" s="474">
        <v>7845256</v>
      </c>
      <c r="AK81" s="474">
        <v>7845256</v>
      </c>
      <c r="AL81" s="474">
        <v>1569051</v>
      </c>
      <c r="AM81" s="213"/>
    </row>
    <row r="82" spans="1:39" hidden="1" x14ac:dyDescent="0.25">
      <c r="B82" s="476" t="s">
        <v>2946</v>
      </c>
      <c r="C82" s="213" t="s">
        <v>2909</v>
      </c>
      <c r="D82" s="213">
        <v>80</v>
      </c>
      <c r="E82" s="312">
        <v>20217000002393</v>
      </c>
      <c r="F82" s="477">
        <v>44218</v>
      </c>
      <c r="G82" s="312" t="s">
        <v>2910</v>
      </c>
      <c r="H82" s="213" t="s">
        <v>2911</v>
      </c>
      <c r="I82" s="213" t="s">
        <v>164</v>
      </c>
      <c r="J82" s="474">
        <v>3950109</v>
      </c>
      <c r="K82" s="213" t="s">
        <v>138</v>
      </c>
      <c r="L82" s="213" t="s">
        <v>139</v>
      </c>
      <c r="M82" s="213" t="s">
        <v>44</v>
      </c>
      <c r="N82" s="213" t="s">
        <v>45</v>
      </c>
      <c r="O82" s="213" t="s">
        <v>142</v>
      </c>
      <c r="P82" s="213" t="s">
        <v>43</v>
      </c>
      <c r="R82" s="213">
        <v>82</v>
      </c>
      <c r="S82" s="477">
        <v>44218</v>
      </c>
      <c r="T82" s="213" t="s">
        <v>3083</v>
      </c>
      <c r="U82" s="474">
        <v>3950109</v>
      </c>
      <c r="V82" s="407"/>
      <c r="W82" s="363"/>
      <c r="X82" s="212">
        <v>34</v>
      </c>
      <c r="Y82" s="471">
        <v>44223</v>
      </c>
      <c r="Z82" s="471">
        <v>44223</v>
      </c>
      <c r="AA82" s="471">
        <v>44268</v>
      </c>
      <c r="AB82" s="3" t="s">
        <v>2913</v>
      </c>
      <c r="AC82" s="212">
        <v>539</v>
      </c>
      <c r="AD82" s="3">
        <v>1000018614</v>
      </c>
      <c r="AE82" s="213" t="s">
        <v>3084</v>
      </c>
      <c r="AF82" s="472">
        <v>3950109</v>
      </c>
      <c r="AG82" s="473">
        <f t="shared" si="1"/>
        <v>0</v>
      </c>
      <c r="AI82" s="474">
        <v>2633406</v>
      </c>
      <c r="AJ82" s="474">
        <v>438901</v>
      </c>
      <c r="AK82" s="474">
        <v>877802</v>
      </c>
      <c r="AM82" s="213"/>
    </row>
    <row r="83" spans="1:39" hidden="1" x14ac:dyDescent="0.25">
      <c r="B83" s="476" t="s">
        <v>2946</v>
      </c>
      <c r="C83" s="213" t="s">
        <v>2909</v>
      </c>
      <c r="D83" s="213">
        <v>81</v>
      </c>
      <c r="E83" s="312">
        <v>20217000002953</v>
      </c>
      <c r="F83" s="477">
        <v>44221</v>
      </c>
      <c r="G83" s="312" t="s">
        <v>2910</v>
      </c>
      <c r="H83" s="213" t="s">
        <v>2911</v>
      </c>
      <c r="I83" s="213" t="s">
        <v>164</v>
      </c>
      <c r="J83" s="474">
        <v>6144614</v>
      </c>
      <c r="K83" s="213" t="s">
        <v>138</v>
      </c>
      <c r="L83" s="213" t="s">
        <v>139</v>
      </c>
      <c r="M83" s="213" t="s">
        <v>44</v>
      </c>
      <c r="N83" s="213" t="s">
        <v>45</v>
      </c>
      <c r="O83" s="213" t="s">
        <v>142</v>
      </c>
      <c r="P83" s="213" t="s">
        <v>43</v>
      </c>
      <c r="R83" s="213">
        <v>86</v>
      </c>
      <c r="S83" s="477">
        <v>44221</v>
      </c>
      <c r="T83" s="213" t="s">
        <v>3085</v>
      </c>
      <c r="U83" s="474">
        <v>6144614</v>
      </c>
      <c r="V83" s="407"/>
      <c r="W83" s="363"/>
      <c r="X83" s="212">
        <v>38</v>
      </c>
      <c r="Y83" s="471">
        <v>44223</v>
      </c>
      <c r="Z83" s="471">
        <v>44224</v>
      </c>
      <c r="AA83" s="471">
        <v>44282</v>
      </c>
      <c r="AB83" s="3" t="s">
        <v>2913</v>
      </c>
      <c r="AC83" s="212">
        <v>462</v>
      </c>
      <c r="AD83" s="3">
        <v>1023866928</v>
      </c>
      <c r="AE83" s="213" t="s">
        <v>3086</v>
      </c>
      <c r="AF83" s="472">
        <v>6144614</v>
      </c>
      <c r="AG83" s="473">
        <f t="shared" si="1"/>
        <v>0</v>
      </c>
      <c r="AI83" s="474">
        <v>307230</v>
      </c>
      <c r="AJ83" s="474">
        <v>3072307</v>
      </c>
      <c r="AK83" s="474">
        <v>2765077</v>
      </c>
      <c r="AM83" s="213"/>
    </row>
    <row r="84" spans="1:39" hidden="1" x14ac:dyDescent="0.25">
      <c r="A84" s="475" t="s">
        <v>2636</v>
      </c>
      <c r="B84" s="476">
        <v>34978255</v>
      </c>
      <c r="C84" s="213" t="s">
        <v>2909</v>
      </c>
      <c r="D84" s="213">
        <v>82</v>
      </c>
      <c r="E84" s="312">
        <v>20211300002983</v>
      </c>
      <c r="F84" s="477">
        <v>44221</v>
      </c>
      <c r="G84" s="312" t="s">
        <v>2910</v>
      </c>
      <c r="H84" s="213" t="s">
        <v>2911</v>
      </c>
      <c r="I84" s="213" t="s">
        <v>210</v>
      </c>
      <c r="J84" s="474">
        <v>29981361</v>
      </c>
      <c r="K84" s="213" t="s">
        <v>138</v>
      </c>
      <c r="L84" s="213" t="s">
        <v>139</v>
      </c>
      <c r="M84" s="213" t="s">
        <v>44</v>
      </c>
      <c r="N84" s="213" t="s">
        <v>45</v>
      </c>
      <c r="O84" s="213" t="s">
        <v>142</v>
      </c>
      <c r="P84" s="213" t="s">
        <v>43</v>
      </c>
      <c r="R84" s="213">
        <v>87</v>
      </c>
      <c r="S84" s="477">
        <v>44221</v>
      </c>
      <c r="T84" s="213" t="s">
        <v>3087</v>
      </c>
      <c r="U84" s="474">
        <v>29981361</v>
      </c>
      <c r="V84" s="407"/>
      <c r="W84" s="363"/>
      <c r="X84" s="309">
        <v>71</v>
      </c>
      <c r="Y84" s="471">
        <v>44230</v>
      </c>
      <c r="Z84" s="471">
        <v>44230</v>
      </c>
      <c r="AA84" s="471">
        <v>44411</v>
      </c>
      <c r="AB84" s="3" t="s">
        <v>2913</v>
      </c>
      <c r="AC84" s="212">
        <v>37</v>
      </c>
      <c r="AD84" s="3">
        <v>52951520</v>
      </c>
      <c r="AE84" s="213" t="s">
        <v>3088</v>
      </c>
      <c r="AF84" s="472">
        <v>29981358</v>
      </c>
      <c r="AG84" s="473">
        <f t="shared" si="1"/>
        <v>3</v>
      </c>
      <c r="AJ84" s="474">
        <v>4164078</v>
      </c>
      <c r="AK84" s="474">
        <v>4996893</v>
      </c>
      <c r="AL84" s="474">
        <v>4996893</v>
      </c>
      <c r="AM84" s="307">
        <v>4996893</v>
      </c>
    </row>
    <row r="85" spans="1:39" hidden="1" x14ac:dyDescent="0.25">
      <c r="B85" s="476" t="s">
        <v>2946</v>
      </c>
      <c r="C85" s="213" t="s">
        <v>2909</v>
      </c>
      <c r="D85" s="213">
        <v>83</v>
      </c>
      <c r="E85" s="312">
        <v>20217000002933</v>
      </c>
      <c r="F85" s="477">
        <v>44221</v>
      </c>
      <c r="G85" s="312" t="s">
        <v>2910</v>
      </c>
      <c r="H85" s="213" t="s">
        <v>2911</v>
      </c>
      <c r="I85" s="213" t="s">
        <v>164</v>
      </c>
      <c r="J85" s="474">
        <v>10665294</v>
      </c>
      <c r="K85" s="213" t="s">
        <v>138</v>
      </c>
      <c r="L85" s="213" t="s">
        <v>139</v>
      </c>
      <c r="M85" s="213" t="s">
        <v>44</v>
      </c>
      <c r="N85" s="213" t="s">
        <v>45</v>
      </c>
      <c r="O85" s="213" t="s">
        <v>142</v>
      </c>
      <c r="P85" s="213" t="s">
        <v>43</v>
      </c>
      <c r="R85" s="213">
        <v>85</v>
      </c>
      <c r="S85" s="477">
        <v>44221</v>
      </c>
      <c r="T85" s="213" t="s">
        <v>3089</v>
      </c>
      <c r="U85" s="474">
        <v>10665294</v>
      </c>
      <c r="V85" s="407"/>
      <c r="W85" s="363"/>
      <c r="X85" s="309">
        <v>54</v>
      </c>
      <c r="Y85" s="471">
        <v>44228</v>
      </c>
      <c r="Z85" s="471">
        <v>44228</v>
      </c>
      <c r="AA85" s="471">
        <v>44307</v>
      </c>
      <c r="AB85" s="3" t="s">
        <v>2913</v>
      </c>
      <c r="AC85" s="212">
        <v>366</v>
      </c>
      <c r="AD85" s="3">
        <v>1030555134</v>
      </c>
      <c r="AE85" s="213" t="s">
        <v>3090</v>
      </c>
      <c r="AF85" s="472">
        <v>10665294</v>
      </c>
      <c r="AG85" s="473">
        <f t="shared" si="1"/>
        <v>0</v>
      </c>
      <c r="AJ85" s="474">
        <v>3950109</v>
      </c>
      <c r="AK85" s="474">
        <v>3950109</v>
      </c>
      <c r="AL85" s="474">
        <v>2765076</v>
      </c>
      <c r="AM85" s="213"/>
    </row>
    <row r="86" spans="1:39" hidden="1" x14ac:dyDescent="0.25">
      <c r="B86" s="476" t="s">
        <v>2946</v>
      </c>
      <c r="C86" s="213" t="s">
        <v>2909</v>
      </c>
      <c r="D86" s="213">
        <v>84</v>
      </c>
      <c r="E86" s="312">
        <v>20213000002733</v>
      </c>
      <c r="F86" s="477">
        <v>44221</v>
      </c>
      <c r="G86" s="312" t="s">
        <v>2903</v>
      </c>
      <c r="H86" s="213" t="s">
        <v>2904</v>
      </c>
      <c r="I86" s="213" t="s">
        <v>432</v>
      </c>
      <c r="J86" s="474">
        <v>14000000</v>
      </c>
      <c r="K86" s="213" t="s">
        <v>358</v>
      </c>
      <c r="L86" s="213" t="s">
        <v>3054</v>
      </c>
      <c r="M86" s="213" t="s">
        <v>44</v>
      </c>
      <c r="N86" s="213" t="s">
        <v>45</v>
      </c>
      <c r="O86" s="213" t="s">
        <v>63</v>
      </c>
      <c r="P86" s="213" t="s">
        <v>678</v>
      </c>
      <c r="R86" s="213">
        <v>83</v>
      </c>
      <c r="S86" s="477">
        <v>44221</v>
      </c>
      <c r="T86" s="213" t="s">
        <v>3091</v>
      </c>
      <c r="U86" s="474">
        <v>14000000</v>
      </c>
      <c r="V86" s="407"/>
      <c r="W86" s="363"/>
      <c r="X86" s="212">
        <v>43</v>
      </c>
      <c r="Y86" s="471">
        <v>44224</v>
      </c>
      <c r="Z86" s="471">
        <v>44225</v>
      </c>
      <c r="AA86" s="471">
        <v>44283</v>
      </c>
      <c r="AB86" s="3" t="s">
        <v>2913</v>
      </c>
      <c r="AC86" s="212">
        <v>473</v>
      </c>
      <c r="AD86" s="3">
        <v>79861695</v>
      </c>
      <c r="AE86" s="213" t="s">
        <v>3092</v>
      </c>
      <c r="AF86" s="472">
        <v>14000000</v>
      </c>
      <c r="AG86" s="473">
        <f t="shared" si="1"/>
        <v>0</v>
      </c>
      <c r="AI86" s="427">
        <v>7000000</v>
      </c>
      <c r="AJ86" s="474">
        <v>7000000</v>
      </c>
      <c r="AM86" s="213"/>
    </row>
    <row r="87" spans="1:39" hidden="1" x14ac:dyDescent="0.25">
      <c r="B87" s="476" t="s">
        <v>2946</v>
      </c>
      <c r="C87" s="213" t="s">
        <v>2909</v>
      </c>
      <c r="D87" s="213">
        <v>85</v>
      </c>
      <c r="E87" s="312">
        <v>20213000002743</v>
      </c>
      <c r="F87" s="477">
        <v>44221</v>
      </c>
      <c r="G87" s="312" t="s">
        <v>2903</v>
      </c>
      <c r="H87" s="213" t="s">
        <v>2904</v>
      </c>
      <c r="I87" s="213" t="s">
        <v>432</v>
      </c>
      <c r="J87" s="474">
        <v>16000000</v>
      </c>
      <c r="K87" s="213" t="s">
        <v>358</v>
      </c>
      <c r="L87" s="213" t="s">
        <v>3054</v>
      </c>
      <c r="M87" s="213" t="s">
        <v>44</v>
      </c>
      <c r="N87" s="213" t="s">
        <v>45</v>
      </c>
      <c r="O87" s="213" t="s">
        <v>63</v>
      </c>
      <c r="P87" s="213" t="s">
        <v>678</v>
      </c>
      <c r="R87" s="213">
        <v>84</v>
      </c>
      <c r="S87" s="477">
        <v>44221</v>
      </c>
      <c r="T87" s="213" t="s">
        <v>3093</v>
      </c>
      <c r="U87" s="474">
        <v>16000000</v>
      </c>
      <c r="V87" s="407"/>
      <c r="W87" s="363"/>
      <c r="X87" s="212">
        <v>37</v>
      </c>
      <c r="Y87" s="471">
        <v>44223</v>
      </c>
      <c r="Z87" s="471">
        <v>44224</v>
      </c>
      <c r="AA87" s="471">
        <v>44282</v>
      </c>
      <c r="AB87" s="3" t="s">
        <v>2913</v>
      </c>
      <c r="AC87" s="212">
        <v>464</v>
      </c>
      <c r="AD87" s="3">
        <v>79913115</v>
      </c>
      <c r="AE87" s="213" t="s">
        <v>3094</v>
      </c>
      <c r="AF87" s="472">
        <v>16000000</v>
      </c>
      <c r="AG87" s="473">
        <f t="shared" si="1"/>
        <v>0</v>
      </c>
      <c r="AI87" s="427">
        <v>8000000</v>
      </c>
      <c r="AJ87" s="474">
        <v>8000000</v>
      </c>
      <c r="AM87" s="213"/>
    </row>
    <row r="88" spans="1:39" hidden="1" x14ac:dyDescent="0.25">
      <c r="A88" s="475" t="s">
        <v>2401</v>
      </c>
      <c r="B88" s="476">
        <v>32706000</v>
      </c>
      <c r="C88" s="213" t="s">
        <v>2909</v>
      </c>
      <c r="D88" s="213">
        <v>86</v>
      </c>
      <c r="E88" s="312">
        <v>20211400001513</v>
      </c>
      <c r="F88" s="477">
        <v>44214</v>
      </c>
      <c r="G88" s="312" t="s">
        <v>2910</v>
      </c>
      <c r="H88" s="213" t="s">
        <v>2911</v>
      </c>
      <c r="I88" s="213" t="s">
        <v>184</v>
      </c>
      <c r="J88" s="474">
        <v>32706000</v>
      </c>
      <c r="K88" s="213" t="s">
        <v>138</v>
      </c>
      <c r="L88" s="213" t="s">
        <v>2915</v>
      </c>
      <c r="M88" s="213" t="s">
        <v>44</v>
      </c>
      <c r="N88" s="213" t="s">
        <v>45</v>
      </c>
      <c r="O88" s="213" t="s">
        <v>142</v>
      </c>
      <c r="P88" s="213" t="s">
        <v>43</v>
      </c>
      <c r="R88" s="213">
        <v>63</v>
      </c>
      <c r="S88" s="477">
        <v>44214</v>
      </c>
      <c r="T88" s="213" t="s">
        <v>3095</v>
      </c>
      <c r="U88" s="474">
        <v>32706000</v>
      </c>
      <c r="V88" s="407"/>
      <c r="W88" s="363"/>
      <c r="X88" s="309">
        <v>211</v>
      </c>
      <c r="Y88" s="481">
        <v>44256</v>
      </c>
      <c r="Z88" s="481">
        <v>44256</v>
      </c>
      <c r="AA88" s="481">
        <v>44499</v>
      </c>
      <c r="AB88" s="482" t="s">
        <v>2913</v>
      </c>
      <c r="AC88" s="212">
        <v>140</v>
      </c>
      <c r="AD88" s="482" t="s">
        <v>3096</v>
      </c>
      <c r="AE88" s="483" t="s">
        <v>3097</v>
      </c>
      <c r="AF88" s="472">
        <v>32706000</v>
      </c>
      <c r="AG88" s="473">
        <f t="shared" si="1"/>
        <v>0</v>
      </c>
      <c r="AK88" s="474">
        <v>4088250</v>
      </c>
      <c r="AL88" s="474">
        <v>4088250</v>
      </c>
      <c r="AM88" s="307">
        <v>4088250</v>
      </c>
    </row>
    <row r="89" spans="1:39" hidden="1" x14ac:dyDescent="0.25">
      <c r="B89" s="476" t="s">
        <v>2946</v>
      </c>
      <c r="C89" s="213" t="s">
        <v>3098</v>
      </c>
      <c r="D89" s="213">
        <v>87</v>
      </c>
      <c r="E89" s="312">
        <v>20214000003193</v>
      </c>
      <c r="F89" s="477">
        <v>44222</v>
      </c>
      <c r="G89" s="312" t="s">
        <v>2943</v>
      </c>
      <c r="H89" s="213" t="s">
        <v>2944</v>
      </c>
      <c r="I89" s="213" t="s">
        <v>47</v>
      </c>
      <c r="J89" s="474">
        <v>497451486</v>
      </c>
      <c r="K89" s="213" t="s">
        <v>37</v>
      </c>
      <c r="L89" s="213" t="s">
        <v>2945</v>
      </c>
      <c r="M89" s="213" t="s">
        <v>44</v>
      </c>
      <c r="N89" s="213" t="s">
        <v>45</v>
      </c>
      <c r="O89" s="213" t="s">
        <v>310</v>
      </c>
      <c r="P89" s="213" t="s">
        <v>43</v>
      </c>
      <c r="R89" s="213">
        <v>90</v>
      </c>
      <c r="S89" s="477">
        <v>44222</v>
      </c>
      <c r="T89" s="213" t="s">
        <v>3099</v>
      </c>
      <c r="U89" s="486">
        <v>497451486</v>
      </c>
      <c r="V89" s="407"/>
      <c r="W89" s="363"/>
      <c r="X89" s="309">
        <v>56</v>
      </c>
      <c r="Y89" s="471">
        <v>44228</v>
      </c>
      <c r="Z89" s="471">
        <v>44228</v>
      </c>
      <c r="AA89" s="471">
        <v>44407</v>
      </c>
      <c r="AB89" s="3" t="s">
        <v>3100</v>
      </c>
      <c r="AC89" s="212">
        <v>244</v>
      </c>
      <c r="AD89" s="3">
        <v>860041968</v>
      </c>
      <c r="AE89" s="213" t="s">
        <v>3101</v>
      </c>
      <c r="AF89" s="472">
        <v>497451486</v>
      </c>
      <c r="AG89" s="473">
        <f t="shared" si="1"/>
        <v>0</v>
      </c>
      <c r="AJ89" s="474">
        <v>91879295</v>
      </c>
      <c r="AL89" s="474">
        <v>95370708</v>
      </c>
      <c r="AM89" s="213"/>
    </row>
    <row r="90" spans="1:39" hidden="1" x14ac:dyDescent="0.25">
      <c r="B90" s="476" t="s">
        <v>2946</v>
      </c>
      <c r="C90" s="213" t="s">
        <v>2909</v>
      </c>
      <c r="D90" s="213">
        <v>88</v>
      </c>
      <c r="E90" s="312">
        <v>20217000002083</v>
      </c>
      <c r="F90" s="477">
        <v>44223</v>
      </c>
      <c r="G90" s="312" t="s">
        <v>2910</v>
      </c>
      <c r="H90" s="213" t="s">
        <v>2911</v>
      </c>
      <c r="I90" s="213" t="s">
        <v>164</v>
      </c>
      <c r="J90" s="474">
        <v>6656672</v>
      </c>
      <c r="K90" s="213" t="s">
        <v>138</v>
      </c>
      <c r="L90" s="213" t="s">
        <v>139</v>
      </c>
      <c r="M90" s="213" t="s">
        <v>44</v>
      </c>
      <c r="N90" s="213" t="s">
        <v>45</v>
      </c>
      <c r="O90" s="213" t="s">
        <v>142</v>
      </c>
      <c r="P90" s="213" t="s">
        <v>43</v>
      </c>
      <c r="R90" s="213">
        <v>91</v>
      </c>
      <c r="S90" s="477">
        <v>44223</v>
      </c>
      <c r="T90" s="213" t="s">
        <v>3102</v>
      </c>
      <c r="U90" s="474">
        <v>6656672</v>
      </c>
      <c r="V90" s="407"/>
      <c r="W90" s="363"/>
      <c r="X90" s="212">
        <v>53</v>
      </c>
      <c r="Y90" s="471">
        <v>44225</v>
      </c>
      <c r="Z90" s="471">
        <v>44227</v>
      </c>
      <c r="AA90" s="471">
        <v>44290</v>
      </c>
      <c r="AB90" s="3" t="s">
        <v>2913</v>
      </c>
      <c r="AC90" s="212">
        <v>421</v>
      </c>
      <c r="AD90" s="3">
        <v>52207507</v>
      </c>
      <c r="AE90" s="213" t="s">
        <v>3103</v>
      </c>
      <c r="AF90" s="472">
        <v>6656672</v>
      </c>
      <c r="AG90" s="473">
        <f t="shared" si="1"/>
        <v>0</v>
      </c>
      <c r="AJ90" s="474">
        <v>3072310</v>
      </c>
      <c r="AK90" s="474">
        <v>3072310</v>
      </c>
      <c r="AL90" s="474">
        <v>512052</v>
      </c>
      <c r="AM90" s="213"/>
    </row>
    <row r="91" spans="1:39" hidden="1" x14ac:dyDescent="0.25">
      <c r="C91" s="213" t="s">
        <v>3104</v>
      </c>
      <c r="D91" s="213">
        <v>89</v>
      </c>
      <c r="E91" s="312">
        <v>20211400003253</v>
      </c>
      <c r="F91" s="477">
        <v>44223</v>
      </c>
      <c r="G91" s="312" t="s">
        <v>2910</v>
      </c>
      <c r="H91" s="213" t="s">
        <v>2911</v>
      </c>
      <c r="I91" s="213" t="s">
        <v>184</v>
      </c>
      <c r="J91" s="474">
        <v>27877000</v>
      </c>
      <c r="K91" s="213" t="s">
        <v>138</v>
      </c>
      <c r="L91" s="213" t="s">
        <v>2915</v>
      </c>
      <c r="M91" s="213" t="s">
        <v>3105</v>
      </c>
      <c r="N91" s="213" t="s">
        <v>157</v>
      </c>
      <c r="O91" s="213" t="s">
        <v>158</v>
      </c>
      <c r="P91" s="213" t="s">
        <v>43</v>
      </c>
      <c r="R91" s="213">
        <v>92</v>
      </c>
      <c r="S91" s="477">
        <v>44223</v>
      </c>
      <c r="T91" s="213" t="s">
        <v>188</v>
      </c>
      <c r="U91" s="474">
        <v>27877000</v>
      </c>
      <c r="V91" s="407"/>
      <c r="W91" s="363"/>
      <c r="X91" s="309">
        <v>60</v>
      </c>
      <c r="Y91" s="471">
        <v>44229</v>
      </c>
      <c r="Z91" s="471">
        <v>44229</v>
      </c>
      <c r="AA91" s="471">
        <v>44561</v>
      </c>
      <c r="AB91" s="3" t="s">
        <v>2955</v>
      </c>
      <c r="AC91" s="212">
        <v>3543</v>
      </c>
      <c r="AD91" s="3">
        <v>899999115</v>
      </c>
      <c r="AE91" s="213" t="s">
        <v>3106</v>
      </c>
      <c r="AF91" s="472">
        <v>27877000</v>
      </c>
      <c r="AG91" s="473">
        <f t="shared" si="1"/>
        <v>0</v>
      </c>
      <c r="AJ91" s="478">
        <v>2884090</v>
      </c>
      <c r="AL91" s="474">
        <v>2114184</v>
      </c>
      <c r="AM91" s="307">
        <v>4220633</v>
      </c>
    </row>
    <row r="92" spans="1:39" hidden="1" x14ac:dyDescent="0.25">
      <c r="A92" s="475" t="s">
        <v>2771</v>
      </c>
      <c r="B92" s="476">
        <v>169075413</v>
      </c>
      <c r="C92" s="213" t="s">
        <v>2909</v>
      </c>
      <c r="D92" s="213">
        <v>90</v>
      </c>
      <c r="E92" s="312">
        <v>20212000001663</v>
      </c>
      <c r="F92" s="477">
        <v>44225</v>
      </c>
      <c r="G92" s="312" t="s">
        <v>2903</v>
      </c>
      <c r="H92" s="213" t="s">
        <v>2904</v>
      </c>
      <c r="I92" s="213" t="s">
        <v>391</v>
      </c>
      <c r="J92" s="474">
        <v>155814175</v>
      </c>
      <c r="K92" s="211" t="s">
        <v>2974</v>
      </c>
      <c r="L92" s="213" t="s">
        <v>2975</v>
      </c>
      <c r="M92" s="213" t="s">
        <v>44</v>
      </c>
      <c r="N92" s="213" t="s">
        <v>45</v>
      </c>
      <c r="O92" s="213" t="s">
        <v>63</v>
      </c>
      <c r="P92" s="213" t="s">
        <v>678</v>
      </c>
      <c r="R92" s="213">
        <v>94</v>
      </c>
      <c r="S92" s="477">
        <v>44225</v>
      </c>
      <c r="T92" s="213" t="s">
        <v>3107</v>
      </c>
      <c r="U92" s="474">
        <f>155814175-7082463</f>
        <v>148731712</v>
      </c>
      <c r="V92" s="412">
        <v>7082463</v>
      </c>
      <c r="W92" s="398"/>
      <c r="X92" s="309">
        <v>106</v>
      </c>
      <c r="Y92" s="481">
        <v>44236</v>
      </c>
      <c r="Z92" s="481">
        <v>44236</v>
      </c>
      <c r="AA92" s="481">
        <v>44561</v>
      </c>
      <c r="AB92" s="482" t="s">
        <v>2913</v>
      </c>
      <c r="AC92" s="212">
        <v>53</v>
      </c>
      <c r="AD92" s="484">
        <v>79577619</v>
      </c>
      <c r="AE92" s="483" t="s">
        <v>3108</v>
      </c>
      <c r="AF92" s="472">
        <v>148731712</v>
      </c>
      <c r="AG92" s="473">
        <f t="shared" si="1"/>
        <v>0</v>
      </c>
      <c r="AJ92" s="474">
        <v>8971119</v>
      </c>
      <c r="AK92" s="474">
        <v>14164925</v>
      </c>
      <c r="AL92" s="474">
        <v>14164925</v>
      </c>
      <c r="AM92" s="307">
        <v>14164925</v>
      </c>
    </row>
    <row r="93" spans="1:39" hidden="1" x14ac:dyDescent="0.25">
      <c r="A93" s="475" t="s">
        <v>2761</v>
      </c>
      <c r="B93" s="476">
        <v>64900000</v>
      </c>
      <c r="C93" s="213" t="s">
        <v>2909</v>
      </c>
      <c r="D93" s="213">
        <v>91</v>
      </c>
      <c r="E93" s="312">
        <v>20212000001673</v>
      </c>
      <c r="F93" s="477">
        <v>44225</v>
      </c>
      <c r="G93" s="312" t="s">
        <v>2903</v>
      </c>
      <c r="H93" s="213" t="s">
        <v>2904</v>
      </c>
      <c r="I93" s="213" t="s">
        <v>391</v>
      </c>
      <c r="J93" s="474">
        <v>64900000</v>
      </c>
      <c r="K93" s="211" t="s">
        <v>2974</v>
      </c>
      <c r="L93" s="213" t="s">
        <v>2975</v>
      </c>
      <c r="M93" s="213" t="s">
        <v>44</v>
      </c>
      <c r="N93" s="213" t="s">
        <v>45</v>
      </c>
      <c r="O93" s="213" t="s">
        <v>63</v>
      </c>
      <c r="P93" s="213" t="s">
        <v>678</v>
      </c>
      <c r="R93" s="213">
        <v>95</v>
      </c>
      <c r="S93" s="477">
        <v>44225</v>
      </c>
      <c r="T93" s="213" t="s">
        <v>3109</v>
      </c>
      <c r="U93" s="474">
        <f>64900000-2950000</f>
        <v>61950000</v>
      </c>
      <c r="V93" s="412">
        <v>2950000</v>
      </c>
      <c r="W93" s="398"/>
      <c r="X93" s="309">
        <v>92</v>
      </c>
      <c r="Y93" s="481">
        <v>44235</v>
      </c>
      <c r="Z93" s="481">
        <v>44235</v>
      </c>
      <c r="AA93" s="481">
        <v>44561</v>
      </c>
      <c r="AB93" s="482" t="s">
        <v>2913</v>
      </c>
      <c r="AC93" s="212">
        <v>50</v>
      </c>
      <c r="AD93" s="484">
        <v>79940456</v>
      </c>
      <c r="AE93" s="483" t="s">
        <v>3110</v>
      </c>
      <c r="AF93" s="472">
        <v>61950000</v>
      </c>
      <c r="AG93" s="473">
        <f t="shared" si="1"/>
        <v>0</v>
      </c>
      <c r="AJ93" s="474">
        <v>4130000</v>
      </c>
      <c r="AK93" s="474">
        <v>5900000</v>
      </c>
      <c r="AL93" s="474">
        <v>5900000</v>
      </c>
      <c r="AM93" s="307">
        <v>5900000</v>
      </c>
    </row>
    <row r="94" spans="1:39" hidden="1" x14ac:dyDescent="0.25">
      <c r="A94" s="475" t="s">
        <v>2763</v>
      </c>
      <c r="B94" s="476">
        <v>134074420</v>
      </c>
      <c r="C94" s="213" t="s">
        <v>2909</v>
      </c>
      <c r="D94" s="213">
        <v>92</v>
      </c>
      <c r="E94" s="312">
        <v>20212000001693</v>
      </c>
      <c r="F94" s="477">
        <v>44225</v>
      </c>
      <c r="G94" s="312" t="s">
        <v>2903</v>
      </c>
      <c r="H94" s="213" t="s">
        <v>2904</v>
      </c>
      <c r="I94" s="213" t="s">
        <v>391</v>
      </c>
      <c r="J94" s="474">
        <v>124984629</v>
      </c>
      <c r="K94" s="211" t="s">
        <v>2974</v>
      </c>
      <c r="L94" s="213" t="s">
        <v>2975</v>
      </c>
      <c r="M94" s="213" t="s">
        <v>44</v>
      </c>
      <c r="N94" s="213" t="s">
        <v>45</v>
      </c>
      <c r="O94" s="213" t="s">
        <v>63</v>
      </c>
      <c r="P94" s="213" t="s">
        <v>678</v>
      </c>
      <c r="R94" s="213">
        <v>96</v>
      </c>
      <c r="S94" s="477">
        <v>44225</v>
      </c>
      <c r="T94" s="213" t="s">
        <v>3111</v>
      </c>
      <c r="U94" s="474">
        <f>124984629-5681120</f>
        <v>119303509</v>
      </c>
      <c r="V94" s="407">
        <v>5681120</v>
      </c>
      <c r="W94" s="363"/>
      <c r="X94" s="309">
        <v>108</v>
      </c>
      <c r="Y94" s="481">
        <v>44237</v>
      </c>
      <c r="Z94" s="481">
        <v>44237</v>
      </c>
      <c r="AA94" s="481">
        <v>44561</v>
      </c>
      <c r="AB94" s="482" t="s">
        <v>2913</v>
      </c>
      <c r="AC94" s="212">
        <v>55</v>
      </c>
      <c r="AD94" s="484">
        <v>38256092</v>
      </c>
      <c r="AE94" s="483" t="s">
        <v>3112</v>
      </c>
      <c r="AF94" s="472">
        <v>119303509</v>
      </c>
      <c r="AG94" s="473">
        <f t="shared" si="1"/>
        <v>0</v>
      </c>
      <c r="AJ94" s="474">
        <v>7196085</v>
      </c>
      <c r="AK94" s="474">
        <v>11362239</v>
      </c>
      <c r="AL94" s="474">
        <v>11362239</v>
      </c>
      <c r="AM94" s="307">
        <v>11362239</v>
      </c>
    </row>
    <row r="95" spans="1:39" hidden="1" x14ac:dyDescent="0.25">
      <c r="A95" s="475" t="s">
        <v>2772</v>
      </c>
      <c r="B95" s="476">
        <v>84838051</v>
      </c>
      <c r="C95" s="213" t="s">
        <v>2909</v>
      </c>
      <c r="D95" s="213">
        <v>93</v>
      </c>
      <c r="E95" s="312">
        <v>20212000001703</v>
      </c>
      <c r="F95" s="477">
        <v>44225</v>
      </c>
      <c r="G95" s="312" t="s">
        <v>2903</v>
      </c>
      <c r="H95" s="213" t="s">
        <v>2904</v>
      </c>
      <c r="I95" s="213" t="s">
        <v>391</v>
      </c>
      <c r="J95" s="474">
        <v>83323086</v>
      </c>
      <c r="K95" s="211" t="s">
        <v>2974</v>
      </c>
      <c r="L95" s="213" t="s">
        <v>2975</v>
      </c>
      <c r="M95" s="213" t="s">
        <v>44</v>
      </c>
      <c r="N95" s="213" t="s">
        <v>45</v>
      </c>
      <c r="O95" s="213" t="s">
        <v>63</v>
      </c>
      <c r="P95" s="213" t="s">
        <v>678</v>
      </c>
      <c r="R95" s="213">
        <v>97</v>
      </c>
      <c r="S95" s="477">
        <v>44225</v>
      </c>
      <c r="T95" s="213" t="s">
        <v>3113</v>
      </c>
      <c r="U95" s="474">
        <f>83323086-3787413</f>
        <v>79535673</v>
      </c>
      <c r="V95" s="407">
        <v>3787413</v>
      </c>
      <c r="W95" s="363"/>
      <c r="X95" s="309">
        <v>89</v>
      </c>
      <c r="Y95" s="481">
        <v>44235</v>
      </c>
      <c r="Z95" s="481">
        <v>44235</v>
      </c>
      <c r="AA95" s="481">
        <v>44561</v>
      </c>
      <c r="AB95" s="482" t="s">
        <v>2913</v>
      </c>
      <c r="AC95" s="212">
        <v>45</v>
      </c>
      <c r="AD95" s="484">
        <v>51895054</v>
      </c>
      <c r="AE95" s="483" t="s">
        <v>3114</v>
      </c>
      <c r="AF95" s="472">
        <v>79535673</v>
      </c>
      <c r="AG95" s="473">
        <f t="shared" si="1"/>
        <v>0</v>
      </c>
      <c r="AJ95" s="474">
        <v>5302378</v>
      </c>
      <c r="AK95" s="474">
        <v>7574826</v>
      </c>
      <c r="AL95" s="474">
        <v>7574826</v>
      </c>
      <c r="AM95" s="307">
        <v>7574826</v>
      </c>
    </row>
    <row r="96" spans="1:39" hidden="1" x14ac:dyDescent="0.25">
      <c r="A96" s="475" t="s">
        <v>2259</v>
      </c>
      <c r="B96" s="476">
        <v>44319000</v>
      </c>
      <c r="C96" s="213" t="s">
        <v>2909</v>
      </c>
      <c r="D96" s="213">
        <v>94</v>
      </c>
      <c r="E96" s="312">
        <v>20212000002243</v>
      </c>
      <c r="F96" s="477">
        <v>44225</v>
      </c>
      <c r="G96" s="312" t="s">
        <v>2903</v>
      </c>
      <c r="H96" s="213" t="s">
        <v>2904</v>
      </c>
      <c r="I96" s="213" t="s">
        <v>391</v>
      </c>
      <c r="J96" s="474">
        <v>44319000</v>
      </c>
      <c r="K96" s="211" t="s">
        <v>2974</v>
      </c>
      <c r="L96" s="213" t="s">
        <v>2975</v>
      </c>
      <c r="M96" s="213" t="s">
        <v>44</v>
      </c>
      <c r="N96" s="213" t="s">
        <v>45</v>
      </c>
      <c r="O96" s="213" t="s">
        <v>63</v>
      </c>
      <c r="P96" s="213" t="s">
        <v>678</v>
      </c>
      <c r="R96" s="213">
        <v>98</v>
      </c>
      <c r="S96" s="477">
        <v>44225</v>
      </c>
      <c r="T96" s="213" t="s">
        <v>3115</v>
      </c>
      <c r="U96" s="474">
        <f>44319000-2014500</f>
        <v>42304500</v>
      </c>
      <c r="V96" s="407">
        <v>2014500</v>
      </c>
      <c r="W96" s="363"/>
      <c r="X96" s="480">
        <v>127</v>
      </c>
      <c r="Y96" s="481">
        <v>44239</v>
      </c>
      <c r="Z96" s="481">
        <v>44239</v>
      </c>
      <c r="AA96" s="481">
        <v>44561</v>
      </c>
      <c r="AB96" s="482" t="s">
        <v>2913</v>
      </c>
      <c r="AC96" s="480">
        <v>74</v>
      </c>
      <c r="AD96" s="482">
        <v>1026282363</v>
      </c>
      <c r="AE96" s="483" t="s">
        <v>3116</v>
      </c>
      <c r="AF96" s="472">
        <v>42304500</v>
      </c>
      <c r="AG96" s="473">
        <f t="shared" si="1"/>
        <v>0</v>
      </c>
      <c r="AJ96" s="474">
        <v>2283100</v>
      </c>
      <c r="AK96" s="474">
        <v>4029000</v>
      </c>
      <c r="AL96" s="474">
        <v>4029000</v>
      </c>
      <c r="AM96" s="307">
        <v>4029000</v>
      </c>
    </row>
    <row r="97" spans="1:39" hidden="1" x14ac:dyDescent="0.25">
      <c r="A97" s="475" t="s">
        <v>2774</v>
      </c>
      <c r="B97" s="476">
        <v>56202000</v>
      </c>
      <c r="C97" s="213" t="s">
        <v>2909</v>
      </c>
      <c r="D97" s="213">
        <v>95</v>
      </c>
      <c r="E97" s="312">
        <v>20212000002303</v>
      </c>
      <c r="F97" s="477">
        <v>44225</v>
      </c>
      <c r="G97" s="312" t="s">
        <v>2903</v>
      </c>
      <c r="H97" s="213" t="s">
        <v>2904</v>
      </c>
      <c r="I97" s="213" t="s">
        <v>391</v>
      </c>
      <c r="J97" s="474">
        <v>34800000</v>
      </c>
      <c r="K97" s="211" t="s">
        <v>2974</v>
      </c>
      <c r="L97" s="213" t="s">
        <v>2975</v>
      </c>
      <c r="M97" s="213" t="s">
        <v>44</v>
      </c>
      <c r="N97" s="213" t="s">
        <v>45</v>
      </c>
      <c r="O97" s="213" t="s">
        <v>63</v>
      </c>
      <c r="P97" s="213" t="s">
        <v>678</v>
      </c>
      <c r="R97" s="213">
        <v>99</v>
      </c>
      <c r="S97" s="477">
        <v>44225</v>
      </c>
      <c r="T97" s="213" t="s">
        <v>3117</v>
      </c>
      <c r="U97" s="474">
        <v>34800000</v>
      </c>
      <c r="V97" s="407"/>
      <c r="W97" s="363"/>
      <c r="X97" s="309">
        <v>104</v>
      </c>
      <c r="Y97" s="481">
        <v>44236</v>
      </c>
      <c r="Z97" s="481">
        <v>44236</v>
      </c>
      <c r="AA97" s="481">
        <v>44417</v>
      </c>
      <c r="AB97" s="482" t="s">
        <v>2913</v>
      </c>
      <c r="AC97" s="212">
        <v>52</v>
      </c>
      <c r="AD97" s="484">
        <v>1014176435</v>
      </c>
      <c r="AE97" s="483" t="s">
        <v>3118</v>
      </c>
      <c r="AF97" s="472">
        <v>34800000</v>
      </c>
      <c r="AG97" s="473">
        <f t="shared" si="1"/>
        <v>0</v>
      </c>
      <c r="AJ97" s="474">
        <v>3866667</v>
      </c>
      <c r="AK97" s="474">
        <v>5800000</v>
      </c>
      <c r="AL97" s="474">
        <v>5800000</v>
      </c>
      <c r="AM97" s="307">
        <v>5800000</v>
      </c>
    </row>
    <row r="98" spans="1:39" hidden="1" x14ac:dyDescent="0.25">
      <c r="A98" s="475" t="s">
        <v>2773</v>
      </c>
      <c r="B98" s="476">
        <v>39395799</v>
      </c>
      <c r="C98" s="213" t="s">
        <v>2909</v>
      </c>
      <c r="D98" s="213">
        <v>96</v>
      </c>
      <c r="E98" s="312">
        <v>20212000002313</v>
      </c>
      <c r="F98" s="477">
        <v>44225</v>
      </c>
      <c r="G98" s="312" t="s">
        <v>2903</v>
      </c>
      <c r="H98" s="213" t="s">
        <v>2904</v>
      </c>
      <c r="I98" s="213" t="s">
        <v>391</v>
      </c>
      <c r="J98" s="474">
        <v>39395796</v>
      </c>
      <c r="K98" s="211" t="s">
        <v>2974</v>
      </c>
      <c r="L98" s="213" t="s">
        <v>2975</v>
      </c>
      <c r="M98" s="213" t="s">
        <v>44</v>
      </c>
      <c r="N98" s="213" t="s">
        <v>45</v>
      </c>
      <c r="O98" s="213" t="s">
        <v>63</v>
      </c>
      <c r="P98" s="213" t="s">
        <v>678</v>
      </c>
      <c r="R98" s="213">
        <v>100</v>
      </c>
      <c r="S98" s="477">
        <v>44225</v>
      </c>
      <c r="T98" s="213" t="s">
        <v>3119</v>
      </c>
      <c r="U98" s="474">
        <f>39395796-3581436</f>
        <v>35814360</v>
      </c>
      <c r="V98" s="412">
        <v>3581436</v>
      </c>
      <c r="W98" s="398"/>
      <c r="X98" s="480">
        <v>173</v>
      </c>
      <c r="Y98" s="481">
        <v>44246</v>
      </c>
      <c r="Z98" s="481">
        <v>44246</v>
      </c>
      <c r="AA98" s="481">
        <v>44549</v>
      </c>
      <c r="AB98" s="482" t="s">
        <v>2913</v>
      </c>
      <c r="AC98" s="480">
        <v>120</v>
      </c>
      <c r="AD98" s="482">
        <v>7176892</v>
      </c>
      <c r="AE98" s="483" t="s">
        <v>3120</v>
      </c>
      <c r="AF98" s="472">
        <v>35814360</v>
      </c>
      <c r="AG98" s="473">
        <f t="shared" si="1"/>
        <v>0</v>
      </c>
      <c r="AK98" s="474">
        <v>4417104</v>
      </c>
      <c r="AL98" s="474">
        <v>3581436</v>
      </c>
      <c r="AM98" s="307">
        <v>3581436</v>
      </c>
    </row>
    <row r="99" spans="1:39" hidden="1" x14ac:dyDescent="0.25">
      <c r="A99" s="475" t="s">
        <v>2775</v>
      </c>
      <c r="B99" s="476">
        <v>48478886</v>
      </c>
      <c r="C99" s="213" t="s">
        <v>2909</v>
      </c>
      <c r="D99" s="213">
        <v>97</v>
      </c>
      <c r="E99" s="312">
        <v>20212000002323</v>
      </c>
      <c r="F99" s="477">
        <v>44225</v>
      </c>
      <c r="G99" s="312" t="s">
        <v>2903</v>
      </c>
      <c r="H99" s="213" t="s">
        <v>2904</v>
      </c>
      <c r="I99" s="213" t="s">
        <v>391</v>
      </c>
      <c r="J99" s="474">
        <v>47613192</v>
      </c>
      <c r="K99" s="211" t="s">
        <v>2974</v>
      </c>
      <c r="L99" s="213" t="s">
        <v>2975</v>
      </c>
      <c r="M99" s="213" t="s">
        <v>44</v>
      </c>
      <c r="N99" s="213" t="s">
        <v>45</v>
      </c>
      <c r="O99" s="213" t="s">
        <v>63</v>
      </c>
      <c r="P99" s="213" t="s">
        <v>678</v>
      </c>
      <c r="R99" s="213">
        <v>101</v>
      </c>
      <c r="S99" s="477">
        <v>44225</v>
      </c>
      <c r="T99" s="213" t="s">
        <v>3121</v>
      </c>
      <c r="U99" s="474">
        <f>47613192-2164236</f>
        <v>45448956</v>
      </c>
      <c r="V99" s="412">
        <v>2164236</v>
      </c>
      <c r="W99" s="398"/>
      <c r="X99" s="480">
        <v>138</v>
      </c>
      <c r="Y99" s="481">
        <v>44243</v>
      </c>
      <c r="Z99" s="481">
        <v>44243</v>
      </c>
      <c r="AA99" s="481">
        <v>44561</v>
      </c>
      <c r="AB99" s="482" t="s">
        <v>2913</v>
      </c>
      <c r="AC99" s="480">
        <v>99</v>
      </c>
      <c r="AD99" s="482">
        <v>79841545</v>
      </c>
      <c r="AE99" s="483" t="s">
        <v>3122</v>
      </c>
      <c r="AF99" s="472">
        <v>45448956</v>
      </c>
      <c r="AG99" s="473">
        <f t="shared" si="1"/>
        <v>0</v>
      </c>
      <c r="AJ99" s="474">
        <v>1731388</v>
      </c>
      <c r="AK99" s="474">
        <v>4328472</v>
      </c>
      <c r="AL99" s="474">
        <v>4328472</v>
      </c>
      <c r="AM99" s="307">
        <v>4328472</v>
      </c>
    </row>
    <row r="100" spans="1:39" hidden="1" x14ac:dyDescent="0.25">
      <c r="A100" s="475" t="s">
        <v>2762</v>
      </c>
      <c r="B100" s="476">
        <v>80896200</v>
      </c>
      <c r="C100" s="213" t="s">
        <v>2909</v>
      </c>
      <c r="D100" s="213">
        <v>98</v>
      </c>
      <c r="E100" s="312">
        <v>20212000002333</v>
      </c>
      <c r="F100" s="477">
        <v>44225</v>
      </c>
      <c r="G100" s="312" t="s">
        <v>2903</v>
      </c>
      <c r="H100" s="213" t="s">
        <v>2904</v>
      </c>
      <c r="I100" s="213" t="s">
        <v>391</v>
      </c>
      <c r="J100" s="474">
        <v>80896200</v>
      </c>
      <c r="K100" s="211" t="s">
        <v>2974</v>
      </c>
      <c r="L100" s="213" t="s">
        <v>2975</v>
      </c>
      <c r="M100" s="213" t="s">
        <v>44</v>
      </c>
      <c r="N100" s="213" t="s">
        <v>45</v>
      </c>
      <c r="O100" s="213" t="s">
        <v>63</v>
      </c>
      <c r="P100" s="213" t="s">
        <v>678</v>
      </c>
      <c r="R100" s="213">
        <v>102</v>
      </c>
      <c r="S100" s="477">
        <v>44225</v>
      </c>
      <c r="T100" s="213" t="s">
        <v>3123</v>
      </c>
      <c r="U100" s="474">
        <f>80896200-3677100</f>
        <v>77219100</v>
      </c>
      <c r="V100" s="412">
        <v>3677100</v>
      </c>
      <c r="W100" s="398"/>
      <c r="X100" s="309">
        <v>111</v>
      </c>
      <c r="Y100" s="481">
        <v>44237</v>
      </c>
      <c r="Z100" s="481">
        <v>44237</v>
      </c>
      <c r="AA100" s="481">
        <v>44561</v>
      </c>
      <c r="AB100" s="482" t="s">
        <v>2913</v>
      </c>
      <c r="AC100" s="212">
        <v>66</v>
      </c>
      <c r="AD100" s="484">
        <v>7184760</v>
      </c>
      <c r="AE100" s="483" t="s">
        <v>3124</v>
      </c>
      <c r="AF100" s="472">
        <v>77219100</v>
      </c>
      <c r="AG100" s="473">
        <f t="shared" si="1"/>
        <v>0</v>
      </c>
      <c r="AJ100" s="474">
        <v>4657660</v>
      </c>
      <c r="AK100" s="474">
        <v>7354200</v>
      </c>
      <c r="AL100" s="474">
        <v>7354200</v>
      </c>
      <c r="AM100" s="307">
        <v>7354200</v>
      </c>
    </row>
    <row r="101" spans="1:39" hidden="1" x14ac:dyDescent="0.25">
      <c r="A101" s="475" t="s">
        <v>2764</v>
      </c>
      <c r="B101" s="476">
        <v>127689924</v>
      </c>
      <c r="C101" s="213" t="s">
        <v>2909</v>
      </c>
      <c r="D101" s="213">
        <v>99</v>
      </c>
      <c r="E101" s="312">
        <v>20212000002343</v>
      </c>
      <c r="F101" s="477">
        <v>44225</v>
      </c>
      <c r="G101" s="312" t="s">
        <v>2903</v>
      </c>
      <c r="H101" s="213" t="s">
        <v>2904</v>
      </c>
      <c r="I101" s="213" t="s">
        <v>391</v>
      </c>
      <c r="J101" s="474">
        <v>119032980</v>
      </c>
      <c r="K101" s="211" t="s">
        <v>2974</v>
      </c>
      <c r="L101" s="213" t="s">
        <v>2975</v>
      </c>
      <c r="M101" s="213" t="s">
        <v>44</v>
      </c>
      <c r="N101" s="213" t="s">
        <v>45</v>
      </c>
      <c r="O101" s="213" t="s">
        <v>63</v>
      </c>
      <c r="P101" s="213" t="s">
        <v>678</v>
      </c>
      <c r="R101" s="213">
        <v>103</v>
      </c>
      <c r="S101" s="477">
        <v>44225</v>
      </c>
      <c r="T101" s="213" t="s">
        <v>3125</v>
      </c>
      <c r="U101" s="474">
        <f>119032980-5410590</f>
        <v>113622390</v>
      </c>
      <c r="V101" s="412">
        <v>5410590</v>
      </c>
      <c r="W101" s="398"/>
      <c r="X101" s="309">
        <v>112</v>
      </c>
      <c r="Y101" s="481">
        <v>44237</v>
      </c>
      <c r="Z101" s="481">
        <v>44237</v>
      </c>
      <c r="AA101" s="481">
        <v>44561</v>
      </c>
      <c r="AB101" s="482" t="s">
        <v>2913</v>
      </c>
      <c r="AC101" s="212">
        <v>67</v>
      </c>
      <c r="AD101" s="484">
        <v>24337567</v>
      </c>
      <c r="AE101" s="483" t="s">
        <v>3126</v>
      </c>
      <c r="AF101" s="472">
        <v>113622390</v>
      </c>
      <c r="AG101" s="473">
        <f t="shared" si="1"/>
        <v>0</v>
      </c>
      <c r="AK101" s="474">
        <v>6853414</v>
      </c>
      <c r="AL101" s="474">
        <v>10821180</v>
      </c>
      <c r="AM101" s="307">
        <f>10821180+10821180</f>
        <v>21642360</v>
      </c>
    </row>
    <row r="102" spans="1:39" s="313" customFormat="1" hidden="1" x14ac:dyDescent="0.25">
      <c r="A102" s="362" t="s">
        <v>2515</v>
      </c>
      <c r="B102" s="418">
        <v>59054190</v>
      </c>
      <c r="C102" s="313" t="s">
        <v>2909</v>
      </c>
      <c r="D102" s="313">
        <v>100</v>
      </c>
      <c r="E102" s="326">
        <v>20217000003363</v>
      </c>
      <c r="F102" s="316">
        <v>44225</v>
      </c>
      <c r="G102" s="326" t="s">
        <v>2910</v>
      </c>
      <c r="H102" s="313" t="s">
        <v>2911</v>
      </c>
      <c r="I102" s="313" t="s">
        <v>164</v>
      </c>
      <c r="J102" s="406">
        <v>59054190</v>
      </c>
      <c r="K102" s="313" t="s">
        <v>138</v>
      </c>
      <c r="L102" s="313" t="s">
        <v>139</v>
      </c>
      <c r="M102" s="313" t="s">
        <v>44</v>
      </c>
      <c r="N102" s="313" t="s">
        <v>45</v>
      </c>
      <c r="O102" s="313" t="s">
        <v>142</v>
      </c>
      <c r="P102" s="313" t="s">
        <v>43</v>
      </c>
      <c r="R102" s="313">
        <v>105</v>
      </c>
      <c r="S102" s="316">
        <v>44225</v>
      </c>
      <c r="T102" s="313" t="s">
        <v>2991</v>
      </c>
      <c r="U102" s="406">
        <f>59054190-59054190</f>
        <v>0</v>
      </c>
      <c r="V102" s="407">
        <v>59054190</v>
      </c>
      <c r="W102" s="363"/>
      <c r="X102" s="315"/>
      <c r="Y102" s="359"/>
      <c r="Z102" s="359"/>
      <c r="AA102" s="359"/>
      <c r="AB102" s="318"/>
      <c r="AC102" s="317"/>
      <c r="AD102" s="318"/>
      <c r="AF102" s="411"/>
      <c r="AG102" s="319">
        <f t="shared" si="1"/>
        <v>0</v>
      </c>
      <c r="AH102" s="406"/>
      <c r="AI102" s="406"/>
      <c r="AJ102" s="406"/>
      <c r="AK102" s="406"/>
      <c r="AL102" s="406"/>
      <c r="AM102" s="213"/>
    </row>
    <row r="103" spans="1:39" hidden="1" x14ac:dyDescent="0.25">
      <c r="A103" s="475" t="s">
        <v>2656</v>
      </c>
      <c r="B103" s="476">
        <v>58145664</v>
      </c>
      <c r="C103" s="213" t="s">
        <v>2909</v>
      </c>
      <c r="D103" s="213">
        <v>101</v>
      </c>
      <c r="E103" s="312">
        <v>20217000000713</v>
      </c>
      <c r="F103" s="477">
        <v>44225</v>
      </c>
      <c r="G103" s="312" t="s">
        <v>2910</v>
      </c>
      <c r="H103" s="213" t="s">
        <v>2911</v>
      </c>
      <c r="I103" s="213" t="s">
        <v>164</v>
      </c>
      <c r="J103" s="474">
        <v>58145664</v>
      </c>
      <c r="K103" s="213" t="s">
        <v>138</v>
      </c>
      <c r="L103" s="213" t="s">
        <v>139</v>
      </c>
      <c r="M103" s="213" t="s">
        <v>44</v>
      </c>
      <c r="N103" s="213" t="s">
        <v>45</v>
      </c>
      <c r="O103" s="213" t="s">
        <v>142</v>
      </c>
      <c r="P103" s="213" t="s">
        <v>43</v>
      </c>
      <c r="R103" s="213">
        <v>93</v>
      </c>
      <c r="S103" s="477">
        <v>44225</v>
      </c>
      <c r="T103" s="213" t="s">
        <v>3127</v>
      </c>
      <c r="U103" s="474">
        <v>58145664</v>
      </c>
      <c r="V103" s="407"/>
      <c r="W103" s="363"/>
      <c r="X103" s="309">
        <v>67</v>
      </c>
      <c r="Y103" s="481">
        <v>44230</v>
      </c>
      <c r="Z103" s="471">
        <v>44230</v>
      </c>
      <c r="AA103" s="471">
        <v>44472</v>
      </c>
      <c r="AB103" s="3" t="s">
        <v>2913</v>
      </c>
      <c r="AC103" s="212">
        <v>31</v>
      </c>
      <c r="AD103" s="3">
        <v>51782375</v>
      </c>
      <c r="AE103" s="213" t="s">
        <v>3128</v>
      </c>
      <c r="AF103" s="472">
        <v>58145664</v>
      </c>
      <c r="AG103" s="473">
        <f t="shared" si="1"/>
        <v>0</v>
      </c>
      <c r="AJ103" s="474">
        <v>6299114</v>
      </c>
      <c r="AK103" s="474">
        <v>7268208</v>
      </c>
      <c r="AL103" s="474">
        <v>7268208</v>
      </c>
      <c r="AM103" s="307">
        <v>7268208</v>
      </c>
    </row>
    <row r="104" spans="1:39" hidden="1" x14ac:dyDescent="0.25">
      <c r="A104" s="475" t="s">
        <v>2516</v>
      </c>
      <c r="B104" s="476">
        <v>32979493</v>
      </c>
      <c r="C104" s="213" t="s">
        <v>2909</v>
      </c>
      <c r="D104" s="213">
        <v>102</v>
      </c>
      <c r="E104" s="312">
        <v>20217000003313</v>
      </c>
      <c r="F104" s="477">
        <v>44225</v>
      </c>
      <c r="G104" s="312" t="s">
        <v>2910</v>
      </c>
      <c r="H104" s="213" t="s">
        <v>2911</v>
      </c>
      <c r="I104" s="213" t="s">
        <v>164</v>
      </c>
      <c r="J104" s="474">
        <v>19079046</v>
      </c>
      <c r="K104" s="213" t="s">
        <v>138</v>
      </c>
      <c r="L104" s="213" t="s">
        <v>139</v>
      </c>
      <c r="M104" s="213" t="s">
        <v>44</v>
      </c>
      <c r="N104" s="213" t="s">
        <v>45</v>
      </c>
      <c r="O104" s="213" t="s">
        <v>142</v>
      </c>
      <c r="P104" s="213" t="s">
        <v>43</v>
      </c>
      <c r="R104" s="213">
        <v>104</v>
      </c>
      <c r="S104" s="477">
        <v>44225</v>
      </c>
      <c r="T104" s="213" t="s">
        <v>3129</v>
      </c>
      <c r="U104" s="474">
        <v>19079046</v>
      </c>
      <c r="V104" s="407"/>
      <c r="W104" s="363"/>
      <c r="X104" s="309">
        <v>59</v>
      </c>
      <c r="Y104" s="481">
        <v>44229</v>
      </c>
      <c r="Z104" s="471">
        <v>44229</v>
      </c>
      <c r="AA104" s="471">
        <v>44410</v>
      </c>
      <c r="AB104" s="3" t="s">
        <v>2913</v>
      </c>
      <c r="AC104" s="212">
        <v>23</v>
      </c>
      <c r="AD104" s="3">
        <v>79987799</v>
      </c>
      <c r="AE104" s="213" t="s">
        <v>3130</v>
      </c>
      <c r="AF104" s="472">
        <v>19079046</v>
      </c>
      <c r="AG104" s="473">
        <f t="shared" si="1"/>
        <v>0</v>
      </c>
      <c r="AJ104" s="474">
        <v>2861857</v>
      </c>
      <c r="AK104" s="474">
        <v>3179841</v>
      </c>
      <c r="AL104" s="474">
        <v>3179841</v>
      </c>
      <c r="AM104" s="307">
        <v>3179841</v>
      </c>
    </row>
    <row r="105" spans="1:39" hidden="1" x14ac:dyDescent="0.25">
      <c r="A105" s="475" t="s">
        <v>2519</v>
      </c>
      <c r="B105" s="476">
        <v>29972448</v>
      </c>
      <c r="C105" s="213" t="s">
        <v>2909</v>
      </c>
      <c r="D105" s="213">
        <v>103</v>
      </c>
      <c r="E105" s="312">
        <v>20217000003793</v>
      </c>
      <c r="F105" s="477">
        <v>44225</v>
      </c>
      <c r="G105" s="312" t="s">
        <v>2910</v>
      </c>
      <c r="H105" s="213" t="s">
        <v>2911</v>
      </c>
      <c r="I105" s="213" t="s">
        <v>164</v>
      </c>
      <c r="J105" s="474">
        <v>16400000</v>
      </c>
      <c r="K105" s="213" t="s">
        <v>138</v>
      </c>
      <c r="L105" s="213" t="s">
        <v>139</v>
      </c>
      <c r="M105" s="213" t="s">
        <v>44</v>
      </c>
      <c r="N105" s="213" t="s">
        <v>45</v>
      </c>
      <c r="O105" s="213" t="s">
        <v>142</v>
      </c>
      <c r="P105" s="213" t="s">
        <v>43</v>
      </c>
      <c r="R105" s="213">
        <v>106</v>
      </c>
      <c r="S105" s="477">
        <v>44225</v>
      </c>
      <c r="T105" s="213" t="s">
        <v>3131</v>
      </c>
      <c r="U105" s="474">
        <v>16400000</v>
      </c>
      <c r="V105" s="407"/>
      <c r="W105" s="363"/>
      <c r="X105" s="309">
        <v>90</v>
      </c>
      <c r="Y105" s="481">
        <v>44235</v>
      </c>
      <c r="Z105" s="481">
        <v>44235</v>
      </c>
      <c r="AA105" s="481">
        <v>44416</v>
      </c>
      <c r="AB105" s="482" t="s">
        <v>2913</v>
      </c>
      <c r="AC105" s="212">
        <v>44</v>
      </c>
      <c r="AD105" s="484">
        <v>17638268</v>
      </c>
      <c r="AE105" s="483" t="s">
        <v>3132</v>
      </c>
      <c r="AF105" s="472">
        <v>16348608</v>
      </c>
      <c r="AG105" s="473">
        <f t="shared" si="1"/>
        <v>51392</v>
      </c>
      <c r="AJ105" s="474">
        <v>1907338</v>
      </c>
      <c r="AK105" s="474">
        <v>2724768</v>
      </c>
      <c r="AL105" s="474">
        <v>2724768</v>
      </c>
      <c r="AM105" s="307">
        <v>2724768</v>
      </c>
    </row>
    <row r="106" spans="1:39" hidden="1" x14ac:dyDescent="0.25">
      <c r="A106" s="475" t="s">
        <v>3133</v>
      </c>
      <c r="B106" s="476">
        <v>33900000</v>
      </c>
      <c r="C106" s="213" t="s">
        <v>2909</v>
      </c>
      <c r="D106" s="213">
        <v>104</v>
      </c>
      <c r="E106" s="312">
        <v>20214000002353</v>
      </c>
      <c r="F106" s="477">
        <v>44225</v>
      </c>
      <c r="G106" s="312" t="s">
        <v>2943</v>
      </c>
      <c r="H106" s="213" t="s">
        <v>2944</v>
      </c>
      <c r="I106" s="213" t="s">
        <v>47</v>
      </c>
      <c r="J106" s="474">
        <v>27000000</v>
      </c>
      <c r="K106" s="213" t="s">
        <v>37</v>
      </c>
      <c r="L106" s="213" t="s">
        <v>2945</v>
      </c>
      <c r="M106" s="213" t="s">
        <v>44</v>
      </c>
      <c r="N106" s="213" t="s">
        <v>45</v>
      </c>
      <c r="O106" s="213" t="s">
        <v>310</v>
      </c>
      <c r="P106" s="213" t="s">
        <v>43</v>
      </c>
      <c r="R106" s="213">
        <v>107</v>
      </c>
      <c r="S106" s="477">
        <v>44225</v>
      </c>
      <c r="T106" s="213" t="s">
        <v>3134</v>
      </c>
      <c r="U106" s="474">
        <v>27000000</v>
      </c>
      <c r="V106" s="407"/>
      <c r="W106" s="363"/>
      <c r="X106" s="309">
        <v>58</v>
      </c>
      <c r="Y106" s="481">
        <v>44229</v>
      </c>
      <c r="Z106" s="471">
        <v>44229</v>
      </c>
      <c r="AA106" s="471">
        <v>44502</v>
      </c>
      <c r="AB106" s="3" t="s">
        <v>2913</v>
      </c>
      <c r="AC106" s="212">
        <v>26</v>
      </c>
      <c r="AD106" s="3">
        <v>1000855091</v>
      </c>
      <c r="AE106" s="213" t="s">
        <v>3135</v>
      </c>
      <c r="AF106" s="472">
        <v>27000000</v>
      </c>
      <c r="AG106" s="473">
        <f t="shared" si="1"/>
        <v>0</v>
      </c>
      <c r="AJ106" s="474">
        <v>2600000</v>
      </c>
      <c r="AK106" s="474">
        <v>3000000</v>
      </c>
      <c r="AL106" s="474">
        <v>3000000</v>
      </c>
      <c r="AM106" s="307">
        <v>3000000</v>
      </c>
    </row>
    <row r="107" spans="1:39" hidden="1" x14ac:dyDescent="0.25">
      <c r="A107" s="475" t="s">
        <v>2749</v>
      </c>
      <c r="B107" s="476">
        <v>12000000</v>
      </c>
      <c r="C107" s="213" t="s">
        <v>2909</v>
      </c>
      <c r="D107" s="213">
        <v>105</v>
      </c>
      <c r="E107" s="312">
        <v>20214000003753</v>
      </c>
      <c r="F107" s="477">
        <v>44225</v>
      </c>
      <c r="G107" s="312" t="s">
        <v>2943</v>
      </c>
      <c r="H107" s="213" t="s">
        <v>2944</v>
      </c>
      <c r="I107" s="213" t="s">
        <v>47</v>
      </c>
      <c r="J107" s="474">
        <v>12000000</v>
      </c>
      <c r="K107" s="213" t="s">
        <v>37</v>
      </c>
      <c r="L107" s="213" t="s">
        <v>2945</v>
      </c>
      <c r="M107" s="213" t="s">
        <v>44</v>
      </c>
      <c r="N107" s="213" t="s">
        <v>45</v>
      </c>
      <c r="O107" s="213" t="s">
        <v>310</v>
      </c>
      <c r="P107" s="213" t="s">
        <v>43</v>
      </c>
      <c r="R107" s="213">
        <v>108</v>
      </c>
      <c r="S107" s="477">
        <v>44225</v>
      </c>
      <c r="T107" s="213" t="s">
        <v>3136</v>
      </c>
      <c r="U107" s="474">
        <v>12000000</v>
      </c>
      <c r="V107" s="407"/>
      <c r="W107" s="363"/>
      <c r="X107" s="480">
        <v>158</v>
      </c>
      <c r="Y107" s="481">
        <v>44245</v>
      </c>
      <c r="Z107" s="481">
        <v>44245</v>
      </c>
      <c r="AA107" s="481">
        <v>44365</v>
      </c>
      <c r="AB107" s="482" t="s">
        <v>2913</v>
      </c>
      <c r="AC107" s="480">
        <v>106</v>
      </c>
      <c r="AD107" s="482">
        <v>4165926</v>
      </c>
      <c r="AE107" s="483" t="s">
        <v>3137</v>
      </c>
      <c r="AF107" s="472">
        <v>12000000</v>
      </c>
      <c r="AG107" s="473">
        <f t="shared" si="1"/>
        <v>0</v>
      </c>
      <c r="AJ107" s="474">
        <v>1100000</v>
      </c>
      <c r="AM107" s="213"/>
    </row>
    <row r="108" spans="1:39" hidden="1" x14ac:dyDescent="0.25">
      <c r="A108" s="475" t="s">
        <v>2653</v>
      </c>
      <c r="B108" s="476">
        <v>56000000</v>
      </c>
      <c r="C108" s="213" t="s">
        <v>2909</v>
      </c>
      <c r="D108" s="213">
        <v>106</v>
      </c>
      <c r="E108" s="312">
        <v>20213000003803</v>
      </c>
      <c r="F108" s="477">
        <v>44225</v>
      </c>
      <c r="G108" s="312" t="s">
        <v>2903</v>
      </c>
      <c r="H108" s="213" t="s">
        <v>2904</v>
      </c>
      <c r="I108" s="213" t="s">
        <v>432</v>
      </c>
      <c r="J108" s="474">
        <v>56000000</v>
      </c>
      <c r="K108" s="213" t="s">
        <v>358</v>
      </c>
      <c r="L108" s="213" t="s">
        <v>3054</v>
      </c>
      <c r="M108" s="213" t="s">
        <v>44</v>
      </c>
      <c r="N108" s="213" t="s">
        <v>45</v>
      </c>
      <c r="O108" s="213" t="s">
        <v>63</v>
      </c>
      <c r="P108" s="213" t="s">
        <v>678</v>
      </c>
      <c r="R108" s="213">
        <v>109</v>
      </c>
      <c r="S108" s="477">
        <v>44225</v>
      </c>
      <c r="T108" s="213" t="s">
        <v>3138</v>
      </c>
      <c r="U108" s="474">
        <v>56000000</v>
      </c>
      <c r="V108" s="407"/>
      <c r="W108" s="363"/>
      <c r="X108" s="480">
        <v>143</v>
      </c>
      <c r="Y108" s="481">
        <v>44243</v>
      </c>
      <c r="Z108" s="481">
        <v>44243</v>
      </c>
      <c r="AA108" s="481">
        <v>44485</v>
      </c>
      <c r="AB108" s="482" t="s">
        <v>2913</v>
      </c>
      <c r="AC108" s="480">
        <v>88</v>
      </c>
      <c r="AD108" s="482">
        <v>1118534346</v>
      </c>
      <c r="AE108" s="483" t="s">
        <v>3139</v>
      </c>
      <c r="AF108" s="472">
        <v>56000000</v>
      </c>
      <c r="AG108" s="473">
        <f t="shared" si="1"/>
        <v>0</v>
      </c>
      <c r="AK108" s="474">
        <v>9800000</v>
      </c>
      <c r="AL108" s="474">
        <v>7000000</v>
      </c>
      <c r="AM108" s="307">
        <v>7000000</v>
      </c>
    </row>
    <row r="109" spans="1:39" hidden="1" x14ac:dyDescent="0.25">
      <c r="A109" s="475" t="s">
        <v>2372</v>
      </c>
      <c r="B109" s="476">
        <v>18568000</v>
      </c>
      <c r="C109" s="213" t="s">
        <v>2909</v>
      </c>
      <c r="D109" s="213">
        <v>107</v>
      </c>
      <c r="E109" s="312">
        <v>20213000003823</v>
      </c>
      <c r="F109" s="477">
        <v>44225</v>
      </c>
      <c r="G109" s="312" t="s">
        <v>2903</v>
      </c>
      <c r="H109" s="213" t="s">
        <v>2904</v>
      </c>
      <c r="I109" s="213" t="s">
        <v>432</v>
      </c>
      <c r="J109" s="474">
        <v>18170520</v>
      </c>
      <c r="K109" s="213" t="s">
        <v>358</v>
      </c>
      <c r="L109" s="213" t="s">
        <v>3054</v>
      </c>
      <c r="M109" s="213" t="s">
        <v>44</v>
      </c>
      <c r="N109" s="213" t="s">
        <v>45</v>
      </c>
      <c r="O109" s="213" t="s">
        <v>63</v>
      </c>
      <c r="P109" s="213" t="s">
        <v>678</v>
      </c>
      <c r="R109" s="213">
        <v>110</v>
      </c>
      <c r="S109" s="477">
        <v>44225</v>
      </c>
      <c r="T109" s="213" t="s">
        <v>3140</v>
      </c>
      <c r="U109" s="474">
        <v>18170520</v>
      </c>
      <c r="V109" s="407"/>
      <c r="W109" s="363"/>
      <c r="X109" s="309">
        <v>110</v>
      </c>
      <c r="Y109" s="481">
        <v>44237</v>
      </c>
      <c r="Z109" s="481">
        <v>44237</v>
      </c>
      <c r="AA109" s="481">
        <v>44479</v>
      </c>
      <c r="AB109" s="482" t="s">
        <v>2913</v>
      </c>
      <c r="AC109" s="212">
        <v>68</v>
      </c>
      <c r="AD109" s="484">
        <v>1024490172</v>
      </c>
      <c r="AE109" s="483" t="s">
        <v>3141</v>
      </c>
      <c r="AF109" s="472">
        <v>18170520</v>
      </c>
      <c r="AG109" s="473">
        <f t="shared" si="1"/>
        <v>0</v>
      </c>
      <c r="AJ109" s="474">
        <v>1362789</v>
      </c>
      <c r="AK109" s="474">
        <v>2271315</v>
      </c>
      <c r="AL109" s="474">
        <v>2271315</v>
      </c>
      <c r="AM109" s="307">
        <v>2271315</v>
      </c>
    </row>
    <row r="110" spans="1:39" hidden="1" x14ac:dyDescent="0.25">
      <c r="A110" s="475" t="s">
        <v>2413</v>
      </c>
      <c r="B110" s="476">
        <v>46400000</v>
      </c>
      <c r="C110" s="213" t="s">
        <v>2909</v>
      </c>
      <c r="D110" s="213">
        <v>108</v>
      </c>
      <c r="E110" s="312">
        <v>20213000003843</v>
      </c>
      <c r="F110" s="477">
        <v>44225</v>
      </c>
      <c r="G110" s="312" t="s">
        <v>2903</v>
      </c>
      <c r="H110" s="213" t="s">
        <v>2904</v>
      </c>
      <c r="I110" s="213" t="s">
        <v>432</v>
      </c>
      <c r="J110" s="474">
        <v>46400000</v>
      </c>
      <c r="K110" s="213" t="s">
        <v>358</v>
      </c>
      <c r="L110" s="213" t="s">
        <v>3054</v>
      </c>
      <c r="M110" s="213" t="s">
        <v>44</v>
      </c>
      <c r="N110" s="213" t="s">
        <v>45</v>
      </c>
      <c r="O110" s="213" t="s">
        <v>63</v>
      </c>
      <c r="P110" s="213" t="s">
        <v>678</v>
      </c>
      <c r="R110" s="213">
        <v>111</v>
      </c>
      <c r="S110" s="477">
        <v>44225</v>
      </c>
      <c r="T110" s="213" t="s">
        <v>3142</v>
      </c>
      <c r="U110" s="474">
        <v>46400000</v>
      </c>
      <c r="V110" s="407"/>
      <c r="W110" s="363"/>
      <c r="X110" s="309">
        <v>80</v>
      </c>
      <c r="Y110" s="481">
        <v>44232</v>
      </c>
      <c r="Z110" s="481">
        <v>44232</v>
      </c>
      <c r="AA110" s="481">
        <v>44474</v>
      </c>
      <c r="AB110" s="482" t="s">
        <v>2913</v>
      </c>
      <c r="AC110" s="212">
        <v>38</v>
      </c>
      <c r="AD110" s="484">
        <v>52235999</v>
      </c>
      <c r="AE110" s="483" t="s">
        <v>3143</v>
      </c>
      <c r="AF110" s="472">
        <v>46400000</v>
      </c>
      <c r="AG110" s="473">
        <f t="shared" si="1"/>
        <v>0</v>
      </c>
      <c r="AJ110" s="474">
        <v>3866667</v>
      </c>
      <c r="AK110" s="474">
        <v>5800000</v>
      </c>
      <c r="AL110" s="474">
        <v>5800000</v>
      </c>
      <c r="AM110" s="307">
        <v>5800000</v>
      </c>
    </row>
    <row r="111" spans="1:39" hidden="1" x14ac:dyDescent="0.25">
      <c r="A111" s="475" t="s">
        <v>2371</v>
      </c>
      <c r="B111" s="476">
        <v>68000000</v>
      </c>
      <c r="C111" s="213" t="s">
        <v>2909</v>
      </c>
      <c r="D111" s="213">
        <v>109</v>
      </c>
      <c r="E111" s="312">
        <v>20213000003863</v>
      </c>
      <c r="F111" s="477">
        <v>44225</v>
      </c>
      <c r="G111" s="312" t="s">
        <v>2903</v>
      </c>
      <c r="H111" s="213" t="s">
        <v>2904</v>
      </c>
      <c r="I111" s="213" t="s">
        <v>432</v>
      </c>
      <c r="J111" s="474">
        <v>68000000</v>
      </c>
      <c r="K111" s="213" t="s">
        <v>358</v>
      </c>
      <c r="L111" s="213" t="s">
        <v>3054</v>
      </c>
      <c r="M111" s="213" t="s">
        <v>44</v>
      </c>
      <c r="N111" s="213" t="s">
        <v>45</v>
      </c>
      <c r="O111" s="213" t="s">
        <v>63</v>
      </c>
      <c r="P111" s="213" t="s">
        <v>678</v>
      </c>
      <c r="R111" s="213">
        <v>112</v>
      </c>
      <c r="S111" s="477">
        <v>44225</v>
      </c>
      <c r="T111" s="213" t="s">
        <v>3144</v>
      </c>
      <c r="U111" s="474">
        <v>68000000</v>
      </c>
      <c r="V111" s="407"/>
      <c r="W111" s="363"/>
      <c r="X111" s="309">
        <v>70</v>
      </c>
      <c r="Y111" s="471">
        <v>44230</v>
      </c>
      <c r="Z111" s="471">
        <v>44230</v>
      </c>
      <c r="AA111" s="471">
        <v>44472</v>
      </c>
      <c r="AB111" s="3" t="s">
        <v>2913</v>
      </c>
      <c r="AC111" s="212">
        <v>33</v>
      </c>
      <c r="AD111" s="3">
        <v>51938975</v>
      </c>
      <c r="AE111" s="213" t="s">
        <v>3145</v>
      </c>
      <c r="AF111" s="472">
        <v>68000000</v>
      </c>
      <c r="AG111" s="473">
        <f t="shared" si="1"/>
        <v>0</v>
      </c>
      <c r="AJ111" s="474">
        <v>7366667</v>
      </c>
      <c r="AK111" s="474">
        <v>8500000</v>
      </c>
      <c r="AL111" s="474">
        <v>8500000</v>
      </c>
      <c r="AM111" s="307">
        <v>8500000</v>
      </c>
    </row>
    <row r="112" spans="1:39" hidden="1" x14ac:dyDescent="0.25">
      <c r="A112" s="475" t="s">
        <v>3146</v>
      </c>
      <c r="B112" s="476">
        <v>64000000</v>
      </c>
      <c r="C112" s="213" t="s">
        <v>2909</v>
      </c>
      <c r="D112" s="213">
        <v>110</v>
      </c>
      <c r="E112" s="312">
        <v>20213000003873</v>
      </c>
      <c r="F112" s="477">
        <v>44225</v>
      </c>
      <c r="G112" s="312" t="s">
        <v>2903</v>
      </c>
      <c r="H112" s="213" t="s">
        <v>2904</v>
      </c>
      <c r="I112" s="213" t="s">
        <v>432</v>
      </c>
      <c r="J112" s="474">
        <v>64000000</v>
      </c>
      <c r="K112" s="213" t="s">
        <v>358</v>
      </c>
      <c r="L112" s="213" t="s">
        <v>3054</v>
      </c>
      <c r="M112" s="213" t="s">
        <v>44</v>
      </c>
      <c r="N112" s="213" t="s">
        <v>45</v>
      </c>
      <c r="O112" s="213" t="s">
        <v>63</v>
      </c>
      <c r="P112" s="213" t="s">
        <v>678</v>
      </c>
      <c r="R112" s="213">
        <v>113</v>
      </c>
      <c r="S112" s="477">
        <v>44225</v>
      </c>
      <c r="T112" s="213" t="s">
        <v>3147</v>
      </c>
      <c r="U112" s="474">
        <v>64000000</v>
      </c>
      <c r="V112" s="407"/>
      <c r="W112" s="363"/>
      <c r="X112" s="309">
        <v>105</v>
      </c>
      <c r="Y112" s="481">
        <v>44236</v>
      </c>
      <c r="Z112" s="481">
        <v>44236</v>
      </c>
      <c r="AA112" s="481">
        <v>44478</v>
      </c>
      <c r="AB112" s="482" t="s">
        <v>2913</v>
      </c>
      <c r="AC112" s="212">
        <v>58</v>
      </c>
      <c r="AD112" s="484">
        <v>14396115</v>
      </c>
      <c r="AE112" s="483" t="s">
        <v>3148</v>
      </c>
      <c r="AF112" s="472">
        <v>64000000</v>
      </c>
      <c r="AG112" s="473">
        <f t="shared" si="1"/>
        <v>0</v>
      </c>
      <c r="AJ112" s="474">
        <v>5066667</v>
      </c>
      <c r="AK112" s="474">
        <v>8000000</v>
      </c>
      <c r="AL112" s="474">
        <v>8000000</v>
      </c>
      <c r="AM112" s="307">
        <v>8000000</v>
      </c>
    </row>
    <row r="113" spans="1:39" ht="15" hidden="1" customHeight="1" x14ac:dyDescent="0.25">
      <c r="A113" s="475" t="s">
        <v>2411</v>
      </c>
      <c r="B113" s="476">
        <v>84000000</v>
      </c>
      <c r="C113" s="213" t="s">
        <v>2909</v>
      </c>
      <c r="D113" s="213">
        <v>111</v>
      </c>
      <c r="E113" s="312">
        <v>20213000003893</v>
      </c>
      <c r="F113" s="477">
        <v>44225</v>
      </c>
      <c r="G113" s="312" t="s">
        <v>2903</v>
      </c>
      <c r="H113" s="213" t="s">
        <v>2904</v>
      </c>
      <c r="I113" s="213" t="s">
        <v>432</v>
      </c>
      <c r="J113" s="474">
        <v>84000000</v>
      </c>
      <c r="K113" s="213" t="s">
        <v>358</v>
      </c>
      <c r="L113" s="213" t="s">
        <v>3054</v>
      </c>
      <c r="M113" s="213" t="s">
        <v>44</v>
      </c>
      <c r="N113" s="213" t="s">
        <v>45</v>
      </c>
      <c r="O113" s="213" t="s">
        <v>63</v>
      </c>
      <c r="P113" s="213" t="s">
        <v>678</v>
      </c>
      <c r="R113" s="213">
        <v>114</v>
      </c>
      <c r="S113" s="477">
        <v>44225</v>
      </c>
      <c r="T113" s="213" t="s">
        <v>3149</v>
      </c>
      <c r="U113" s="474">
        <v>84000000</v>
      </c>
      <c r="V113" s="407"/>
      <c r="W113" s="363"/>
      <c r="X113" s="480">
        <v>137</v>
      </c>
      <c r="Y113" s="481">
        <v>44243</v>
      </c>
      <c r="Z113" s="481">
        <v>44243</v>
      </c>
      <c r="AA113" s="481">
        <v>44485</v>
      </c>
      <c r="AB113" s="482" t="s">
        <v>2913</v>
      </c>
      <c r="AC113" s="480">
        <v>93</v>
      </c>
      <c r="AD113" s="482">
        <v>79353181</v>
      </c>
      <c r="AE113" s="483" t="s">
        <v>3150</v>
      </c>
      <c r="AF113" s="472">
        <v>84000000</v>
      </c>
      <c r="AG113" s="473">
        <f t="shared" si="1"/>
        <v>0</v>
      </c>
      <c r="AM113" s="213"/>
    </row>
    <row r="114" spans="1:39" ht="15" hidden="1" customHeight="1" x14ac:dyDescent="0.25">
      <c r="A114" s="475" t="s">
        <v>2655</v>
      </c>
      <c r="B114" s="476">
        <v>42000000</v>
      </c>
      <c r="C114" s="213" t="s">
        <v>2909</v>
      </c>
      <c r="D114" s="213">
        <v>112</v>
      </c>
      <c r="E114" s="312">
        <v>20213000003913</v>
      </c>
      <c r="F114" s="477">
        <v>44225</v>
      </c>
      <c r="G114" s="312" t="s">
        <v>2903</v>
      </c>
      <c r="H114" s="213" t="s">
        <v>2904</v>
      </c>
      <c r="I114" s="213" t="s">
        <v>432</v>
      </c>
      <c r="J114" s="474">
        <v>42000000</v>
      </c>
      <c r="K114" s="213" t="s">
        <v>358</v>
      </c>
      <c r="L114" s="213" t="s">
        <v>3054</v>
      </c>
      <c r="M114" s="213" t="s">
        <v>44</v>
      </c>
      <c r="N114" s="213" t="s">
        <v>45</v>
      </c>
      <c r="O114" s="213" t="s">
        <v>63</v>
      </c>
      <c r="P114" s="213" t="s">
        <v>678</v>
      </c>
      <c r="R114" s="213">
        <v>115</v>
      </c>
      <c r="S114" s="477">
        <v>44225</v>
      </c>
      <c r="T114" s="213" t="s">
        <v>3151</v>
      </c>
      <c r="U114" s="474">
        <v>42000000</v>
      </c>
      <c r="V114" s="407"/>
      <c r="W114" s="363"/>
      <c r="X114" s="480">
        <v>163</v>
      </c>
      <c r="Y114" s="481">
        <v>44246</v>
      </c>
      <c r="Z114" s="481">
        <v>44246</v>
      </c>
      <c r="AA114" s="481">
        <v>44427</v>
      </c>
      <c r="AB114" s="482" t="s">
        <v>2913</v>
      </c>
      <c r="AC114" s="480">
        <v>103</v>
      </c>
      <c r="AD114" s="482">
        <v>20880710</v>
      </c>
      <c r="AE114" s="483" t="s">
        <v>3152</v>
      </c>
      <c r="AF114" s="472">
        <v>42000000</v>
      </c>
      <c r="AG114" s="473">
        <f t="shared" si="1"/>
        <v>0</v>
      </c>
      <c r="AJ114" s="474">
        <v>2333333</v>
      </c>
      <c r="AK114" s="474">
        <v>7000000</v>
      </c>
      <c r="AL114" s="474">
        <v>7000000</v>
      </c>
      <c r="AM114" s="307">
        <v>7000000</v>
      </c>
    </row>
    <row r="115" spans="1:39" ht="15" hidden="1" customHeight="1" x14ac:dyDescent="0.25">
      <c r="A115" s="475" t="s">
        <v>2722</v>
      </c>
      <c r="B115" s="476">
        <v>13926000</v>
      </c>
      <c r="C115" s="213" t="s">
        <v>2909</v>
      </c>
      <c r="D115" s="213">
        <v>113</v>
      </c>
      <c r="E115" s="312">
        <v>20213000003923</v>
      </c>
      <c r="F115" s="477">
        <v>44225</v>
      </c>
      <c r="G115" s="312" t="s">
        <v>2903</v>
      </c>
      <c r="H115" s="213" t="s">
        <v>2904</v>
      </c>
      <c r="I115" s="213" t="s">
        <v>432</v>
      </c>
      <c r="J115" s="474">
        <v>13926000</v>
      </c>
      <c r="K115" s="213" t="s">
        <v>358</v>
      </c>
      <c r="L115" s="213" t="s">
        <v>3054</v>
      </c>
      <c r="M115" s="213" t="s">
        <v>44</v>
      </c>
      <c r="N115" s="213" t="s">
        <v>45</v>
      </c>
      <c r="O115" s="213" t="s">
        <v>63</v>
      </c>
      <c r="P115" s="213" t="s">
        <v>678</v>
      </c>
      <c r="R115" s="213">
        <v>116</v>
      </c>
      <c r="S115" s="477">
        <v>44225</v>
      </c>
      <c r="T115" s="213" t="s">
        <v>3153</v>
      </c>
      <c r="U115" s="474">
        <v>13926000</v>
      </c>
      <c r="V115" s="407"/>
      <c r="W115" s="363"/>
      <c r="X115" s="480" t="s">
        <v>3154</v>
      </c>
      <c r="Y115" s="481">
        <v>44291</v>
      </c>
      <c r="Z115" s="481">
        <v>44291</v>
      </c>
      <c r="AA115" s="481">
        <v>44475</v>
      </c>
      <c r="AB115" s="482" t="s">
        <v>2913</v>
      </c>
      <c r="AC115" s="480" t="s">
        <v>3155</v>
      </c>
      <c r="AD115" s="482" t="s">
        <v>3156</v>
      </c>
      <c r="AE115" s="483" t="s">
        <v>3157</v>
      </c>
      <c r="AF115" s="472">
        <v>13926000</v>
      </c>
      <c r="AG115" s="473">
        <f t="shared" si="1"/>
        <v>0</v>
      </c>
      <c r="AL115" s="474">
        <v>1934167</v>
      </c>
      <c r="AM115" s="307">
        <v>2321000</v>
      </c>
    </row>
    <row r="116" spans="1:39" ht="15" hidden="1" customHeight="1" x14ac:dyDescent="0.25">
      <c r="A116" s="475" t="s">
        <v>2360</v>
      </c>
      <c r="B116" s="476">
        <v>77000000</v>
      </c>
      <c r="C116" s="213" t="s">
        <v>2909</v>
      </c>
      <c r="D116" s="213">
        <v>114</v>
      </c>
      <c r="E116" s="312">
        <v>20215000000933</v>
      </c>
      <c r="F116" s="477">
        <v>44225</v>
      </c>
      <c r="G116" s="312" t="s">
        <v>2903</v>
      </c>
      <c r="H116" s="213" t="s">
        <v>2904</v>
      </c>
      <c r="I116" s="213" t="s">
        <v>228</v>
      </c>
      <c r="J116" s="474">
        <v>77000000</v>
      </c>
      <c r="K116" s="213" t="s">
        <v>223</v>
      </c>
      <c r="L116" s="213" t="s">
        <v>3021</v>
      </c>
      <c r="M116" s="213" t="s">
        <v>44</v>
      </c>
      <c r="N116" s="213" t="s">
        <v>45</v>
      </c>
      <c r="O116" s="213" t="s">
        <v>63</v>
      </c>
      <c r="P116" s="213" t="s">
        <v>678</v>
      </c>
      <c r="R116" s="213">
        <v>117</v>
      </c>
      <c r="S116" s="477">
        <v>44225</v>
      </c>
      <c r="T116" s="213" t="s">
        <v>3158</v>
      </c>
      <c r="U116" s="474">
        <f>77000000-7000000</f>
        <v>70000000</v>
      </c>
      <c r="V116" s="412">
        <v>7000000</v>
      </c>
      <c r="W116" s="398"/>
      <c r="X116" s="309">
        <v>57</v>
      </c>
      <c r="Y116" s="471">
        <v>44229</v>
      </c>
      <c r="Z116" s="471">
        <v>44229</v>
      </c>
      <c r="AA116" s="471">
        <v>44532</v>
      </c>
      <c r="AB116" s="3" t="s">
        <v>2913</v>
      </c>
      <c r="AC116" s="212">
        <v>25</v>
      </c>
      <c r="AD116" s="3">
        <v>80762638</v>
      </c>
      <c r="AE116" s="213" t="s">
        <v>3159</v>
      </c>
      <c r="AF116" s="472">
        <v>70000000</v>
      </c>
      <c r="AG116" s="473">
        <f t="shared" si="1"/>
        <v>0</v>
      </c>
      <c r="AJ116" s="474">
        <v>6300000</v>
      </c>
      <c r="AK116" s="474">
        <v>7000000</v>
      </c>
      <c r="AL116" s="474">
        <v>7000000</v>
      </c>
      <c r="AM116" s="307">
        <v>7000000</v>
      </c>
    </row>
    <row r="117" spans="1:39" ht="15" hidden="1" customHeight="1" x14ac:dyDescent="0.25">
      <c r="A117" s="475" t="s">
        <v>2658</v>
      </c>
      <c r="B117" s="476">
        <v>77000000</v>
      </c>
      <c r="C117" s="213" t="s">
        <v>2909</v>
      </c>
      <c r="D117" s="213">
        <v>115</v>
      </c>
      <c r="E117" s="312">
        <v>20215000001023</v>
      </c>
      <c r="F117" s="477">
        <v>44225</v>
      </c>
      <c r="G117" s="312" t="s">
        <v>2903</v>
      </c>
      <c r="H117" s="213" t="s">
        <v>2904</v>
      </c>
      <c r="I117" s="213" t="s">
        <v>228</v>
      </c>
      <c r="J117" s="474">
        <v>77000000</v>
      </c>
      <c r="K117" s="213" t="s">
        <v>223</v>
      </c>
      <c r="L117" s="213" t="s">
        <v>269</v>
      </c>
      <c r="M117" s="213" t="s">
        <v>44</v>
      </c>
      <c r="N117" s="213" t="s">
        <v>45</v>
      </c>
      <c r="O117" s="213" t="s">
        <v>63</v>
      </c>
      <c r="P117" s="213" t="s">
        <v>678</v>
      </c>
      <c r="R117" s="213">
        <v>118</v>
      </c>
      <c r="S117" s="477">
        <v>44225</v>
      </c>
      <c r="T117" s="213" t="s">
        <v>3160</v>
      </c>
      <c r="U117" s="474">
        <f>77000000-7000000</f>
        <v>70000000</v>
      </c>
      <c r="V117" s="412">
        <v>7000000</v>
      </c>
      <c r="W117" s="398"/>
      <c r="X117" s="480">
        <v>120</v>
      </c>
      <c r="Y117" s="481">
        <v>44238</v>
      </c>
      <c r="Z117" s="481">
        <v>44238</v>
      </c>
      <c r="AA117" s="481">
        <v>44541</v>
      </c>
      <c r="AB117" s="482" t="s">
        <v>2913</v>
      </c>
      <c r="AC117" s="212">
        <v>73</v>
      </c>
      <c r="AD117" s="482">
        <v>79939476</v>
      </c>
      <c r="AE117" s="483" t="s">
        <v>3161</v>
      </c>
      <c r="AF117" s="472">
        <v>70000000</v>
      </c>
      <c r="AG117" s="473">
        <f t="shared" si="1"/>
        <v>0</v>
      </c>
      <c r="AJ117" s="474">
        <v>3966667</v>
      </c>
      <c r="AK117" s="474">
        <v>7000000</v>
      </c>
      <c r="AL117" s="474">
        <v>7000000</v>
      </c>
      <c r="AM117" s="307">
        <v>7000000</v>
      </c>
    </row>
    <row r="118" spans="1:39" ht="15" hidden="1" customHeight="1" x14ac:dyDescent="0.25">
      <c r="A118" s="475" t="s">
        <v>2420</v>
      </c>
      <c r="B118" s="476">
        <v>48400000</v>
      </c>
      <c r="C118" s="213" t="s">
        <v>2909</v>
      </c>
      <c r="D118" s="213">
        <v>116</v>
      </c>
      <c r="E118" s="312">
        <v>20215000001113</v>
      </c>
      <c r="F118" s="477">
        <v>44225</v>
      </c>
      <c r="G118" s="312" t="s">
        <v>2903</v>
      </c>
      <c r="H118" s="213" t="s">
        <v>2904</v>
      </c>
      <c r="I118" s="213" t="s">
        <v>228</v>
      </c>
      <c r="J118" s="474">
        <v>48400000</v>
      </c>
      <c r="K118" s="213" t="s">
        <v>223</v>
      </c>
      <c r="L118" s="213" t="s">
        <v>269</v>
      </c>
      <c r="M118" s="213" t="s">
        <v>44</v>
      </c>
      <c r="N118" s="213" t="s">
        <v>45</v>
      </c>
      <c r="O118" s="213" t="s">
        <v>63</v>
      </c>
      <c r="P118" s="213" t="s">
        <v>678</v>
      </c>
      <c r="R118" s="213">
        <v>119</v>
      </c>
      <c r="S118" s="477">
        <v>44225</v>
      </c>
      <c r="T118" s="213" t="s">
        <v>3162</v>
      </c>
      <c r="U118" s="474">
        <f>48400000-4400000</f>
        <v>44000000</v>
      </c>
      <c r="V118" s="412">
        <v>4400000</v>
      </c>
      <c r="W118" s="398"/>
      <c r="X118" s="309">
        <v>82</v>
      </c>
      <c r="Y118" s="481">
        <v>44232</v>
      </c>
      <c r="Z118" s="481">
        <v>44232</v>
      </c>
      <c r="AA118" s="481">
        <v>44535</v>
      </c>
      <c r="AB118" s="482" t="s">
        <v>2913</v>
      </c>
      <c r="AC118" s="212">
        <v>41</v>
      </c>
      <c r="AD118" s="484">
        <v>80073637</v>
      </c>
      <c r="AE118" s="687" t="s">
        <v>3163</v>
      </c>
      <c r="AF118" s="472">
        <v>44000000</v>
      </c>
      <c r="AG118" s="473">
        <f t="shared" si="1"/>
        <v>0</v>
      </c>
      <c r="AJ118" s="474">
        <v>3080000</v>
      </c>
      <c r="AK118" s="474">
        <v>4400000</v>
      </c>
      <c r="AL118" s="474">
        <v>4400000</v>
      </c>
      <c r="AM118" s="307">
        <v>4400000</v>
      </c>
    </row>
    <row r="119" spans="1:39" ht="15" hidden="1" customHeight="1" x14ac:dyDescent="0.25">
      <c r="A119" s="475" t="s">
        <v>2659</v>
      </c>
      <c r="B119" s="476">
        <v>77000000</v>
      </c>
      <c r="C119" s="213" t="s">
        <v>2909</v>
      </c>
      <c r="D119" s="213">
        <v>117</v>
      </c>
      <c r="E119" s="312">
        <v>20215000001183</v>
      </c>
      <c r="F119" s="477">
        <v>44225</v>
      </c>
      <c r="G119" s="312" t="s">
        <v>2903</v>
      </c>
      <c r="H119" s="213" t="s">
        <v>2904</v>
      </c>
      <c r="I119" s="213" t="s">
        <v>228</v>
      </c>
      <c r="J119" s="474">
        <v>77000000</v>
      </c>
      <c r="K119" s="213" t="s">
        <v>223</v>
      </c>
      <c r="L119" s="213" t="s">
        <v>3021</v>
      </c>
      <c r="M119" s="213" t="s">
        <v>44</v>
      </c>
      <c r="N119" s="213" t="s">
        <v>45</v>
      </c>
      <c r="O119" s="213" t="s">
        <v>63</v>
      </c>
      <c r="P119" s="213" t="s">
        <v>678</v>
      </c>
      <c r="R119" s="213">
        <v>120</v>
      </c>
      <c r="S119" s="477">
        <v>44225</v>
      </c>
      <c r="T119" s="213" t="s">
        <v>3164</v>
      </c>
      <c r="U119" s="474">
        <f>77000000-18000000</f>
        <v>59000000</v>
      </c>
      <c r="V119" s="412">
        <v>18000000</v>
      </c>
      <c r="W119" s="398"/>
      <c r="X119" s="309">
        <v>77</v>
      </c>
      <c r="Y119" s="481">
        <v>44231</v>
      </c>
      <c r="Z119" s="481">
        <v>44231</v>
      </c>
      <c r="AA119" s="481">
        <v>44534</v>
      </c>
      <c r="AB119" s="482" t="s">
        <v>2913</v>
      </c>
      <c r="AC119" s="212">
        <v>39</v>
      </c>
      <c r="AD119" s="484">
        <v>1016033905</v>
      </c>
      <c r="AE119" s="483" t="s">
        <v>3165</v>
      </c>
      <c r="AF119" s="472">
        <v>59000000</v>
      </c>
      <c r="AG119" s="473">
        <f t="shared" si="1"/>
        <v>0</v>
      </c>
      <c r="AJ119" s="474">
        <v>4720000</v>
      </c>
      <c r="AK119" s="474">
        <v>5900000</v>
      </c>
      <c r="AL119" s="474">
        <v>5900000</v>
      </c>
      <c r="AM119" s="307">
        <v>5900000</v>
      </c>
    </row>
    <row r="120" spans="1:39" ht="15" hidden="1" customHeight="1" x14ac:dyDescent="0.25">
      <c r="A120" s="475" t="s">
        <v>2450</v>
      </c>
      <c r="B120" s="476">
        <v>37311600</v>
      </c>
      <c r="C120" s="213" t="s">
        <v>2909</v>
      </c>
      <c r="D120" s="213">
        <v>118</v>
      </c>
      <c r="E120" s="310">
        <v>20212000008473</v>
      </c>
      <c r="F120" s="477">
        <v>44244</v>
      </c>
      <c r="G120" s="312" t="s">
        <v>2903</v>
      </c>
      <c r="H120" s="213" t="s">
        <v>2904</v>
      </c>
      <c r="I120" s="213" t="s">
        <v>391</v>
      </c>
      <c r="J120" s="474">
        <v>35550000</v>
      </c>
      <c r="K120" s="211" t="s">
        <v>2974</v>
      </c>
      <c r="L120" s="213" t="s">
        <v>2975</v>
      </c>
      <c r="M120" s="213" t="s">
        <v>44</v>
      </c>
      <c r="N120" s="213" t="s">
        <v>45</v>
      </c>
      <c r="O120" s="213" t="s">
        <v>63</v>
      </c>
      <c r="P120" s="213" t="s">
        <v>678</v>
      </c>
      <c r="R120" s="483">
        <v>263</v>
      </c>
      <c r="S120" s="487">
        <v>44244</v>
      </c>
      <c r="T120" s="483" t="s">
        <v>3166</v>
      </c>
      <c r="U120" s="474">
        <v>35550000</v>
      </c>
      <c r="V120" s="407"/>
      <c r="W120" s="363"/>
      <c r="X120" s="309">
        <v>212</v>
      </c>
      <c r="Y120" s="481">
        <v>44257</v>
      </c>
      <c r="Z120" s="481">
        <v>44257</v>
      </c>
      <c r="AA120" s="481">
        <v>44532</v>
      </c>
      <c r="AB120" s="482" t="s">
        <v>2913</v>
      </c>
      <c r="AC120" s="212">
        <v>147</v>
      </c>
      <c r="AD120" s="482" t="s">
        <v>3167</v>
      </c>
      <c r="AE120" s="483" t="s">
        <v>3168</v>
      </c>
      <c r="AF120" s="472">
        <v>35550000</v>
      </c>
      <c r="AG120" s="473">
        <f t="shared" si="1"/>
        <v>0</v>
      </c>
      <c r="AK120" s="474">
        <v>3818333</v>
      </c>
      <c r="AL120" s="474">
        <v>3950000</v>
      </c>
      <c r="AM120" s="307">
        <v>3950000</v>
      </c>
    </row>
    <row r="121" spans="1:39" ht="15" hidden="1" customHeight="1" x14ac:dyDescent="0.25">
      <c r="A121" s="475" t="s">
        <v>2699</v>
      </c>
      <c r="B121" s="476">
        <v>63600000</v>
      </c>
      <c r="C121" s="213" t="s">
        <v>2909</v>
      </c>
      <c r="D121" s="213">
        <v>119</v>
      </c>
      <c r="E121" s="312">
        <v>20215000002793</v>
      </c>
      <c r="F121" s="477">
        <v>44225</v>
      </c>
      <c r="G121" s="312" t="s">
        <v>2903</v>
      </c>
      <c r="H121" s="213" t="s">
        <v>2904</v>
      </c>
      <c r="I121" s="213" t="s">
        <v>228</v>
      </c>
      <c r="J121" s="474">
        <v>63600000</v>
      </c>
      <c r="K121" s="213" t="s">
        <v>223</v>
      </c>
      <c r="L121" s="213" t="s">
        <v>283</v>
      </c>
      <c r="M121" s="213" t="s">
        <v>44</v>
      </c>
      <c r="N121" s="213" t="s">
        <v>45</v>
      </c>
      <c r="O121" s="213" t="s">
        <v>63</v>
      </c>
      <c r="P121" s="213" t="s">
        <v>678</v>
      </c>
      <c r="R121" s="213">
        <v>122</v>
      </c>
      <c r="S121" s="477">
        <v>44225</v>
      </c>
      <c r="T121" s="213" t="s">
        <v>3169</v>
      </c>
      <c r="U121" s="474">
        <f>63600000-27600000</f>
        <v>36000000</v>
      </c>
      <c r="V121" s="443">
        <v>27600000</v>
      </c>
      <c r="W121" s="399"/>
      <c r="X121" s="309">
        <v>278</v>
      </c>
      <c r="Y121" s="471">
        <v>44273</v>
      </c>
      <c r="Z121" s="488">
        <v>44273</v>
      </c>
      <c r="AA121" s="488">
        <v>44548</v>
      </c>
      <c r="AB121" s="482" t="s">
        <v>2913</v>
      </c>
      <c r="AC121" s="212">
        <v>196</v>
      </c>
      <c r="AD121" s="489">
        <v>1023019022</v>
      </c>
      <c r="AE121" s="490" t="s">
        <v>3170</v>
      </c>
      <c r="AF121" s="472">
        <v>36000000</v>
      </c>
      <c r="AG121" s="473">
        <f t="shared" si="1"/>
        <v>0</v>
      </c>
      <c r="AM121" s="307">
        <v>3733333</v>
      </c>
    </row>
    <row r="122" spans="1:39" ht="15" hidden="1" customHeight="1" x14ac:dyDescent="0.25">
      <c r="A122" s="475" t="s">
        <v>2363</v>
      </c>
      <c r="B122" s="476">
        <v>33000000</v>
      </c>
      <c r="C122" s="213" t="s">
        <v>2909</v>
      </c>
      <c r="D122" s="213">
        <v>120</v>
      </c>
      <c r="E122" s="312">
        <v>20215000002813</v>
      </c>
      <c r="F122" s="477">
        <v>44225</v>
      </c>
      <c r="G122" s="312" t="s">
        <v>2903</v>
      </c>
      <c r="H122" s="213" t="s">
        <v>2904</v>
      </c>
      <c r="I122" s="213" t="s">
        <v>228</v>
      </c>
      <c r="J122" s="474">
        <v>33000000</v>
      </c>
      <c r="K122" s="213" t="s">
        <v>223</v>
      </c>
      <c r="L122" s="213" t="s">
        <v>236</v>
      </c>
      <c r="M122" s="213" t="s">
        <v>44</v>
      </c>
      <c r="N122" s="213" t="s">
        <v>45</v>
      </c>
      <c r="O122" s="213" t="s">
        <v>63</v>
      </c>
      <c r="P122" s="213" t="s">
        <v>678</v>
      </c>
      <c r="R122" s="213">
        <v>123</v>
      </c>
      <c r="S122" s="477">
        <v>44225</v>
      </c>
      <c r="T122" s="213" t="s">
        <v>3171</v>
      </c>
      <c r="U122" s="474">
        <f>33000000-11000000</f>
        <v>22000000</v>
      </c>
      <c r="V122" s="443">
        <v>11000000</v>
      </c>
      <c r="W122" s="399"/>
      <c r="X122" s="480">
        <v>200</v>
      </c>
      <c r="Y122" s="481">
        <v>44253</v>
      </c>
      <c r="Z122" s="481">
        <v>44253</v>
      </c>
      <c r="AA122" s="481">
        <v>44556</v>
      </c>
      <c r="AB122" s="482" t="s">
        <v>2913</v>
      </c>
      <c r="AC122" s="480">
        <v>138</v>
      </c>
      <c r="AD122" s="482" t="s">
        <v>3172</v>
      </c>
      <c r="AE122" s="483" t="s">
        <v>3173</v>
      </c>
      <c r="AF122" s="472">
        <v>22000000</v>
      </c>
      <c r="AG122" s="473">
        <f t="shared" si="1"/>
        <v>0</v>
      </c>
      <c r="AK122" s="474">
        <v>2200000</v>
      </c>
      <c r="AL122" s="474">
        <v>2200000</v>
      </c>
      <c r="AM122" s="307">
        <v>2200000</v>
      </c>
    </row>
    <row r="123" spans="1:39" ht="15" hidden="1" customHeight="1" x14ac:dyDescent="0.25">
      <c r="A123" s="491" t="s">
        <v>3174</v>
      </c>
      <c r="B123" s="492">
        <v>18000000</v>
      </c>
      <c r="C123" s="213" t="s">
        <v>2909</v>
      </c>
      <c r="D123" s="213">
        <v>121</v>
      </c>
      <c r="E123" s="312">
        <v>20214000006123</v>
      </c>
      <c r="F123" s="477">
        <v>44235</v>
      </c>
      <c r="G123" s="312" t="s">
        <v>2936</v>
      </c>
      <c r="H123" s="213" t="s">
        <v>2937</v>
      </c>
      <c r="I123" s="213" t="s">
        <v>117</v>
      </c>
      <c r="J123" s="474">
        <v>18000000</v>
      </c>
      <c r="K123" s="213" t="s">
        <v>112</v>
      </c>
      <c r="L123" s="213" t="s">
        <v>2938</v>
      </c>
      <c r="M123" s="213" t="s">
        <v>44</v>
      </c>
      <c r="N123" s="213" t="s">
        <v>45</v>
      </c>
      <c r="O123" s="213" t="s">
        <v>63</v>
      </c>
      <c r="P123" s="213" t="s">
        <v>43</v>
      </c>
      <c r="R123" s="213">
        <v>208</v>
      </c>
      <c r="S123" s="477">
        <v>44235</v>
      </c>
      <c r="T123" s="213" t="s">
        <v>3175</v>
      </c>
      <c r="U123" s="474">
        <f>18000000-3464000</f>
        <v>14536000</v>
      </c>
      <c r="V123" s="407">
        <v>3464000</v>
      </c>
      <c r="W123" s="363"/>
      <c r="X123" s="309" t="s">
        <v>3176</v>
      </c>
      <c r="Y123" s="481">
        <v>44257</v>
      </c>
      <c r="Z123" s="481">
        <v>44257</v>
      </c>
      <c r="AA123" s="481">
        <v>44379</v>
      </c>
      <c r="AB123" s="482" t="s">
        <v>2913</v>
      </c>
      <c r="AC123" s="212" t="s">
        <v>3177</v>
      </c>
      <c r="AD123" s="482" t="s">
        <v>3178</v>
      </c>
      <c r="AE123" s="483" t="s">
        <v>3179</v>
      </c>
      <c r="AF123" s="472">
        <v>14536000</v>
      </c>
      <c r="AG123" s="473">
        <f t="shared" si="1"/>
        <v>0</v>
      </c>
      <c r="AK123" s="474">
        <v>3270600</v>
      </c>
      <c r="AL123" s="474">
        <v>3634000</v>
      </c>
      <c r="AM123" s="307">
        <v>3634000</v>
      </c>
    </row>
    <row r="124" spans="1:39" ht="15" hidden="1" customHeight="1" x14ac:dyDescent="0.25">
      <c r="A124" s="475" t="s">
        <v>2364</v>
      </c>
      <c r="B124" s="476">
        <v>33000000</v>
      </c>
      <c r="C124" s="213" t="s">
        <v>2909</v>
      </c>
      <c r="D124" s="213">
        <v>122</v>
      </c>
      <c r="E124" s="312">
        <v>20215000002833</v>
      </c>
      <c r="F124" s="477">
        <v>44225</v>
      </c>
      <c r="G124" s="312" t="s">
        <v>2903</v>
      </c>
      <c r="H124" s="213" t="s">
        <v>2904</v>
      </c>
      <c r="I124" s="213" t="s">
        <v>228</v>
      </c>
      <c r="J124" s="474">
        <v>33000000</v>
      </c>
      <c r="K124" s="213" t="s">
        <v>223</v>
      </c>
      <c r="L124" s="213" t="s">
        <v>236</v>
      </c>
      <c r="M124" s="213" t="s">
        <v>44</v>
      </c>
      <c r="N124" s="213" t="s">
        <v>45</v>
      </c>
      <c r="O124" s="213" t="s">
        <v>63</v>
      </c>
      <c r="P124" s="213" t="s">
        <v>678</v>
      </c>
      <c r="R124" s="213">
        <v>125</v>
      </c>
      <c r="S124" s="477">
        <v>44225</v>
      </c>
      <c r="T124" s="213" t="s">
        <v>3180</v>
      </c>
      <c r="U124" s="474">
        <f>33000000-3000000</f>
        <v>30000000</v>
      </c>
      <c r="V124" s="443">
        <v>3000000</v>
      </c>
      <c r="W124" s="399"/>
      <c r="X124" s="480">
        <v>181</v>
      </c>
      <c r="Y124" s="481">
        <v>44250</v>
      </c>
      <c r="Z124" s="481">
        <v>44250</v>
      </c>
      <c r="AA124" s="481">
        <v>44553</v>
      </c>
      <c r="AB124" s="482" t="s">
        <v>2913</v>
      </c>
      <c r="AC124" s="480">
        <v>122</v>
      </c>
      <c r="AD124" s="482">
        <v>52302200</v>
      </c>
      <c r="AE124" s="483" t="s">
        <v>3181</v>
      </c>
      <c r="AF124" s="472">
        <v>30000000</v>
      </c>
      <c r="AG124" s="473">
        <f t="shared" si="1"/>
        <v>0</v>
      </c>
      <c r="AK124" s="474">
        <f>600000+3000000</f>
        <v>3600000</v>
      </c>
      <c r="AL124" s="474">
        <v>3000000</v>
      </c>
      <c r="AM124" s="307">
        <v>3000000</v>
      </c>
    </row>
    <row r="125" spans="1:39" ht="15" hidden="1" customHeight="1" x14ac:dyDescent="0.25">
      <c r="A125" s="491" t="s">
        <v>2794</v>
      </c>
      <c r="B125" s="492">
        <v>24000000</v>
      </c>
      <c r="C125" s="213" t="s">
        <v>3025</v>
      </c>
      <c r="D125" s="213">
        <v>123</v>
      </c>
      <c r="E125" s="312">
        <v>20214000006113</v>
      </c>
      <c r="F125" s="477">
        <v>44235</v>
      </c>
      <c r="G125" s="312" t="s">
        <v>2936</v>
      </c>
      <c r="H125" s="213" t="s">
        <v>2937</v>
      </c>
      <c r="I125" s="213" t="s">
        <v>117</v>
      </c>
      <c r="J125" s="474">
        <v>24000000</v>
      </c>
      <c r="K125" s="213" t="s">
        <v>112</v>
      </c>
      <c r="L125" s="213" t="s">
        <v>2938</v>
      </c>
      <c r="M125" s="213" t="s">
        <v>44</v>
      </c>
      <c r="N125" s="213" t="s">
        <v>45</v>
      </c>
      <c r="O125" s="213" t="s">
        <v>63</v>
      </c>
      <c r="P125" s="213" t="s">
        <v>43</v>
      </c>
      <c r="R125" s="213">
        <v>207</v>
      </c>
      <c r="S125" s="477">
        <v>44235</v>
      </c>
      <c r="T125" s="213" t="s">
        <v>3182</v>
      </c>
      <c r="U125" s="474">
        <v>24000000</v>
      </c>
      <c r="V125" s="407"/>
      <c r="W125" s="363"/>
      <c r="X125" s="309">
        <v>214</v>
      </c>
      <c r="Y125" s="481">
        <v>44257</v>
      </c>
      <c r="Z125" s="481">
        <v>44257</v>
      </c>
      <c r="AA125" s="481">
        <v>44379</v>
      </c>
      <c r="AB125" s="482" t="s">
        <v>2913</v>
      </c>
      <c r="AC125" s="212">
        <v>143</v>
      </c>
      <c r="AD125" s="482" t="s">
        <v>3183</v>
      </c>
      <c r="AE125" s="483" t="s">
        <v>3184</v>
      </c>
      <c r="AF125" s="472">
        <v>24000000</v>
      </c>
      <c r="AG125" s="473">
        <f t="shared" si="1"/>
        <v>0</v>
      </c>
      <c r="AK125" s="474">
        <v>5800000</v>
      </c>
      <c r="AL125" s="474">
        <v>6000000</v>
      </c>
      <c r="AM125" s="307">
        <v>6000000</v>
      </c>
    </row>
    <row r="126" spans="1:39" ht="15" hidden="1" customHeight="1" x14ac:dyDescent="0.25">
      <c r="A126" s="475" t="s">
        <v>2484</v>
      </c>
      <c r="B126" s="476">
        <v>8000000</v>
      </c>
      <c r="C126" s="213" t="s">
        <v>2909</v>
      </c>
      <c r="D126" s="213">
        <v>124</v>
      </c>
      <c r="E126" s="310">
        <v>20214000008293</v>
      </c>
      <c r="F126" s="311">
        <v>44243</v>
      </c>
      <c r="G126" s="312" t="s">
        <v>2943</v>
      </c>
      <c r="H126" s="213" t="s">
        <v>2944</v>
      </c>
      <c r="I126" s="213" t="s">
        <v>47</v>
      </c>
      <c r="J126" s="474">
        <v>8000000</v>
      </c>
      <c r="K126" s="213" t="s">
        <v>37</v>
      </c>
      <c r="L126" s="213" t="s">
        <v>2945</v>
      </c>
      <c r="M126" s="213" t="s">
        <v>44</v>
      </c>
      <c r="N126" s="213" t="s">
        <v>45</v>
      </c>
      <c r="O126" s="213" t="s">
        <v>310</v>
      </c>
      <c r="P126" s="213" t="s">
        <v>43</v>
      </c>
      <c r="R126" s="213">
        <v>257</v>
      </c>
      <c r="S126" s="477">
        <v>44244</v>
      </c>
      <c r="T126" s="213" t="s">
        <v>3185</v>
      </c>
      <c r="U126" s="474">
        <v>8000000</v>
      </c>
      <c r="V126" s="407"/>
      <c r="W126" s="363"/>
      <c r="X126" s="309">
        <v>215</v>
      </c>
      <c r="Y126" s="481">
        <v>44257</v>
      </c>
      <c r="Z126" s="481">
        <v>44257</v>
      </c>
      <c r="AA126" s="481">
        <v>44502</v>
      </c>
      <c r="AB126" s="482" t="s">
        <v>2913</v>
      </c>
      <c r="AC126" s="212">
        <v>144</v>
      </c>
      <c r="AD126" s="482" t="s">
        <v>3186</v>
      </c>
      <c r="AE126" s="483" t="s">
        <v>3187</v>
      </c>
      <c r="AF126" s="472">
        <v>8000000</v>
      </c>
      <c r="AG126" s="473">
        <f t="shared" si="1"/>
        <v>0</v>
      </c>
      <c r="AK126" s="474">
        <v>966667</v>
      </c>
      <c r="AL126" s="474">
        <v>1000000</v>
      </c>
      <c r="AM126" s="213"/>
    </row>
    <row r="127" spans="1:39" ht="15" hidden="1" customHeight="1" x14ac:dyDescent="0.25">
      <c r="A127" s="475" t="s">
        <v>2799</v>
      </c>
      <c r="B127" s="476">
        <v>72000000</v>
      </c>
      <c r="C127" s="213" t="s">
        <v>3025</v>
      </c>
      <c r="D127" s="213">
        <v>125</v>
      </c>
      <c r="E127" s="310">
        <v>20214000008293</v>
      </c>
      <c r="F127" s="311">
        <v>44243</v>
      </c>
      <c r="G127" s="312" t="s">
        <v>2936</v>
      </c>
      <c r="H127" s="213" t="s">
        <v>2937</v>
      </c>
      <c r="I127" s="213" t="s">
        <v>117</v>
      </c>
      <c r="J127" s="474">
        <v>56000000</v>
      </c>
      <c r="K127" s="213" t="s">
        <v>112</v>
      </c>
      <c r="L127" s="213" t="s">
        <v>2938</v>
      </c>
      <c r="M127" s="213" t="s">
        <v>44</v>
      </c>
      <c r="N127" s="213" t="s">
        <v>45</v>
      </c>
      <c r="O127" s="213" t="s">
        <v>63</v>
      </c>
      <c r="P127" s="213" t="s">
        <v>43</v>
      </c>
      <c r="R127" s="483">
        <v>257</v>
      </c>
      <c r="S127" s="487">
        <v>44244</v>
      </c>
      <c r="T127" s="483" t="s">
        <v>3185</v>
      </c>
      <c r="U127" s="474">
        <v>56000000</v>
      </c>
      <c r="V127" s="407"/>
      <c r="W127" s="363"/>
      <c r="X127" s="309">
        <v>215</v>
      </c>
      <c r="Y127" s="481">
        <v>44257</v>
      </c>
      <c r="Z127" s="481">
        <v>44257</v>
      </c>
      <c r="AA127" s="481">
        <v>44502</v>
      </c>
      <c r="AB127" s="482" t="s">
        <v>2913</v>
      </c>
      <c r="AC127" s="212">
        <v>144</v>
      </c>
      <c r="AD127" s="482" t="s">
        <v>3186</v>
      </c>
      <c r="AE127" s="483" t="s">
        <v>3187</v>
      </c>
      <c r="AF127" s="472">
        <v>56000000</v>
      </c>
      <c r="AG127" s="473">
        <f t="shared" si="1"/>
        <v>0</v>
      </c>
      <c r="AK127" s="474">
        <v>6766666</v>
      </c>
      <c r="AL127" s="474">
        <v>7000000</v>
      </c>
      <c r="AM127" s="213"/>
    </row>
    <row r="128" spans="1:39" ht="15" hidden="1" customHeight="1" x14ac:dyDescent="0.25">
      <c r="A128" s="475" t="s">
        <v>2296</v>
      </c>
      <c r="B128" s="476">
        <v>33000000</v>
      </c>
      <c r="C128" s="213" t="s">
        <v>2909</v>
      </c>
      <c r="D128" s="213">
        <v>126</v>
      </c>
      <c r="E128" s="312">
        <v>20215000002893</v>
      </c>
      <c r="F128" s="477">
        <v>44225</v>
      </c>
      <c r="G128" s="312" t="s">
        <v>2903</v>
      </c>
      <c r="H128" s="213" t="s">
        <v>2904</v>
      </c>
      <c r="I128" s="213" t="s">
        <v>228</v>
      </c>
      <c r="J128" s="474">
        <v>33000000</v>
      </c>
      <c r="K128" s="213" t="s">
        <v>223</v>
      </c>
      <c r="L128" s="213" t="s">
        <v>236</v>
      </c>
      <c r="M128" s="213" t="s">
        <v>44</v>
      </c>
      <c r="N128" s="213" t="s">
        <v>45</v>
      </c>
      <c r="O128" s="213" t="s">
        <v>63</v>
      </c>
      <c r="P128" s="213" t="s">
        <v>678</v>
      </c>
      <c r="R128" s="213">
        <v>130</v>
      </c>
      <c r="S128" s="477">
        <v>44225</v>
      </c>
      <c r="T128" s="213" t="s">
        <v>3188</v>
      </c>
      <c r="U128" s="474">
        <f>33000000-9000000</f>
        <v>24000000</v>
      </c>
      <c r="V128" s="407">
        <v>9000000</v>
      </c>
      <c r="W128" s="363"/>
      <c r="X128" s="480" t="s">
        <v>3189</v>
      </c>
      <c r="Y128" s="481">
        <v>44306</v>
      </c>
      <c r="Z128" s="481">
        <v>44306</v>
      </c>
      <c r="AA128" s="481">
        <v>44549</v>
      </c>
      <c r="AB128" s="482" t="s">
        <v>2913</v>
      </c>
      <c r="AC128" s="480" t="s">
        <v>3190</v>
      </c>
      <c r="AD128" s="482" t="s">
        <v>3191</v>
      </c>
      <c r="AE128" s="483" t="s">
        <v>3192</v>
      </c>
      <c r="AF128" s="472">
        <v>24000000</v>
      </c>
      <c r="AG128" s="473">
        <f t="shared" si="1"/>
        <v>0</v>
      </c>
      <c r="AL128" s="474">
        <v>900000</v>
      </c>
      <c r="AM128" s="307">
        <v>3000000</v>
      </c>
    </row>
    <row r="129" spans="1:39" hidden="1" x14ac:dyDescent="0.25">
      <c r="A129" s="475" t="s">
        <v>2300</v>
      </c>
      <c r="B129" s="476">
        <v>33000000</v>
      </c>
      <c r="C129" s="213" t="s">
        <v>2909</v>
      </c>
      <c r="D129" s="213">
        <v>127</v>
      </c>
      <c r="E129" s="312">
        <v>20215000002903</v>
      </c>
      <c r="F129" s="477">
        <v>44225</v>
      </c>
      <c r="G129" s="312" t="s">
        <v>2903</v>
      </c>
      <c r="H129" s="213" t="s">
        <v>2904</v>
      </c>
      <c r="I129" s="213" t="s">
        <v>228</v>
      </c>
      <c r="J129" s="474">
        <v>33000000</v>
      </c>
      <c r="K129" s="213" t="s">
        <v>223</v>
      </c>
      <c r="L129" s="213" t="s">
        <v>236</v>
      </c>
      <c r="M129" s="213" t="s">
        <v>44</v>
      </c>
      <c r="N129" s="213" t="s">
        <v>45</v>
      </c>
      <c r="O129" s="213" t="s">
        <v>63</v>
      </c>
      <c r="P129" s="213" t="s">
        <v>678</v>
      </c>
      <c r="R129" s="213">
        <v>131</v>
      </c>
      <c r="S129" s="477">
        <v>44225</v>
      </c>
      <c r="T129" s="213" t="s">
        <v>3193</v>
      </c>
      <c r="U129" s="474">
        <f>33000000-11400000</f>
        <v>21600000</v>
      </c>
      <c r="V129" s="407">
        <v>11400000</v>
      </c>
      <c r="W129" s="363"/>
      <c r="X129" s="480" t="s">
        <v>3194</v>
      </c>
      <c r="Y129" s="481">
        <v>44307</v>
      </c>
      <c r="Z129" s="481">
        <v>44307</v>
      </c>
      <c r="AA129" s="481">
        <v>44550</v>
      </c>
      <c r="AB129" s="482" t="s">
        <v>2913</v>
      </c>
      <c r="AC129" s="480" t="s">
        <v>3195</v>
      </c>
      <c r="AD129" s="482" t="s">
        <v>3196</v>
      </c>
      <c r="AE129" s="483" t="s">
        <v>3197</v>
      </c>
      <c r="AF129" s="472">
        <v>21600000</v>
      </c>
      <c r="AG129" s="473">
        <f t="shared" si="1"/>
        <v>0</v>
      </c>
      <c r="AL129" s="474">
        <v>900000</v>
      </c>
      <c r="AM129" s="307">
        <v>2700000</v>
      </c>
    </row>
    <row r="130" spans="1:39" s="313" customFormat="1" hidden="1" x14ac:dyDescent="0.25">
      <c r="A130" s="362" t="s">
        <v>3198</v>
      </c>
      <c r="B130" s="418">
        <v>55000000</v>
      </c>
      <c r="C130" s="313" t="s">
        <v>2909</v>
      </c>
      <c r="D130" s="313">
        <v>128</v>
      </c>
      <c r="E130" s="326">
        <v>20215000002913</v>
      </c>
      <c r="F130" s="316">
        <v>44225</v>
      </c>
      <c r="G130" s="326" t="s">
        <v>2903</v>
      </c>
      <c r="H130" s="313" t="s">
        <v>2904</v>
      </c>
      <c r="I130" s="313" t="s">
        <v>228</v>
      </c>
      <c r="J130" s="406">
        <v>55000000</v>
      </c>
      <c r="K130" s="313" t="s">
        <v>223</v>
      </c>
      <c r="L130" s="313" t="s">
        <v>257</v>
      </c>
      <c r="M130" s="313" t="s">
        <v>44</v>
      </c>
      <c r="N130" s="313" t="s">
        <v>3199</v>
      </c>
      <c r="O130" s="313" t="s">
        <v>255</v>
      </c>
      <c r="P130" s="313" t="s">
        <v>678</v>
      </c>
      <c r="R130" s="313">
        <v>132</v>
      </c>
      <c r="S130" s="316">
        <v>44225</v>
      </c>
      <c r="T130" s="313" t="s">
        <v>3200</v>
      </c>
      <c r="U130" s="406">
        <f>55000000-55000000</f>
        <v>0</v>
      </c>
      <c r="V130" s="407">
        <v>55000000</v>
      </c>
      <c r="W130" s="363" t="s">
        <v>1757</v>
      </c>
      <c r="X130" s="315"/>
      <c r="Y130" s="359"/>
      <c r="Z130" s="359"/>
      <c r="AA130" s="359"/>
      <c r="AB130" s="318"/>
      <c r="AC130" s="317"/>
      <c r="AD130" s="318"/>
      <c r="AF130" s="411"/>
      <c r="AG130" s="319">
        <f t="shared" ref="AG130:AG193" si="2">+U130-AF130</f>
        <v>0</v>
      </c>
      <c r="AH130" s="406"/>
      <c r="AI130" s="406"/>
      <c r="AJ130" s="406"/>
      <c r="AK130" s="406"/>
      <c r="AL130" s="406"/>
      <c r="AM130" s="213"/>
    </row>
    <row r="131" spans="1:39" hidden="1" x14ac:dyDescent="0.25">
      <c r="A131" s="475" t="s">
        <v>2743</v>
      </c>
      <c r="B131" s="476">
        <v>54712000</v>
      </c>
      <c r="C131" s="213" t="s">
        <v>2909</v>
      </c>
      <c r="D131" s="213">
        <v>129</v>
      </c>
      <c r="E131" s="312">
        <v>20215000002943</v>
      </c>
      <c r="F131" s="477">
        <v>44225</v>
      </c>
      <c r="G131" s="312" t="s">
        <v>2903</v>
      </c>
      <c r="H131" s="213" t="s">
        <v>2904</v>
      </c>
      <c r="I131" s="213" t="s">
        <v>228</v>
      </c>
      <c r="J131" s="474">
        <v>54712000</v>
      </c>
      <c r="K131" s="213" t="s">
        <v>288</v>
      </c>
      <c r="L131" s="213" t="s">
        <v>294</v>
      </c>
      <c r="M131" s="213" t="s">
        <v>44</v>
      </c>
      <c r="N131" s="213" t="s">
        <v>45</v>
      </c>
      <c r="O131" s="213" t="s">
        <v>63</v>
      </c>
      <c r="P131" s="213" t="s">
        <v>678</v>
      </c>
      <c r="R131" s="213">
        <v>140</v>
      </c>
      <c r="S131" s="477">
        <v>44228</v>
      </c>
      <c r="T131" s="213" t="s">
        <v>3201</v>
      </c>
      <c r="U131" s="474">
        <f>54712000-17292000</f>
        <v>37420000</v>
      </c>
      <c r="V131" s="412">
        <v>17292000</v>
      </c>
      <c r="W131" s="398"/>
      <c r="X131" s="480">
        <v>117</v>
      </c>
      <c r="Y131" s="481">
        <v>44238</v>
      </c>
      <c r="Z131" s="481">
        <v>44238</v>
      </c>
      <c r="AA131" s="481">
        <v>44541</v>
      </c>
      <c r="AB131" s="482" t="s">
        <v>2913</v>
      </c>
      <c r="AC131" s="212">
        <v>70</v>
      </c>
      <c r="AD131" s="482">
        <v>80149008</v>
      </c>
      <c r="AE131" s="483" t="s">
        <v>3202</v>
      </c>
      <c r="AF131" s="472">
        <v>37420000</v>
      </c>
      <c r="AG131" s="473">
        <f t="shared" si="2"/>
        <v>0</v>
      </c>
      <c r="AJ131" s="474">
        <v>2245200</v>
      </c>
      <c r="AK131" s="474">
        <v>3742000</v>
      </c>
      <c r="AL131" s="474">
        <v>3742000</v>
      </c>
      <c r="AM131" s="307">
        <v>3742000</v>
      </c>
    </row>
    <row r="132" spans="1:39" hidden="1" x14ac:dyDescent="0.25">
      <c r="A132" s="475" t="s">
        <v>2418</v>
      </c>
      <c r="B132" s="476">
        <v>52800000</v>
      </c>
      <c r="C132" s="213" t="s">
        <v>2909</v>
      </c>
      <c r="D132" s="213">
        <v>130</v>
      </c>
      <c r="E132" s="312">
        <v>20215000003683</v>
      </c>
      <c r="F132" s="477">
        <v>44225</v>
      </c>
      <c r="G132" s="312" t="s">
        <v>2903</v>
      </c>
      <c r="H132" s="213" t="s">
        <v>2904</v>
      </c>
      <c r="I132" s="213" t="s">
        <v>228</v>
      </c>
      <c r="J132" s="474">
        <v>52800000</v>
      </c>
      <c r="K132" s="213" t="s">
        <v>223</v>
      </c>
      <c r="L132" s="213" t="s">
        <v>269</v>
      </c>
      <c r="M132" s="213" t="s">
        <v>44</v>
      </c>
      <c r="N132" s="213" t="s">
        <v>45</v>
      </c>
      <c r="O132" s="213" t="s">
        <v>63</v>
      </c>
      <c r="P132" s="213" t="s">
        <v>678</v>
      </c>
      <c r="R132" s="213">
        <v>133</v>
      </c>
      <c r="S132" s="477">
        <v>44225</v>
      </c>
      <c r="T132" s="213" t="s">
        <v>3203</v>
      </c>
      <c r="U132" s="474">
        <f>52800000-8800000</f>
        <v>44000000</v>
      </c>
      <c r="V132" s="412">
        <v>8800000</v>
      </c>
      <c r="W132" s="398"/>
      <c r="X132" s="480">
        <v>121</v>
      </c>
      <c r="Y132" s="481">
        <v>44238</v>
      </c>
      <c r="Z132" s="481">
        <v>44238</v>
      </c>
      <c r="AA132" s="481">
        <v>44541</v>
      </c>
      <c r="AB132" s="482" t="s">
        <v>2913</v>
      </c>
      <c r="AC132" s="480">
        <v>71</v>
      </c>
      <c r="AD132" s="482">
        <v>1033729303</v>
      </c>
      <c r="AE132" s="483" t="s">
        <v>3204</v>
      </c>
      <c r="AF132" s="472">
        <v>44000000</v>
      </c>
      <c r="AG132" s="473">
        <f t="shared" si="2"/>
        <v>0</v>
      </c>
      <c r="AJ132" s="474">
        <v>2640000</v>
      </c>
      <c r="AK132" s="474">
        <v>4400000</v>
      </c>
      <c r="AL132" s="474">
        <v>4400000</v>
      </c>
      <c r="AM132" s="307">
        <v>4400000</v>
      </c>
    </row>
    <row r="133" spans="1:39" hidden="1" x14ac:dyDescent="0.25">
      <c r="A133" s="475" t="s">
        <v>2421</v>
      </c>
      <c r="B133" s="476">
        <v>64900000</v>
      </c>
      <c r="C133" s="213" t="s">
        <v>2909</v>
      </c>
      <c r="D133" s="213">
        <v>131</v>
      </c>
      <c r="E133" s="312">
        <v>20215000003693</v>
      </c>
      <c r="F133" s="477">
        <v>44225</v>
      </c>
      <c r="G133" s="312" t="s">
        <v>2903</v>
      </c>
      <c r="H133" s="213" t="s">
        <v>2904</v>
      </c>
      <c r="I133" s="213" t="s">
        <v>228</v>
      </c>
      <c r="J133" s="474">
        <v>64900000</v>
      </c>
      <c r="K133" s="213" t="s">
        <v>223</v>
      </c>
      <c r="L133" s="213" t="s">
        <v>233</v>
      </c>
      <c r="M133" s="213" t="s">
        <v>44</v>
      </c>
      <c r="N133" s="213" t="s">
        <v>45</v>
      </c>
      <c r="O133" s="213" t="s">
        <v>63</v>
      </c>
      <c r="P133" s="213" t="s">
        <v>678</v>
      </c>
      <c r="R133" s="213">
        <v>134</v>
      </c>
      <c r="S133" s="477">
        <v>44225</v>
      </c>
      <c r="T133" s="213" t="s">
        <v>3205</v>
      </c>
      <c r="U133" s="474">
        <f>64900000-24900000</f>
        <v>40000000</v>
      </c>
      <c r="V133" s="412">
        <v>24900000</v>
      </c>
      <c r="W133" s="398"/>
      <c r="X133" s="309">
        <v>101</v>
      </c>
      <c r="Y133" s="481">
        <v>44236</v>
      </c>
      <c r="Z133" s="481">
        <v>44236</v>
      </c>
      <c r="AA133" s="481">
        <v>44539</v>
      </c>
      <c r="AB133" s="482" t="s">
        <v>2913</v>
      </c>
      <c r="AC133" s="212">
        <v>62</v>
      </c>
      <c r="AD133" s="484">
        <v>1032432961</v>
      </c>
      <c r="AE133" s="483" t="s">
        <v>3206</v>
      </c>
      <c r="AF133" s="472">
        <v>40000000</v>
      </c>
      <c r="AG133" s="473">
        <f t="shared" si="2"/>
        <v>0</v>
      </c>
      <c r="AJ133" s="474">
        <v>2666667</v>
      </c>
      <c r="AK133" s="474">
        <v>4000000</v>
      </c>
      <c r="AL133" s="474">
        <v>4000000</v>
      </c>
      <c r="AM133" s="307">
        <v>4000000</v>
      </c>
    </row>
    <row r="134" spans="1:39" hidden="1" x14ac:dyDescent="0.25">
      <c r="A134" s="475" t="s">
        <v>2088</v>
      </c>
      <c r="B134" s="476">
        <v>44000000</v>
      </c>
      <c r="C134" s="213" t="s">
        <v>2909</v>
      </c>
      <c r="D134" s="213">
        <v>132</v>
      </c>
      <c r="E134" s="312">
        <v>20215000003713</v>
      </c>
      <c r="F134" s="477">
        <v>44225</v>
      </c>
      <c r="G134" s="312" t="s">
        <v>2903</v>
      </c>
      <c r="H134" s="213" t="s">
        <v>2904</v>
      </c>
      <c r="I134" s="213" t="s">
        <v>228</v>
      </c>
      <c r="J134" s="474">
        <v>44000000</v>
      </c>
      <c r="K134" s="213" t="s">
        <v>223</v>
      </c>
      <c r="L134" s="213" t="s">
        <v>269</v>
      </c>
      <c r="M134" s="213" t="s">
        <v>44</v>
      </c>
      <c r="N134" s="213" t="s">
        <v>45</v>
      </c>
      <c r="O134" s="213" t="s">
        <v>63</v>
      </c>
      <c r="P134" s="213" t="s">
        <v>678</v>
      </c>
      <c r="R134" s="213">
        <v>135</v>
      </c>
      <c r="S134" s="477">
        <v>44225</v>
      </c>
      <c r="T134" s="213" t="s">
        <v>3207</v>
      </c>
      <c r="U134" s="474">
        <f>44000000-13400000</f>
        <v>30600000</v>
      </c>
      <c r="V134" s="407">
        <v>13400000</v>
      </c>
      <c r="W134" s="363"/>
      <c r="X134" s="480" t="s">
        <v>3208</v>
      </c>
      <c r="Y134" s="481">
        <v>44302</v>
      </c>
      <c r="Z134" s="481">
        <v>44302</v>
      </c>
      <c r="AA134" s="481">
        <v>44561</v>
      </c>
      <c r="AB134" s="482" t="s">
        <v>2913</v>
      </c>
      <c r="AC134" s="480" t="s">
        <v>3209</v>
      </c>
      <c r="AD134" s="482" t="s">
        <v>3210</v>
      </c>
      <c r="AE134" s="483" t="s">
        <v>3211</v>
      </c>
      <c r="AF134" s="472">
        <v>30600000</v>
      </c>
      <c r="AG134" s="473">
        <f t="shared" si="2"/>
        <v>0</v>
      </c>
      <c r="AL134" s="474">
        <v>1440000</v>
      </c>
      <c r="AM134" s="307">
        <v>3600000</v>
      </c>
    </row>
    <row r="135" spans="1:39" hidden="1" x14ac:dyDescent="0.25">
      <c r="A135" s="475" t="s">
        <v>2518</v>
      </c>
      <c r="B135" s="476">
        <v>34967856</v>
      </c>
      <c r="C135" s="213" t="s">
        <v>2909</v>
      </c>
      <c r="D135" s="213">
        <v>133</v>
      </c>
      <c r="E135" s="312">
        <v>20217000003833</v>
      </c>
      <c r="F135" s="477">
        <v>44225</v>
      </c>
      <c r="G135" s="312" t="s">
        <v>2910</v>
      </c>
      <c r="H135" s="213" t="s">
        <v>2911</v>
      </c>
      <c r="I135" s="213" t="s">
        <v>164</v>
      </c>
      <c r="J135" s="474">
        <v>19100000</v>
      </c>
      <c r="K135" s="213" t="s">
        <v>138</v>
      </c>
      <c r="L135" s="213" t="s">
        <v>139</v>
      </c>
      <c r="M135" s="213" t="s">
        <v>44</v>
      </c>
      <c r="N135" s="213" t="s">
        <v>45</v>
      </c>
      <c r="O135" s="213" t="s">
        <v>142</v>
      </c>
      <c r="P135" s="213" t="s">
        <v>43</v>
      </c>
      <c r="R135" s="213">
        <v>136</v>
      </c>
      <c r="S135" s="477">
        <v>44225</v>
      </c>
      <c r="T135" s="213" t="s">
        <v>3212</v>
      </c>
      <c r="U135" s="474">
        <v>19100000</v>
      </c>
      <c r="V135" s="407"/>
      <c r="W135" s="363"/>
      <c r="X135" s="309">
        <v>74</v>
      </c>
      <c r="Y135" s="481">
        <v>44231</v>
      </c>
      <c r="Z135" s="481">
        <v>44231</v>
      </c>
      <c r="AA135" s="481">
        <v>44412</v>
      </c>
      <c r="AB135" s="482" t="s">
        <v>2913</v>
      </c>
      <c r="AC135" s="212">
        <v>35</v>
      </c>
      <c r="AD135" s="484">
        <v>1013582050</v>
      </c>
      <c r="AE135" s="483" t="s">
        <v>3213</v>
      </c>
      <c r="AF135" s="472">
        <v>19073376</v>
      </c>
      <c r="AG135" s="473">
        <f t="shared" si="2"/>
        <v>26624</v>
      </c>
      <c r="AJ135" s="474">
        <v>2543117</v>
      </c>
      <c r="AK135" s="474">
        <v>3178896</v>
      </c>
      <c r="AL135" s="474">
        <v>3178896</v>
      </c>
      <c r="AM135" s="307">
        <v>3178896</v>
      </c>
    </row>
    <row r="136" spans="1:39" hidden="1" x14ac:dyDescent="0.25">
      <c r="A136" s="475" t="s">
        <v>2517</v>
      </c>
      <c r="B136" s="476">
        <v>29972448</v>
      </c>
      <c r="C136" s="213" t="s">
        <v>2909</v>
      </c>
      <c r="D136" s="213">
        <v>134</v>
      </c>
      <c r="E136" s="312">
        <v>20217000002483</v>
      </c>
      <c r="F136" s="477">
        <v>44225</v>
      </c>
      <c r="G136" s="312" t="s">
        <v>2910</v>
      </c>
      <c r="H136" s="213" t="s">
        <v>2911</v>
      </c>
      <c r="I136" s="213" t="s">
        <v>164</v>
      </c>
      <c r="J136" s="474">
        <v>19079046</v>
      </c>
      <c r="K136" s="213" t="s">
        <v>138</v>
      </c>
      <c r="L136" s="213" t="s">
        <v>139</v>
      </c>
      <c r="M136" s="213" t="s">
        <v>44</v>
      </c>
      <c r="N136" s="213" t="s">
        <v>45</v>
      </c>
      <c r="O136" s="213" t="s">
        <v>142</v>
      </c>
      <c r="P136" s="213" t="s">
        <v>43</v>
      </c>
      <c r="R136" s="213">
        <v>127</v>
      </c>
      <c r="S136" s="477">
        <v>44225</v>
      </c>
      <c r="T136" s="213" t="s">
        <v>3214</v>
      </c>
      <c r="U136" s="474">
        <v>19079046</v>
      </c>
      <c r="V136" s="407"/>
      <c r="W136" s="363"/>
      <c r="X136" s="309">
        <v>216</v>
      </c>
      <c r="Y136" s="481">
        <v>44257</v>
      </c>
      <c r="Z136" s="481">
        <v>44257</v>
      </c>
      <c r="AA136" s="481">
        <v>44438</v>
      </c>
      <c r="AB136" s="482" t="s">
        <v>2913</v>
      </c>
      <c r="AC136" s="212">
        <v>153</v>
      </c>
      <c r="AD136" s="482" t="s">
        <v>3215</v>
      </c>
      <c r="AE136" s="483" t="s">
        <v>3216</v>
      </c>
      <c r="AF136" s="472">
        <v>19079046</v>
      </c>
      <c r="AG136" s="473">
        <f t="shared" si="2"/>
        <v>0</v>
      </c>
      <c r="AK136" s="474">
        <v>3179841</v>
      </c>
      <c r="AL136" s="474">
        <v>3179841</v>
      </c>
      <c r="AM136" s="307">
        <v>3179841</v>
      </c>
    </row>
    <row r="137" spans="1:39" hidden="1" x14ac:dyDescent="0.25">
      <c r="A137" s="475" t="s">
        <v>2657</v>
      </c>
      <c r="B137" s="476">
        <v>19987572</v>
      </c>
      <c r="C137" s="213" t="s">
        <v>2909</v>
      </c>
      <c r="D137" s="213">
        <v>135</v>
      </c>
      <c r="E137" s="312">
        <v>20217000002363</v>
      </c>
      <c r="F137" s="477">
        <v>44225</v>
      </c>
      <c r="G137" s="312" t="s">
        <v>2910</v>
      </c>
      <c r="H137" s="213" t="s">
        <v>2911</v>
      </c>
      <c r="I137" s="213" t="s">
        <v>164</v>
      </c>
      <c r="J137" s="474">
        <v>7268208</v>
      </c>
      <c r="K137" s="213" t="s">
        <v>138</v>
      </c>
      <c r="L137" s="213" t="s">
        <v>139</v>
      </c>
      <c r="M137" s="213" t="s">
        <v>44</v>
      </c>
      <c r="N137" s="213" t="s">
        <v>45</v>
      </c>
      <c r="O137" s="213" t="s">
        <v>142</v>
      </c>
      <c r="P137" s="213" t="s">
        <v>43</v>
      </c>
      <c r="R137" s="213">
        <v>137</v>
      </c>
      <c r="S137" s="477">
        <v>44225</v>
      </c>
      <c r="T137" s="213" t="s">
        <v>3217</v>
      </c>
      <c r="U137" s="474">
        <v>7268208</v>
      </c>
      <c r="V137" s="407"/>
      <c r="W137" s="363"/>
      <c r="X137" s="33">
        <v>88</v>
      </c>
      <c r="Y137" s="481">
        <v>44235</v>
      </c>
      <c r="Z137" s="481">
        <v>44235</v>
      </c>
      <c r="AA137" s="481">
        <v>44355</v>
      </c>
      <c r="AB137" s="482" t="s">
        <v>2913</v>
      </c>
      <c r="AC137" s="212">
        <v>51</v>
      </c>
      <c r="AD137" s="484">
        <v>1014307538</v>
      </c>
      <c r="AE137" s="483" t="s">
        <v>3218</v>
      </c>
      <c r="AF137" s="472">
        <v>7268208</v>
      </c>
      <c r="AG137" s="473">
        <f t="shared" si="2"/>
        <v>0</v>
      </c>
      <c r="AJ137" s="474">
        <v>1271936</v>
      </c>
      <c r="AK137" s="474">
        <v>1817052</v>
      </c>
      <c r="AL137" s="474">
        <v>1817052</v>
      </c>
      <c r="AM137" s="213"/>
    </row>
    <row r="138" spans="1:39" hidden="1" x14ac:dyDescent="0.25">
      <c r="A138" s="475" t="s">
        <v>2368</v>
      </c>
      <c r="B138" s="476">
        <v>39718800</v>
      </c>
      <c r="C138" s="213" t="s">
        <v>2909</v>
      </c>
      <c r="D138" s="213">
        <v>136</v>
      </c>
      <c r="E138" s="312">
        <v>20212000001333</v>
      </c>
      <c r="F138" s="477">
        <v>44228</v>
      </c>
      <c r="G138" s="312" t="s">
        <v>2903</v>
      </c>
      <c r="H138" s="213" t="s">
        <v>2904</v>
      </c>
      <c r="I138" s="213" t="s">
        <v>391</v>
      </c>
      <c r="J138" s="474">
        <v>39500000</v>
      </c>
      <c r="K138" s="211" t="s">
        <v>2974</v>
      </c>
      <c r="L138" s="213" t="s">
        <v>2975</v>
      </c>
      <c r="M138" s="213" t="s">
        <v>44</v>
      </c>
      <c r="N138" s="213" t="s">
        <v>45</v>
      </c>
      <c r="O138" s="213" t="s">
        <v>63</v>
      </c>
      <c r="P138" s="213" t="s">
        <v>678</v>
      </c>
      <c r="R138" s="213">
        <v>139</v>
      </c>
      <c r="S138" s="477">
        <v>44228</v>
      </c>
      <c r="T138" s="213" t="s">
        <v>3219</v>
      </c>
      <c r="U138" s="474">
        <v>39500000</v>
      </c>
      <c r="V138" s="407"/>
      <c r="W138" s="363"/>
      <c r="X138" s="480">
        <v>155</v>
      </c>
      <c r="Y138" s="481">
        <v>44244</v>
      </c>
      <c r="Z138" s="481">
        <v>44244</v>
      </c>
      <c r="AA138" s="481">
        <v>44547</v>
      </c>
      <c r="AB138" s="482" t="s">
        <v>2913</v>
      </c>
      <c r="AC138" s="480">
        <v>101</v>
      </c>
      <c r="AD138" s="482">
        <v>1014262560</v>
      </c>
      <c r="AE138" s="483" t="s">
        <v>3220</v>
      </c>
      <c r="AF138" s="472">
        <v>39500000</v>
      </c>
      <c r="AG138" s="473">
        <f t="shared" si="2"/>
        <v>0</v>
      </c>
      <c r="AJ138" s="474">
        <v>1448333</v>
      </c>
      <c r="AK138" s="474">
        <v>3950000</v>
      </c>
      <c r="AL138" s="474">
        <v>3950000</v>
      </c>
      <c r="AM138" s="307">
        <v>3950000</v>
      </c>
    </row>
    <row r="139" spans="1:39" hidden="1" x14ac:dyDescent="0.25">
      <c r="A139" s="475" t="s">
        <v>2760</v>
      </c>
      <c r="B139" s="476">
        <v>84766080</v>
      </c>
      <c r="C139" s="213" t="s">
        <v>2909</v>
      </c>
      <c r="D139" s="213">
        <v>137</v>
      </c>
      <c r="E139" s="312">
        <v>20212000004023</v>
      </c>
      <c r="F139" s="477">
        <v>44228</v>
      </c>
      <c r="G139" s="312" t="s">
        <v>2903</v>
      </c>
      <c r="H139" s="213" t="s">
        <v>2904</v>
      </c>
      <c r="I139" s="213" t="s">
        <v>391</v>
      </c>
      <c r="J139" s="474">
        <v>83252400</v>
      </c>
      <c r="K139" s="211" t="s">
        <v>2974</v>
      </c>
      <c r="L139" s="213" t="s">
        <v>2975</v>
      </c>
      <c r="M139" s="213" t="s">
        <v>44</v>
      </c>
      <c r="N139" s="213" t="s">
        <v>45</v>
      </c>
      <c r="O139" s="213" t="s">
        <v>63</v>
      </c>
      <c r="P139" s="213" t="s">
        <v>678</v>
      </c>
      <c r="R139" s="213">
        <v>149</v>
      </c>
      <c r="S139" s="477">
        <v>44228</v>
      </c>
      <c r="T139" s="213" t="s">
        <v>3221</v>
      </c>
      <c r="U139" s="474">
        <f>83252400-7568400</f>
        <v>75684000</v>
      </c>
      <c r="V139" s="412">
        <v>7568400</v>
      </c>
      <c r="W139" s="398"/>
      <c r="X139" s="480">
        <v>185</v>
      </c>
      <c r="Y139" s="481">
        <v>44251</v>
      </c>
      <c r="Z139" s="481">
        <v>44251</v>
      </c>
      <c r="AA139" s="481">
        <v>44554</v>
      </c>
      <c r="AB139" s="482" t="s">
        <v>2913</v>
      </c>
      <c r="AC139" s="480">
        <v>129</v>
      </c>
      <c r="AD139" s="482">
        <v>1022941209</v>
      </c>
      <c r="AE139" s="483" t="s">
        <v>3222</v>
      </c>
      <c r="AF139" s="472">
        <v>75684000</v>
      </c>
      <c r="AG139" s="473">
        <f t="shared" si="2"/>
        <v>0</v>
      </c>
      <c r="AK139" s="474">
        <v>8577520</v>
      </c>
      <c r="AL139" s="474">
        <v>7568400</v>
      </c>
      <c r="AM139" s="307">
        <v>7568400</v>
      </c>
    </row>
    <row r="140" spans="1:39" s="313" customFormat="1" hidden="1" x14ac:dyDescent="0.25">
      <c r="A140" s="362" t="s">
        <v>3223</v>
      </c>
      <c r="B140" s="418">
        <v>51408000</v>
      </c>
      <c r="C140" s="313" t="s">
        <v>2909</v>
      </c>
      <c r="D140" s="313">
        <v>138</v>
      </c>
      <c r="E140" s="326">
        <v>20212000004033</v>
      </c>
      <c r="F140" s="316">
        <v>44228</v>
      </c>
      <c r="G140" s="326" t="s">
        <v>2903</v>
      </c>
      <c r="H140" s="313" t="s">
        <v>2904</v>
      </c>
      <c r="I140" s="313" t="s">
        <v>391</v>
      </c>
      <c r="J140" s="406">
        <v>50490000</v>
      </c>
      <c r="K140" s="313" t="s">
        <v>2974</v>
      </c>
      <c r="L140" s="313" t="s">
        <v>2975</v>
      </c>
      <c r="M140" s="313" t="s">
        <v>44</v>
      </c>
      <c r="N140" s="313" t="s">
        <v>45</v>
      </c>
      <c r="O140" s="313" t="s">
        <v>63</v>
      </c>
      <c r="P140" s="313" t="s">
        <v>678</v>
      </c>
      <c r="R140" s="313">
        <v>150</v>
      </c>
      <c r="S140" s="316">
        <v>44228</v>
      </c>
      <c r="T140" s="313" t="s">
        <v>3224</v>
      </c>
      <c r="U140" s="406">
        <f>50490000-50490000</f>
        <v>0</v>
      </c>
      <c r="V140" s="412">
        <v>50490000</v>
      </c>
      <c r="W140" s="398"/>
      <c r="X140" s="315"/>
      <c r="Y140" s="359"/>
      <c r="Z140" s="359"/>
      <c r="AA140" s="359"/>
      <c r="AB140" s="318"/>
      <c r="AC140" s="317"/>
      <c r="AD140" s="318"/>
      <c r="AF140" s="411"/>
      <c r="AG140" s="319">
        <f t="shared" si="2"/>
        <v>0</v>
      </c>
      <c r="AH140" s="406"/>
      <c r="AI140" s="406"/>
      <c r="AJ140" s="406"/>
      <c r="AK140" s="406"/>
      <c r="AL140" s="406"/>
      <c r="AM140" s="213"/>
    </row>
    <row r="141" spans="1:39" s="313" customFormat="1" hidden="1" x14ac:dyDescent="0.25">
      <c r="A141" s="362" t="s">
        <v>3225</v>
      </c>
      <c r="B141" s="418">
        <v>62832000</v>
      </c>
      <c r="C141" s="313" t="s">
        <v>2909</v>
      </c>
      <c r="D141" s="313">
        <v>139</v>
      </c>
      <c r="E141" s="326">
        <v>20212000004043</v>
      </c>
      <c r="F141" s="316">
        <v>44228</v>
      </c>
      <c r="G141" s="326" t="s">
        <v>2903</v>
      </c>
      <c r="H141" s="313" t="s">
        <v>2904</v>
      </c>
      <c r="I141" s="313" t="s">
        <v>391</v>
      </c>
      <c r="J141" s="406">
        <v>28050000</v>
      </c>
      <c r="K141" s="313" t="s">
        <v>2974</v>
      </c>
      <c r="L141" s="313" t="s">
        <v>2975</v>
      </c>
      <c r="M141" s="313" t="s">
        <v>44</v>
      </c>
      <c r="N141" s="313" t="s">
        <v>45</v>
      </c>
      <c r="O141" s="313" t="s">
        <v>63</v>
      </c>
      <c r="P141" s="313" t="s">
        <v>678</v>
      </c>
      <c r="R141" s="313">
        <v>151</v>
      </c>
      <c r="S141" s="316">
        <v>44228</v>
      </c>
      <c r="T141" s="313" t="s">
        <v>3226</v>
      </c>
      <c r="U141" s="406">
        <f>28050000-28050000</f>
        <v>0</v>
      </c>
      <c r="V141" s="412">
        <v>28050000</v>
      </c>
      <c r="W141" s="398"/>
      <c r="X141" s="315"/>
      <c r="Y141" s="359"/>
      <c r="Z141" s="359"/>
      <c r="AA141" s="359"/>
      <c r="AB141" s="318"/>
      <c r="AC141" s="317"/>
      <c r="AD141" s="318"/>
      <c r="AF141" s="411"/>
      <c r="AG141" s="319">
        <f t="shared" si="2"/>
        <v>0</v>
      </c>
      <c r="AH141" s="406"/>
      <c r="AI141" s="406"/>
      <c r="AJ141" s="406"/>
      <c r="AK141" s="406"/>
      <c r="AL141" s="406"/>
      <c r="AM141" s="213"/>
    </row>
    <row r="142" spans="1:39" hidden="1" x14ac:dyDescent="0.25">
      <c r="A142" s="475" t="s">
        <v>2766</v>
      </c>
      <c r="B142" s="476">
        <v>66198000</v>
      </c>
      <c r="C142" s="213" t="s">
        <v>2909</v>
      </c>
      <c r="D142" s="213">
        <v>140</v>
      </c>
      <c r="E142" s="312">
        <v>20212000004053</v>
      </c>
      <c r="F142" s="477">
        <v>44228</v>
      </c>
      <c r="G142" s="312" t="s">
        <v>2903</v>
      </c>
      <c r="H142" s="213" t="s">
        <v>2904</v>
      </c>
      <c r="I142" s="213" t="s">
        <v>391</v>
      </c>
      <c r="J142" s="474">
        <v>61710000</v>
      </c>
      <c r="K142" s="211" t="s">
        <v>2974</v>
      </c>
      <c r="L142" s="213" t="s">
        <v>2975</v>
      </c>
      <c r="M142" s="213" t="s">
        <v>44</v>
      </c>
      <c r="N142" s="213" t="s">
        <v>45</v>
      </c>
      <c r="O142" s="213" t="s">
        <v>63</v>
      </c>
      <c r="P142" s="213" t="s">
        <v>678</v>
      </c>
      <c r="R142" s="213">
        <v>152</v>
      </c>
      <c r="S142" s="477">
        <v>44228</v>
      </c>
      <c r="T142" s="213" t="s">
        <v>3227</v>
      </c>
      <c r="U142" s="474">
        <f>61710000-5610000</f>
        <v>56100000</v>
      </c>
      <c r="V142" s="412">
        <v>5610000</v>
      </c>
      <c r="W142" s="398"/>
      <c r="X142" s="480">
        <v>178</v>
      </c>
      <c r="Y142" s="481">
        <v>44249</v>
      </c>
      <c r="Z142" s="481">
        <v>44249</v>
      </c>
      <c r="AA142" s="481">
        <v>44552</v>
      </c>
      <c r="AB142" s="482" t="s">
        <v>2913</v>
      </c>
      <c r="AC142" s="480">
        <v>114</v>
      </c>
      <c r="AD142" s="482">
        <v>53093666</v>
      </c>
      <c r="AE142" s="483" t="s">
        <v>3228</v>
      </c>
      <c r="AF142" s="472">
        <v>56100000</v>
      </c>
      <c r="AG142" s="473">
        <f t="shared" si="2"/>
        <v>0</v>
      </c>
      <c r="AJ142" s="474">
        <v>1309000</v>
      </c>
      <c r="AK142" s="474">
        <v>5610000</v>
      </c>
      <c r="AL142" s="474">
        <v>5610000</v>
      </c>
      <c r="AM142" s="307">
        <v>5610000</v>
      </c>
    </row>
    <row r="143" spans="1:39" s="313" customFormat="1" hidden="1" x14ac:dyDescent="0.25">
      <c r="A143" s="362" t="s">
        <v>2768</v>
      </c>
      <c r="B143" s="418">
        <v>81844800</v>
      </c>
      <c r="C143" s="313" t="s">
        <v>2909</v>
      </c>
      <c r="D143" s="313">
        <v>141</v>
      </c>
      <c r="E143" s="326">
        <v>20212000004063</v>
      </c>
      <c r="F143" s="316">
        <v>44228</v>
      </c>
      <c r="G143" s="326" t="s">
        <v>2903</v>
      </c>
      <c r="H143" s="313" t="s">
        <v>2904</v>
      </c>
      <c r="I143" s="313" t="s">
        <v>391</v>
      </c>
      <c r="J143" s="406">
        <v>76296000</v>
      </c>
      <c r="K143" s="313" t="s">
        <v>2974</v>
      </c>
      <c r="L143" s="313" t="s">
        <v>2975</v>
      </c>
      <c r="M143" s="313" t="s">
        <v>44</v>
      </c>
      <c r="N143" s="313" t="s">
        <v>45</v>
      </c>
      <c r="O143" s="313" t="s">
        <v>63</v>
      </c>
      <c r="P143" s="313" t="s">
        <v>678</v>
      </c>
      <c r="R143" s="313">
        <v>153</v>
      </c>
      <c r="S143" s="316">
        <v>44228</v>
      </c>
      <c r="T143" s="313" t="s">
        <v>3229</v>
      </c>
      <c r="U143" s="406">
        <f>76296000-76296000</f>
        <v>0</v>
      </c>
      <c r="V143" s="412">
        <v>76296000</v>
      </c>
      <c r="W143" s="398"/>
      <c r="X143" s="315"/>
      <c r="Y143" s="359"/>
      <c r="Z143" s="359"/>
      <c r="AA143" s="359"/>
      <c r="AB143" s="318"/>
      <c r="AC143" s="317"/>
      <c r="AD143" s="318"/>
      <c r="AF143" s="411"/>
      <c r="AG143" s="319">
        <f t="shared" si="2"/>
        <v>0</v>
      </c>
      <c r="AH143" s="406"/>
      <c r="AI143" s="406"/>
      <c r="AJ143" s="406"/>
      <c r="AK143" s="406"/>
      <c r="AL143" s="406"/>
      <c r="AM143" s="213"/>
    </row>
    <row r="144" spans="1:39" hidden="1" x14ac:dyDescent="0.25">
      <c r="A144" s="475" t="s">
        <v>2769</v>
      </c>
      <c r="B144" s="476">
        <v>44319000</v>
      </c>
      <c r="C144" s="213" t="s">
        <v>2909</v>
      </c>
      <c r="D144" s="213">
        <v>142</v>
      </c>
      <c r="E144" s="312">
        <v>20212000004073</v>
      </c>
      <c r="F144" s="477">
        <v>44228</v>
      </c>
      <c r="G144" s="312" t="s">
        <v>2903</v>
      </c>
      <c r="H144" s="213" t="s">
        <v>2904</v>
      </c>
      <c r="I144" s="213" t="s">
        <v>391</v>
      </c>
      <c r="J144" s="474">
        <v>44319000</v>
      </c>
      <c r="K144" s="211" t="s">
        <v>2974</v>
      </c>
      <c r="L144" s="213" t="s">
        <v>2975</v>
      </c>
      <c r="M144" s="213" t="s">
        <v>44</v>
      </c>
      <c r="N144" s="213" t="s">
        <v>45</v>
      </c>
      <c r="O144" s="213" t="s">
        <v>63</v>
      </c>
      <c r="P144" s="213" t="s">
        <v>678</v>
      </c>
      <c r="R144" s="213">
        <v>154</v>
      </c>
      <c r="S144" s="477">
        <v>44228</v>
      </c>
      <c r="T144" s="213" t="s">
        <v>3230</v>
      </c>
      <c r="U144" s="474">
        <f>44319000-4029000</f>
        <v>40290000</v>
      </c>
      <c r="V144" s="412">
        <v>4029000</v>
      </c>
      <c r="W144" s="398"/>
      <c r="X144" s="480">
        <v>161</v>
      </c>
      <c r="Y144" s="481">
        <v>44245</v>
      </c>
      <c r="Z144" s="481">
        <v>44245</v>
      </c>
      <c r="AA144" s="481">
        <v>44548</v>
      </c>
      <c r="AB144" s="482" t="s">
        <v>2913</v>
      </c>
      <c r="AC144" s="480">
        <v>108</v>
      </c>
      <c r="AD144" s="482">
        <v>1020832710</v>
      </c>
      <c r="AE144" s="483" t="s">
        <v>3231</v>
      </c>
      <c r="AF144" s="472">
        <v>40290000</v>
      </c>
      <c r="AG144" s="473">
        <f t="shared" si="2"/>
        <v>0</v>
      </c>
      <c r="AJ144" s="474">
        <v>1343000</v>
      </c>
      <c r="AK144" s="474">
        <v>4029000</v>
      </c>
      <c r="AL144" s="474">
        <v>4029000</v>
      </c>
      <c r="AM144" s="307">
        <v>4029000</v>
      </c>
    </row>
    <row r="145" spans="1:39" hidden="1" x14ac:dyDescent="0.25">
      <c r="A145" s="475" t="s">
        <v>2258</v>
      </c>
      <c r="B145" s="476">
        <v>99000000</v>
      </c>
      <c r="C145" s="213" t="s">
        <v>2909</v>
      </c>
      <c r="D145" s="213">
        <v>143</v>
      </c>
      <c r="E145" s="312">
        <v>20212000004083</v>
      </c>
      <c r="F145" s="477">
        <v>44228</v>
      </c>
      <c r="G145" s="312" t="s">
        <v>2903</v>
      </c>
      <c r="H145" s="213" t="s">
        <v>2904</v>
      </c>
      <c r="I145" s="213" t="s">
        <v>391</v>
      </c>
      <c r="J145" s="474">
        <v>99000000</v>
      </c>
      <c r="K145" s="211" t="s">
        <v>2974</v>
      </c>
      <c r="L145" s="213" t="s">
        <v>2975</v>
      </c>
      <c r="M145" s="213" t="s">
        <v>44</v>
      </c>
      <c r="N145" s="213" t="s">
        <v>45</v>
      </c>
      <c r="O145" s="213" t="s">
        <v>63</v>
      </c>
      <c r="P145" s="213" t="s">
        <v>678</v>
      </c>
      <c r="R145" s="213">
        <v>155</v>
      </c>
      <c r="S145" s="477">
        <v>44228</v>
      </c>
      <c r="T145" s="213" t="s">
        <v>3232</v>
      </c>
      <c r="U145" s="474">
        <f>99000000-4500000</f>
        <v>94500000</v>
      </c>
      <c r="V145" s="412">
        <v>4500000</v>
      </c>
      <c r="W145" s="398"/>
      <c r="X145" s="480">
        <v>133</v>
      </c>
      <c r="Y145" s="481">
        <v>44242</v>
      </c>
      <c r="Z145" s="481">
        <v>44242</v>
      </c>
      <c r="AA145" s="481">
        <v>44561</v>
      </c>
      <c r="AB145" s="482" t="s">
        <v>2913</v>
      </c>
      <c r="AC145" s="480">
        <v>82</v>
      </c>
      <c r="AD145" s="482">
        <v>9430711</v>
      </c>
      <c r="AE145" s="483" t="s">
        <v>3233</v>
      </c>
      <c r="AF145" s="472">
        <v>94500000</v>
      </c>
      <c r="AG145" s="473">
        <f t="shared" si="2"/>
        <v>0</v>
      </c>
      <c r="AM145" s="213"/>
    </row>
    <row r="146" spans="1:39" hidden="1" x14ac:dyDescent="0.25">
      <c r="A146" s="475" t="s">
        <v>2654</v>
      </c>
      <c r="B146" s="476">
        <v>13926000</v>
      </c>
      <c r="C146" s="213" t="s">
        <v>2909</v>
      </c>
      <c r="D146" s="213">
        <v>144</v>
      </c>
      <c r="E146" s="312">
        <v>20213000003813</v>
      </c>
      <c r="F146" s="477">
        <v>44228</v>
      </c>
      <c r="G146" s="312" t="s">
        <v>2903</v>
      </c>
      <c r="H146" s="213" t="s">
        <v>2904</v>
      </c>
      <c r="I146" s="213" t="s">
        <v>432</v>
      </c>
      <c r="J146" s="474">
        <v>13926000</v>
      </c>
      <c r="K146" s="213" t="s">
        <v>358</v>
      </c>
      <c r="L146" s="213" t="s">
        <v>3054</v>
      </c>
      <c r="M146" s="213" t="s">
        <v>44</v>
      </c>
      <c r="N146" s="213" t="s">
        <v>45</v>
      </c>
      <c r="O146" s="213" t="s">
        <v>63</v>
      </c>
      <c r="P146" s="213" t="s">
        <v>678</v>
      </c>
      <c r="R146" s="213">
        <v>141</v>
      </c>
      <c r="S146" s="477">
        <v>44228</v>
      </c>
      <c r="T146" s="213" t="s">
        <v>3234</v>
      </c>
      <c r="U146" s="474">
        <v>13926000</v>
      </c>
      <c r="V146" s="407"/>
      <c r="W146" s="363"/>
      <c r="X146" s="480">
        <v>171</v>
      </c>
      <c r="Y146" s="481">
        <v>44246</v>
      </c>
      <c r="Z146" s="481">
        <v>44246</v>
      </c>
      <c r="AA146" s="481">
        <v>44427</v>
      </c>
      <c r="AB146" s="482" t="s">
        <v>2913</v>
      </c>
      <c r="AC146" s="480">
        <v>118</v>
      </c>
      <c r="AD146" s="482">
        <v>71332821</v>
      </c>
      <c r="AE146" s="483" t="s">
        <v>3235</v>
      </c>
      <c r="AF146" s="472">
        <v>13926000</v>
      </c>
      <c r="AG146" s="473">
        <f t="shared" si="2"/>
        <v>0</v>
      </c>
      <c r="AJ146" s="474">
        <v>541567</v>
      </c>
      <c r="AK146" s="474">
        <v>2321000</v>
      </c>
      <c r="AL146" s="474">
        <v>2321000</v>
      </c>
      <c r="AM146" s="307">
        <v>2321000</v>
      </c>
    </row>
    <row r="147" spans="1:39" hidden="1" x14ac:dyDescent="0.25">
      <c r="A147" s="475" t="s">
        <v>2404</v>
      </c>
      <c r="B147" s="476">
        <v>68000000</v>
      </c>
      <c r="C147" s="213" t="s">
        <v>2909</v>
      </c>
      <c r="D147" s="213">
        <v>145</v>
      </c>
      <c r="E147" s="312">
        <v>20213000003853</v>
      </c>
      <c r="F147" s="477">
        <v>44228</v>
      </c>
      <c r="G147" s="312" t="s">
        <v>2903</v>
      </c>
      <c r="H147" s="213" t="s">
        <v>2904</v>
      </c>
      <c r="I147" s="213" t="s">
        <v>432</v>
      </c>
      <c r="J147" s="474">
        <v>68000000</v>
      </c>
      <c r="K147" s="213" t="s">
        <v>358</v>
      </c>
      <c r="L147" s="213" t="s">
        <v>3054</v>
      </c>
      <c r="M147" s="213" t="s">
        <v>44</v>
      </c>
      <c r="N147" s="213" t="s">
        <v>45</v>
      </c>
      <c r="O147" s="213" t="s">
        <v>63</v>
      </c>
      <c r="P147" s="213" t="s">
        <v>678</v>
      </c>
      <c r="R147" s="213">
        <v>142</v>
      </c>
      <c r="S147" s="477">
        <v>44228</v>
      </c>
      <c r="T147" s="213" t="s">
        <v>3236</v>
      </c>
      <c r="U147" s="474">
        <v>68000000</v>
      </c>
      <c r="V147" s="407"/>
      <c r="W147" s="363"/>
      <c r="X147" s="309">
        <v>107</v>
      </c>
      <c r="Y147" s="481">
        <v>44236</v>
      </c>
      <c r="Z147" s="481">
        <v>44236</v>
      </c>
      <c r="AA147" s="481">
        <v>44478</v>
      </c>
      <c r="AB147" s="482" t="s">
        <v>2913</v>
      </c>
      <c r="AC147" s="212">
        <v>54</v>
      </c>
      <c r="AD147" s="484">
        <v>80053511</v>
      </c>
      <c r="AE147" s="483" t="s">
        <v>3237</v>
      </c>
      <c r="AF147" s="472">
        <v>68000000</v>
      </c>
      <c r="AG147" s="473">
        <f t="shared" si="2"/>
        <v>0</v>
      </c>
      <c r="AJ147" s="474">
        <v>5666667</v>
      </c>
      <c r="AK147" s="474">
        <v>8500000</v>
      </c>
      <c r="AL147" s="474">
        <v>8500000</v>
      </c>
      <c r="AM147" s="307">
        <v>8500000</v>
      </c>
    </row>
    <row r="148" spans="1:39" hidden="1" x14ac:dyDescent="0.25">
      <c r="A148" s="475" t="s">
        <v>2409</v>
      </c>
      <c r="B148" s="476">
        <v>39975144</v>
      </c>
      <c r="C148" s="213" t="s">
        <v>2909</v>
      </c>
      <c r="D148" s="213">
        <v>146</v>
      </c>
      <c r="E148" s="312">
        <v>20213000003883</v>
      </c>
      <c r="F148" s="477">
        <v>44228</v>
      </c>
      <c r="G148" s="312" t="s">
        <v>2903</v>
      </c>
      <c r="H148" s="213" t="s">
        <v>2904</v>
      </c>
      <c r="I148" s="213" t="s">
        <v>432</v>
      </c>
      <c r="J148" s="474">
        <v>39975144</v>
      </c>
      <c r="K148" s="213" t="s">
        <v>358</v>
      </c>
      <c r="L148" s="213" t="s">
        <v>3054</v>
      </c>
      <c r="M148" s="213" t="s">
        <v>44</v>
      </c>
      <c r="N148" s="213" t="s">
        <v>45</v>
      </c>
      <c r="O148" s="213" t="s">
        <v>63</v>
      </c>
      <c r="P148" s="213" t="s">
        <v>678</v>
      </c>
      <c r="R148" s="213">
        <v>143</v>
      </c>
      <c r="S148" s="477">
        <v>44228</v>
      </c>
      <c r="T148" s="213" t="s">
        <v>3238</v>
      </c>
      <c r="U148" s="474">
        <v>39975144</v>
      </c>
      <c r="V148" s="407"/>
      <c r="W148" s="363"/>
      <c r="X148" s="309">
        <v>103</v>
      </c>
      <c r="Y148" s="481">
        <v>44236</v>
      </c>
      <c r="Z148" s="481">
        <v>44236</v>
      </c>
      <c r="AA148" s="481">
        <v>44478</v>
      </c>
      <c r="AB148" s="482" t="s">
        <v>2913</v>
      </c>
      <c r="AC148" s="212">
        <v>56</v>
      </c>
      <c r="AD148" s="484">
        <v>1014215801</v>
      </c>
      <c r="AE148" s="483" t="s">
        <v>3239</v>
      </c>
      <c r="AF148" s="472">
        <v>39975144</v>
      </c>
      <c r="AG148" s="473">
        <f t="shared" si="2"/>
        <v>0</v>
      </c>
      <c r="AJ148" s="474">
        <v>3164699</v>
      </c>
      <c r="AK148" s="474">
        <v>4996893</v>
      </c>
      <c r="AL148" s="474">
        <v>4996893</v>
      </c>
      <c r="AM148" s="307">
        <v>4996893</v>
      </c>
    </row>
    <row r="149" spans="1:39" hidden="1" x14ac:dyDescent="0.25">
      <c r="A149" s="475" t="s">
        <v>3240</v>
      </c>
      <c r="B149" s="476">
        <v>12000000</v>
      </c>
      <c r="C149" s="213" t="s">
        <v>2909</v>
      </c>
      <c r="D149" s="213">
        <v>147</v>
      </c>
      <c r="E149" s="312">
        <v>20213000003903</v>
      </c>
      <c r="F149" s="477">
        <v>44228</v>
      </c>
      <c r="G149" s="312" t="s">
        <v>2903</v>
      </c>
      <c r="H149" s="213" t="s">
        <v>2904</v>
      </c>
      <c r="I149" s="213" t="s">
        <v>432</v>
      </c>
      <c r="J149" s="474">
        <v>12000000</v>
      </c>
      <c r="K149" s="213" t="s">
        <v>358</v>
      </c>
      <c r="L149" s="213" t="s">
        <v>3054</v>
      </c>
      <c r="M149" s="213" t="s">
        <v>44</v>
      </c>
      <c r="N149" s="213" t="s">
        <v>45</v>
      </c>
      <c r="O149" s="213" t="s">
        <v>63</v>
      </c>
      <c r="P149" s="213" t="s">
        <v>678</v>
      </c>
      <c r="R149" s="213">
        <v>144</v>
      </c>
      <c r="S149" s="477">
        <v>44228</v>
      </c>
      <c r="T149" s="213" t="s">
        <v>3241</v>
      </c>
      <c r="U149" s="474">
        <v>12000000</v>
      </c>
      <c r="V149" s="407"/>
      <c r="W149" s="363"/>
      <c r="X149" s="309">
        <v>99</v>
      </c>
      <c r="Y149" s="481">
        <v>44236</v>
      </c>
      <c r="Z149" s="481">
        <v>44236</v>
      </c>
      <c r="AA149" s="481">
        <v>44356</v>
      </c>
      <c r="AB149" s="482" t="s">
        <v>2913</v>
      </c>
      <c r="AC149" s="212">
        <v>60</v>
      </c>
      <c r="AD149" s="484">
        <v>1033777087</v>
      </c>
      <c r="AE149" s="483" t="s">
        <v>3242</v>
      </c>
      <c r="AF149" s="472">
        <v>12000000</v>
      </c>
      <c r="AG149" s="473">
        <f t="shared" si="2"/>
        <v>0</v>
      </c>
      <c r="AJ149" s="474">
        <v>2000000</v>
      </c>
      <c r="AK149" s="474">
        <v>3000000</v>
      </c>
      <c r="AL149" s="474">
        <v>3000000</v>
      </c>
      <c r="AM149" s="307">
        <v>3000000</v>
      </c>
    </row>
    <row r="150" spans="1:39" hidden="1" x14ac:dyDescent="0.25">
      <c r="A150" s="475" t="s">
        <v>2412</v>
      </c>
      <c r="B150" s="476">
        <v>16353468</v>
      </c>
      <c r="C150" s="213" t="s">
        <v>2909</v>
      </c>
      <c r="D150" s="213">
        <v>148</v>
      </c>
      <c r="E150" s="312">
        <v>20213000003933</v>
      </c>
      <c r="F150" s="477">
        <v>44228</v>
      </c>
      <c r="G150" s="312" t="s">
        <v>2903</v>
      </c>
      <c r="H150" s="213" t="s">
        <v>2904</v>
      </c>
      <c r="I150" s="213" t="s">
        <v>432</v>
      </c>
      <c r="J150" s="474">
        <v>16353468</v>
      </c>
      <c r="K150" s="213" t="s">
        <v>358</v>
      </c>
      <c r="L150" s="213" t="s">
        <v>3054</v>
      </c>
      <c r="M150" s="213" t="s">
        <v>44</v>
      </c>
      <c r="N150" s="213" t="s">
        <v>45</v>
      </c>
      <c r="O150" s="213" t="s">
        <v>63</v>
      </c>
      <c r="P150" s="213" t="s">
        <v>678</v>
      </c>
      <c r="R150" s="213">
        <v>145</v>
      </c>
      <c r="S150" s="477">
        <v>44228</v>
      </c>
      <c r="T150" s="213" t="s">
        <v>3243</v>
      </c>
      <c r="U150" s="474">
        <v>16353468</v>
      </c>
      <c r="V150" s="407"/>
      <c r="W150" s="363"/>
      <c r="X150" s="309">
        <v>100</v>
      </c>
      <c r="Y150" s="481">
        <v>44236</v>
      </c>
      <c r="Z150" s="481">
        <v>44236</v>
      </c>
      <c r="AA150" s="481">
        <v>44356</v>
      </c>
      <c r="AB150" s="482" t="s">
        <v>2913</v>
      </c>
      <c r="AC150" s="212">
        <v>63</v>
      </c>
      <c r="AD150" s="484">
        <v>1133929197</v>
      </c>
      <c r="AE150" s="483" t="s">
        <v>3244</v>
      </c>
      <c r="AF150" s="472">
        <v>16353468</v>
      </c>
      <c r="AG150" s="473">
        <f t="shared" si="2"/>
        <v>0</v>
      </c>
      <c r="AJ150" s="474">
        <v>2725578</v>
      </c>
      <c r="AK150" s="474">
        <v>4088367</v>
      </c>
      <c r="AL150" s="474">
        <v>4088367</v>
      </c>
      <c r="AM150" s="307">
        <v>4088367</v>
      </c>
    </row>
    <row r="151" spans="1:39" hidden="1" x14ac:dyDescent="0.25">
      <c r="A151" s="475" t="s">
        <v>2410</v>
      </c>
      <c r="B151" s="476">
        <v>64000000</v>
      </c>
      <c r="C151" s="213" t="s">
        <v>2909</v>
      </c>
      <c r="D151" s="213">
        <v>149</v>
      </c>
      <c r="E151" s="312">
        <v>20213000003943</v>
      </c>
      <c r="F151" s="477">
        <v>44228</v>
      </c>
      <c r="G151" s="312" t="s">
        <v>2903</v>
      </c>
      <c r="H151" s="213" t="s">
        <v>2904</v>
      </c>
      <c r="I151" s="213" t="s">
        <v>432</v>
      </c>
      <c r="J151" s="474">
        <v>64000000</v>
      </c>
      <c r="K151" s="213" t="s">
        <v>358</v>
      </c>
      <c r="L151" s="213" t="s">
        <v>3054</v>
      </c>
      <c r="M151" s="213" t="s">
        <v>44</v>
      </c>
      <c r="N151" s="213" t="s">
        <v>45</v>
      </c>
      <c r="O151" s="213" t="s">
        <v>63</v>
      </c>
      <c r="P151" s="213" t="s">
        <v>678</v>
      </c>
      <c r="R151" s="213">
        <v>146</v>
      </c>
      <c r="S151" s="477">
        <v>44228</v>
      </c>
      <c r="T151" s="213" t="s">
        <v>3245</v>
      </c>
      <c r="U151" s="474">
        <v>64000000</v>
      </c>
      <c r="V151" s="407"/>
      <c r="W151" s="363"/>
      <c r="X151" s="480">
        <v>157</v>
      </c>
      <c r="Y151" s="481">
        <v>44245</v>
      </c>
      <c r="Z151" s="481">
        <v>44245</v>
      </c>
      <c r="AA151" s="481">
        <v>44487</v>
      </c>
      <c r="AB151" s="482" t="s">
        <v>2913</v>
      </c>
      <c r="AC151" s="480">
        <v>104</v>
      </c>
      <c r="AD151" s="482">
        <v>1020714204</v>
      </c>
      <c r="AE151" s="483" t="s">
        <v>3246</v>
      </c>
      <c r="AF151" s="472">
        <v>64000000</v>
      </c>
      <c r="AG151" s="473">
        <f t="shared" si="2"/>
        <v>0</v>
      </c>
      <c r="AJ151" s="474">
        <v>2933333</v>
      </c>
      <c r="AK151" s="474">
        <v>8000000</v>
      </c>
      <c r="AL151" s="474">
        <v>8000000</v>
      </c>
      <c r="AM151" s="307">
        <v>8000000</v>
      </c>
    </row>
    <row r="152" spans="1:39" hidden="1" x14ac:dyDescent="0.25">
      <c r="A152" s="475" t="s">
        <v>2369</v>
      </c>
      <c r="B152" s="476">
        <v>39975144</v>
      </c>
      <c r="C152" s="213" t="s">
        <v>2909</v>
      </c>
      <c r="D152" s="213">
        <v>150</v>
      </c>
      <c r="E152" s="312">
        <v>20213000003963</v>
      </c>
      <c r="F152" s="477">
        <v>44228</v>
      </c>
      <c r="G152" s="312" t="s">
        <v>2903</v>
      </c>
      <c r="H152" s="213" t="s">
        <v>2904</v>
      </c>
      <c r="I152" s="213" t="s">
        <v>432</v>
      </c>
      <c r="J152" s="474">
        <v>39975144</v>
      </c>
      <c r="K152" s="213" t="s">
        <v>358</v>
      </c>
      <c r="L152" s="213" t="s">
        <v>3054</v>
      </c>
      <c r="M152" s="213" t="s">
        <v>44</v>
      </c>
      <c r="N152" s="213" t="s">
        <v>45</v>
      </c>
      <c r="O152" s="213" t="s">
        <v>63</v>
      </c>
      <c r="P152" s="213" t="s">
        <v>678</v>
      </c>
      <c r="R152" s="213">
        <v>147</v>
      </c>
      <c r="S152" s="477">
        <v>44228</v>
      </c>
      <c r="T152" s="213" t="s">
        <v>3247</v>
      </c>
      <c r="U152" s="474">
        <v>39975144</v>
      </c>
      <c r="V152" s="407"/>
      <c r="W152" s="363"/>
      <c r="X152" s="480">
        <v>187</v>
      </c>
      <c r="Y152" s="481">
        <v>44251</v>
      </c>
      <c r="Z152" s="481">
        <v>44251</v>
      </c>
      <c r="AA152" s="481">
        <v>44493</v>
      </c>
      <c r="AB152" s="482" t="s">
        <v>2913</v>
      </c>
      <c r="AC152" s="480">
        <v>128</v>
      </c>
      <c r="AD152" s="482">
        <v>52157159</v>
      </c>
      <c r="AE152" s="483" t="s">
        <v>3248</v>
      </c>
      <c r="AF152" s="472">
        <v>39975144</v>
      </c>
      <c r="AG152" s="473">
        <f t="shared" si="2"/>
        <v>0</v>
      </c>
      <c r="AK152" s="474">
        <v>5663145</v>
      </c>
      <c r="AL152" s="474">
        <v>4996893</v>
      </c>
      <c r="AM152" s="307">
        <v>4996893</v>
      </c>
    </row>
    <row r="153" spans="1:39" hidden="1" x14ac:dyDescent="0.25">
      <c r="A153" s="475" t="s">
        <v>2370</v>
      </c>
      <c r="B153" s="476">
        <v>40883670</v>
      </c>
      <c r="C153" s="213" t="s">
        <v>2909</v>
      </c>
      <c r="D153" s="213">
        <v>151</v>
      </c>
      <c r="E153" s="312">
        <v>20213000003973</v>
      </c>
      <c r="F153" s="477">
        <v>44228</v>
      </c>
      <c r="G153" s="312" t="s">
        <v>2903</v>
      </c>
      <c r="H153" s="213" t="s">
        <v>2904</v>
      </c>
      <c r="I153" s="213" t="s">
        <v>432</v>
      </c>
      <c r="J153" s="474">
        <v>40883670</v>
      </c>
      <c r="K153" s="213" t="s">
        <v>358</v>
      </c>
      <c r="L153" s="213" t="s">
        <v>3054</v>
      </c>
      <c r="M153" s="213" t="s">
        <v>44</v>
      </c>
      <c r="N153" s="213" t="s">
        <v>45</v>
      </c>
      <c r="O153" s="213" t="s">
        <v>63</v>
      </c>
      <c r="P153" s="213" t="s">
        <v>678</v>
      </c>
      <c r="R153" s="213">
        <v>148</v>
      </c>
      <c r="S153" s="477">
        <v>44228</v>
      </c>
      <c r="T153" s="213" t="s">
        <v>3249</v>
      </c>
      <c r="U153" s="474">
        <v>40883670</v>
      </c>
      <c r="V153" s="407"/>
      <c r="W153" s="363"/>
      <c r="X153" s="309">
        <v>94</v>
      </c>
      <c r="Y153" s="481">
        <v>44235</v>
      </c>
      <c r="Z153" s="481">
        <v>44235</v>
      </c>
      <c r="AA153" s="481">
        <v>44538</v>
      </c>
      <c r="AB153" s="482" t="s">
        <v>2913</v>
      </c>
      <c r="AC153" s="212">
        <v>57</v>
      </c>
      <c r="AD153" s="484">
        <v>1019124435</v>
      </c>
      <c r="AE153" s="483" t="s">
        <v>3250</v>
      </c>
      <c r="AF153" s="472">
        <v>40883670</v>
      </c>
      <c r="AG153" s="473">
        <f t="shared" si="2"/>
        <v>0</v>
      </c>
      <c r="AJ153" s="474">
        <v>2861857</v>
      </c>
      <c r="AK153" s="474">
        <v>4088367</v>
      </c>
      <c r="AL153" s="474">
        <v>4088367</v>
      </c>
      <c r="AM153" s="307">
        <v>4088367</v>
      </c>
    </row>
    <row r="154" spans="1:39" hidden="1" x14ac:dyDescent="0.25">
      <c r="A154" s="475" t="s">
        <v>3251</v>
      </c>
      <c r="B154" s="476">
        <v>60282833</v>
      </c>
      <c r="C154" s="213" t="s">
        <v>2909</v>
      </c>
      <c r="D154" s="213">
        <v>152</v>
      </c>
      <c r="E154" s="312">
        <v>20214000004313</v>
      </c>
      <c r="F154" s="477">
        <v>44228</v>
      </c>
      <c r="G154" s="312" t="s">
        <v>2936</v>
      </c>
      <c r="H154" s="213" t="s">
        <v>2937</v>
      </c>
      <c r="I154" s="213" t="s">
        <v>117</v>
      </c>
      <c r="J154" s="474">
        <v>51345000</v>
      </c>
      <c r="K154" s="213" t="s">
        <v>112</v>
      </c>
      <c r="L154" s="213" t="s">
        <v>2938</v>
      </c>
      <c r="M154" s="213" t="s">
        <v>44</v>
      </c>
      <c r="N154" s="213" t="s">
        <v>45</v>
      </c>
      <c r="O154" s="213" t="s">
        <v>63</v>
      </c>
      <c r="P154" s="213" t="s">
        <v>43</v>
      </c>
      <c r="R154" s="213">
        <v>156</v>
      </c>
      <c r="S154" s="477">
        <v>44228</v>
      </c>
      <c r="T154" s="213" t="s">
        <v>3252</v>
      </c>
      <c r="U154" s="474">
        <v>51345000</v>
      </c>
      <c r="V154" s="407"/>
      <c r="W154" s="363"/>
      <c r="X154" s="480">
        <v>177</v>
      </c>
      <c r="Y154" s="481">
        <v>44249</v>
      </c>
      <c r="Z154" s="481">
        <v>44249</v>
      </c>
      <c r="AA154" s="481">
        <v>44522</v>
      </c>
      <c r="AB154" s="482" t="s">
        <v>2913</v>
      </c>
      <c r="AC154" s="480">
        <v>115</v>
      </c>
      <c r="AD154" s="482">
        <v>1022381682</v>
      </c>
      <c r="AE154" s="483" t="s">
        <v>3253</v>
      </c>
      <c r="AF154" s="472">
        <v>51345000</v>
      </c>
      <c r="AG154" s="473">
        <f t="shared" si="2"/>
        <v>0</v>
      </c>
      <c r="AK154" s="474">
        <f>1101400+5705000</f>
        <v>6806400</v>
      </c>
      <c r="AL154" s="474">
        <v>5705000</v>
      </c>
      <c r="AM154" s="307">
        <v>5705000</v>
      </c>
    </row>
    <row r="155" spans="1:39" hidden="1" x14ac:dyDescent="0.25">
      <c r="A155" s="475" t="s">
        <v>3254</v>
      </c>
      <c r="B155" s="476">
        <v>52833333</v>
      </c>
      <c r="C155" s="213" t="s">
        <v>2909</v>
      </c>
      <c r="D155" s="213">
        <v>153</v>
      </c>
      <c r="E155" s="312">
        <v>20214000004323</v>
      </c>
      <c r="F155" s="477">
        <v>44228</v>
      </c>
      <c r="G155" s="312" t="s">
        <v>2936</v>
      </c>
      <c r="H155" s="213" t="s">
        <v>2937</v>
      </c>
      <c r="I155" s="213" t="s">
        <v>117</v>
      </c>
      <c r="J155" s="474">
        <v>45000000</v>
      </c>
      <c r="K155" s="213" t="s">
        <v>112</v>
      </c>
      <c r="L155" s="213" t="s">
        <v>2938</v>
      </c>
      <c r="M155" s="213" t="s">
        <v>44</v>
      </c>
      <c r="N155" s="213" t="s">
        <v>45</v>
      </c>
      <c r="O155" s="213" t="s">
        <v>63</v>
      </c>
      <c r="P155" s="213" t="s">
        <v>43</v>
      </c>
      <c r="R155" s="213">
        <v>157</v>
      </c>
      <c r="S155" s="477">
        <v>44228</v>
      </c>
      <c r="T155" s="213" t="s">
        <v>3255</v>
      </c>
      <c r="U155" s="474">
        <v>45000000</v>
      </c>
      <c r="V155" s="407"/>
      <c r="W155" s="363"/>
      <c r="X155" s="480">
        <v>151</v>
      </c>
      <c r="Y155" s="481">
        <v>44244</v>
      </c>
      <c r="Z155" s="481">
        <v>44244</v>
      </c>
      <c r="AA155" s="481">
        <v>44517</v>
      </c>
      <c r="AB155" s="482" t="s">
        <v>2913</v>
      </c>
      <c r="AC155" s="480">
        <v>96</v>
      </c>
      <c r="AD155" s="482">
        <v>1012370019</v>
      </c>
      <c r="AE155" s="483" t="s">
        <v>3256</v>
      </c>
      <c r="AF155" s="472">
        <v>45000000</v>
      </c>
      <c r="AG155" s="473">
        <f t="shared" si="2"/>
        <v>0</v>
      </c>
      <c r="AK155" s="474">
        <f>2000000+5000000</f>
        <v>7000000</v>
      </c>
      <c r="AL155" s="474">
        <v>5000000</v>
      </c>
      <c r="AM155" s="213"/>
    </row>
    <row r="156" spans="1:39" hidden="1" x14ac:dyDescent="0.25">
      <c r="A156" s="475" t="s">
        <v>3257</v>
      </c>
      <c r="B156" s="476">
        <v>28700000</v>
      </c>
      <c r="C156" s="213" t="s">
        <v>2909</v>
      </c>
      <c r="D156" s="213">
        <v>154</v>
      </c>
      <c r="E156" s="312">
        <v>20214000004333</v>
      </c>
      <c r="F156" s="477">
        <v>44228</v>
      </c>
      <c r="G156" s="312" t="s">
        <v>2943</v>
      </c>
      <c r="H156" s="213" t="s">
        <v>2944</v>
      </c>
      <c r="I156" s="213" t="s">
        <v>47</v>
      </c>
      <c r="J156" s="474">
        <v>27000000</v>
      </c>
      <c r="K156" s="213" t="s">
        <v>37</v>
      </c>
      <c r="L156" s="213" t="s">
        <v>2945</v>
      </c>
      <c r="M156" s="213" t="s">
        <v>44</v>
      </c>
      <c r="N156" s="213" t="s">
        <v>45</v>
      </c>
      <c r="O156" s="213" t="s">
        <v>310</v>
      </c>
      <c r="P156" s="213" t="s">
        <v>43</v>
      </c>
      <c r="R156" s="213">
        <v>158</v>
      </c>
      <c r="S156" s="477">
        <v>44228</v>
      </c>
      <c r="T156" s="213" t="s">
        <v>3258</v>
      </c>
      <c r="U156" s="474">
        <v>27000000</v>
      </c>
      <c r="V156" s="407"/>
      <c r="W156" s="363"/>
      <c r="X156" s="480">
        <v>189</v>
      </c>
      <c r="Y156" s="481">
        <v>44252</v>
      </c>
      <c r="Z156" s="481">
        <v>44252</v>
      </c>
      <c r="AA156" s="481">
        <v>44525</v>
      </c>
      <c r="AB156" s="482" t="s">
        <v>2913</v>
      </c>
      <c r="AC156" s="480">
        <v>126</v>
      </c>
      <c r="AD156" s="482">
        <v>1014249184</v>
      </c>
      <c r="AE156" s="483" t="s">
        <v>3259</v>
      </c>
      <c r="AF156" s="472">
        <v>27000000</v>
      </c>
      <c r="AG156" s="473">
        <f t="shared" si="2"/>
        <v>0</v>
      </c>
      <c r="AL156" s="474">
        <v>3400000</v>
      </c>
      <c r="AM156" s="307">
        <v>3000000</v>
      </c>
    </row>
    <row r="157" spans="1:39" hidden="1" x14ac:dyDescent="0.25">
      <c r="A157" s="475" t="s">
        <v>2747</v>
      </c>
      <c r="B157" s="476">
        <v>54965093</v>
      </c>
      <c r="C157" s="213" t="s">
        <v>2909</v>
      </c>
      <c r="D157" s="213">
        <v>155</v>
      </c>
      <c r="E157" s="312">
        <v>20214000004343</v>
      </c>
      <c r="F157" s="477">
        <v>44228</v>
      </c>
      <c r="G157" s="312" t="s">
        <v>2943</v>
      </c>
      <c r="H157" s="213" t="s">
        <v>2944</v>
      </c>
      <c r="I157" s="213" t="s">
        <v>47</v>
      </c>
      <c r="J157" s="474">
        <v>51345000</v>
      </c>
      <c r="K157" s="213" t="s">
        <v>37</v>
      </c>
      <c r="L157" s="213" t="s">
        <v>2945</v>
      </c>
      <c r="M157" s="213" t="s">
        <v>44</v>
      </c>
      <c r="N157" s="213" t="s">
        <v>45</v>
      </c>
      <c r="O157" s="213" t="s">
        <v>310</v>
      </c>
      <c r="P157" s="213" t="s">
        <v>43</v>
      </c>
      <c r="R157" s="213">
        <v>159</v>
      </c>
      <c r="S157" s="477">
        <v>44228</v>
      </c>
      <c r="T157" s="213" t="s">
        <v>3260</v>
      </c>
      <c r="U157" s="474">
        <v>51345000</v>
      </c>
      <c r="V157" s="407"/>
      <c r="W157" s="363"/>
      <c r="X157" s="480">
        <v>142</v>
      </c>
      <c r="Y157" s="481">
        <v>44243</v>
      </c>
      <c r="Z157" s="481">
        <v>44243</v>
      </c>
      <c r="AA157" s="481">
        <v>44516</v>
      </c>
      <c r="AB157" s="482" t="s">
        <v>2913</v>
      </c>
      <c r="AC157" s="480">
        <v>94</v>
      </c>
      <c r="AD157" s="482">
        <v>1026270734</v>
      </c>
      <c r="AE157" s="483" t="s">
        <v>3261</v>
      </c>
      <c r="AF157" s="472">
        <v>51345000</v>
      </c>
      <c r="AG157" s="473">
        <f t="shared" si="2"/>
        <v>0</v>
      </c>
      <c r="AJ157" s="474">
        <v>2472167</v>
      </c>
      <c r="AK157" s="474">
        <v>5705000</v>
      </c>
      <c r="AL157" s="474">
        <v>5705000</v>
      </c>
      <c r="AM157" s="307">
        <v>5705000</v>
      </c>
    </row>
    <row r="158" spans="1:39" hidden="1" x14ac:dyDescent="0.25">
      <c r="A158" s="475" t="s">
        <v>3262</v>
      </c>
      <c r="B158" s="476">
        <v>5940000</v>
      </c>
      <c r="C158" s="213" t="s">
        <v>2909</v>
      </c>
      <c r="D158" s="213">
        <v>156</v>
      </c>
      <c r="E158" s="312">
        <v>20214000004353</v>
      </c>
      <c r="F158" s="477">
        <v>44228</v>
      </c>
      <c r="G158" s="312" t="s">
        <v>2943</v>
      </c>
      <c r="H158" s="213" t="s">
        <v>2944</v>
      </c>
      <c r="I158" s="213" t="s">
        <v>47</v>
      </c>
      <c r="J158" s="474">
        <v>5940000</v>
      </c>
      <c r="K158" s="213" t="s">
        <v>37</v>
      </c>
      <c r="L158" s="213" t="s">
        <v>2945</v>
      </c>
      <c r="M158" s="213" t="s">
        <v>44</v>
      </c>
      <c r="N158" s="213" t="s">
        <v>45</v>
      </c>
      <c r="O158" s="213" t="s">
        <v>310</v>
      </c>
      <c r="P158" s="213" t="s">
        <v>43</v>
      </c>
      <c r="R158" s="213">
        <v>160</v>
      </c>
      <c r="S158" s="477">
        <v>44228</v>
      </c>
      <c r="T158" s="213" t="s">
        <v>3263</v>
      </c>
      <c r="U158" s="474">
        <v>5940000</v>
      </c>
      <c r="V158" s="407"/>
      <c r="W158" s="363"/>
      <c r="X158" s="480">
        <v>119</v>
      </c>
      <c r="Y158" s="481">
        <v>44238</v>
      </c>
      <c r="Z158" s="481">
        <v>44238</v>
      </c>
      <c r="AA158" s="481">
        <v>44511</v>
      </c>
      <c r="AB158" s="482" t="s">
        <v>2913</v>
      </c>
      <c r="AC158" s="212">
        <v>69</v>
      </c>
      <c r="AD158" s="482">
        <v>1118550734</v>
      </c>
      <c r="AE158" s="483" t="s">
        <v>3264</v>
      </c>
      <c r="AF158" s="472">
        <v>5940000</v>
      </c>
      <c r="AG158" s="473">
        <f t="shared" si="2"/>
        <v>0</v>
      </c>
      <c r="AJ158" s="474">
        <v>396000</v>
      </c>
      <c r="AK158" s="474">
        <v>660000</v>
      </c>
      <c r="AL158" s="474">
        <v>660000</v>
      </c>
      <c r="AM158" s="307">
        <v>660000</v>
      </c>
    </row>
    <row r="159" spans="1:39" hidden="1" x14ac:dyDescent="0.25">
      <c r="A159" s="475" t="s">
        <v>3262</v>
      </c>
      <c r="B159" s="476">
        <v>53460000</v>
      </c>
      <c r="C159" s="213" t="s">
        <v>2909</v>
      </c>
      <c r="D159" s="213">
        <v>156</v>
      </c>
      <c r="E159" s="312">
        <v>20214000004353</v>
      </c>
      <c r="F159" s="477">
        <v>44228</v>
      </c>
      <c r="G159" s="312" t="s">
        <v>2936</v>
      </c>
      <c r="H159" s="213" t="s">
        <v>2937</v>
      </c>
      <c r="I159" s="213" t="s">
        <v>117</v>
      </c>
      <c r="J159" s="474">
        <v>43560000</v>
      </c>
      <c r="K159" s="213" t="s">
        <v>112</v>
      </c>
      <c r="L159" s="213" t="s">
        <v>2938</v>
      </c>
      <c r="M159" s="213" t="s">
        <v>44</v>
      </c>
      <c r="N159" s="213" t="s">
        <v>45</v>
      </c>
      <c r="O159" s="213" t="s">
        <v>63</v>
      </c>
      <c r="P159" s="213" t="s">
        <v>43</v>
      </c>
      <c r="R159" s="330">
        <v>160</v>
      </c>
      <c r="S159" s="477">
        <v>44228</v>
      </c>
      <c r="T159" s="213" t="s">
        <v>3263</v>
      </c>
      <c r="U159" s="474">
        <v>43560000</v>
      </c>
      <c r="V159" s="407"/>
      <c r="W159" s="363"/>
      <c r="X159" s="480">
        <v>119</v>
      </c>
      <c r="Y159" s="481">
        <v>44238</v>
      </c>
      <c r="Z159" s="481">
        <v>44238</v>
      </c>
      <c r="AA159" s="481">
        <v>44511</v>
      </c>
      <c r="AB159" s="482" t="s">
        <v>2913</v>
      </c>
      <c r="AC159" s="212">
        <v>69</v>
      </c>
      <c r="AD159" s="482">
        <v>1118550734</v>
      </c>
      <c r="AE159" s="483" t="s">
        <v>3264</v>
      </c>
      <c r="AF159" s="472">
        <v>43560000</v>
      </c>
      <c r="AG159" s="473">
        <f t="shared" si="2"/>
        <v>0</v>
      </c>
      <c r="AJ159" s="493">
        <v>2904000</v>
      </c>
      <c r="AK159" s="474">
        <v>4840000</v>
      </c>
      <c r="AL159" s="474">
        <v>4840000</v>
      </c>
      <c r="AM159" s="307">
        <v>4840000</v>
      </c>
    </row>
    <row r="160" spans="1:39" hidden="1" x14ac:dyDescent="0.25">
      <c r="A160" s="475" t="s">
        <v>2746</v>
      </c>
      <c r="B160" s="476">
        <v>82500000</v>
      </c>
      <c r="C160" s="213" t="s">
        <v>2909</v>
      </c>
      <c r="D160" s="213">
        <v>157</v>
      </c>
      <c r="E160" s="312">
        <v>20214000004373</v>
      </c>
      <c r="F160" s="477">
        <v>44228</v>
      </c>
      <c r="G160" s="312" t="s">
        <v>2943</v>
      </c>
      <c r="H160" s="213" t="s">
        <v>2944</v>
      </c>
      <c r="I160" s="213" t="s">
        <v>47</v>
      </c>
      <c r="J160" s="474">
        <v>67500000</v>
      </c>
      <c r="K160" s="213" t="s">
        <v>37</v>
      </c>
      <c r="L160" s="213" t="s">
        <v>2945</v>
      </c>
      <c r="M160" s="213" t="s">
        <v>44</v>
      </c>
      <c r="N160" s="213" t="s">
        <v>45</v>
      </c>
      <c r="O160" s="213" t="s">
        <v>310</v>
      </c>
      <c r="P160" s="213" t="s">
        <v>43</v>
      </c>
      <c r="R160" s="213">
        <v>161</v>
      </c>
      <c r="S160" s="477">
        <v>44228</v>
      </c>
      <c r="T160" s="213" t="s">
        <v>3265</v>
      </c>
      <c r="U160" s="474">
        <v>67500000</v>
      </c>
      <c r="V160" s="407"/>
      <c r="W160" s="363"/>
      <c r="X160" s="309">
        <v>98</v>
      </c>
      <c r="Y160" s="481">
        <v>44236</v>
      </c>
      <c r="Z160" s="481">
        <v>44236</v>
      </c>
      <c r="AA160" s="481">
        <v>44509</v>
      </c>
      <c r="AB160" s="482" t="s">
        <v>2913</v>
      </c>
      <c r="AC160" s="212">
        <v>59</v>
      </c>
      <c r="AD160" s="484">
        <v>52975379</v>
      </c>
      <c r="AE160" s="483" t="s">
        <v>3266</v>
      </c>
      <c r="AF160" s="472">
        <v>67500000</v>
      </c>
      <c r="AG160" s="473">
        <f t="shared" si="2"/>
        <v>0</v>
      </c>
      <c r="AJ160" s="474">
        <v>5000000</v>
      </c>
      <c r="AK160" s="474">
        <v>7500000</v>
      </c>
      <c r="AL160" s="474">
        <v>7500000</v>
      </c>
      <c r="AM160" s="307">
        <v>7500000</v>
      </c>
    </row>
    <row r="161" spans="1:39" hidden="1" x14ac:dyDescent="0.25">
      <c r="A161" s="475" t="s">
        <v>3267</v>
      </c>
      <c r="B161" s="476">
        <v>6000000</v>
      </c>
      <c r="C161" s="213" t="s">
        <v>2909</v>
      </c>
      <c r="D161" s="213">
        <v>158</v>
      </c>
      <c r="E161" s="312">
        <v>20214000004383</v>
      </c>
      <c r="F161" s="477">
        <v>44228</v>
      </c>
      <c r="G161" s="312" t="s">
        <v>2943</v>
      </c>
      <c r="H161" s="213" t="s">
        <v>2944</v>
      </c>
      <c r="I161" s="213" t="s">
        <v>47</v>
      </c>
      <c r="J161" s="474">
        <v>6000000</v>
      </c>
      <c r="K161" s="213" t="s">
        <v>37</v>
      </c>
      <c r="L161" s="213" t="s">
        <v>2945</v>
      </c>
      <c r="M161" s="213" t="s">
        <v>44</v>
      </c>
      <c r="N161" s="213" t="s">
        <v>45</v>
      </c>
      <c r="O161" s="213" t="s">
        <v>310</v>
      </c>
      <c r="P161" s="213" t="s">
        <v>43</v>
      </c>
      <c r="R161" s="213">
        <v>162</v>
      </c>
      <c r="S161" s="477">
        <v>44228</v>
      </c>
      <c r="T161" s="213" t="s">
        <v>3268</v>
      </c>
      <c r="U161" s="474">
        <v>6000000</v>
      </c>
      <c r="V161" s="407"/>
      <c r="W161" s="363"/>
      <c r="X161" s="309">
        <v>114</v>
      </c>
      <c r="Y161" s="481">
        <v>44237</v>
      </c>
      <c r="Z161" s="481">
        <v>44237</v>
      </c>
      <c r="AA161" s="481">
        <v>44510</v>
      </c>
      <c r="AB161" s="482" t="s">
        <v>2913</v>
      </c>
      <c r="AC161" s="212">
        <v>64</v>
      </c>
      <c r="AD161" s="484">
        <v>79316274</v>
      </c>
      <c r="AE161" s="483" t="s">
        <v>3269</v>
      </c>
      <c r="AF161" s="472">
        <v>6000000</v>
      </c>
      <c r="AG161" s="473">
        <f t="shared" si="2"/>
        <v>0</v>
      </c>
      <c r="AJ161" s="474">
        <v>422222</v>
      </c>
      <c r="AK161" s="474">
        <v>666667</v>
      </c>
      <c r="AL161" s="474">
        <v>666667</v>
      </c>
      <c r="AM161" s="307">
        <v>666667</v>
      </c>
    </row>
    <row r="162" spans="1:39" hidden="1" x14ac:dyDescent="0.25">
      <c r="A162" s="475" t="s">
        <v>3267</v>
      </c>
      <c r="B162" s="476">
        <v>54000000</v>
      </c>
      <c r="C162" s="213" t="s">
        <v>2909</v>
      </c>
      <c r="D162" s="213">
        <v>158</v>
      </c>
      <c r="E162" s="312">
        <v>20214000004383</v>
      </c>
      <c r="F162" s="477">
        <v>44228</v>
      </c>
      <c r="G162" s="312" t="s">
        <v>2936</v>
      </c>
      <c r="H162" s="213" t="s">
        <v>2937</v>
      </c>
      <c r="I162" s="213" t="s">
        <v>117</v>
      </c>
      <c r="J162" s="474">
        <v>48000000</v>
      </c>
      <c r="K162" s="213" t="s">
        <v>112</v>
      </c>
      <c r="L162" s="213" t="s">
        <v>2938</v>
      </c>
      <c r="M162" s="213" t="s">
        <v>44</v>
      </c>
      <c r="N162" s="213" t="s">
        <v>45</v>
      </c>
      <c r="O162" s="213" t="s">
        <v>63</v>
      </c>
      <c r="P162" s="213" t="s">
        <v>43</v>
      </c>
      <c r="R162" s="330">
        <v>162</v>
      </c>
      <c r="S162" s="477">
        <v>44228</v>
      </c>
      <c r="T162" s="213" t="s">
        <v>3268</v>
      </c>
      <c r="U162" s="474">
        <v>48000000</v>
      </c>
      <c r="V162" s="407"/>
      <c r="W162" s="363"/>
      <c r="X162" s="309">
        <v>114</v>
      </c>
      <c r="Y162" s="481">
        <v>44237</v>
      </c>
      <c r="Z162" s="481">
        <v>44237</v>
      </c>
      <c r="AA162" s="481">
        <v>44510</v>
      </c>
      <c r="AB162" s="482" t="s">
        <v>2913</v>
      </c>
      <c r="AC162" s="212">
        <v>64</v>
      </c>
      <c r="AD162" s="484">
        <v>79316274</v>
      </c>
      <c r="AE162" s="483" t="s">
        <v>3269</v>
      </c>
      <c r="AF162" s="472">
        <v>48000000</v>
      </c>
      <c r="AG162" s="473">
        <f t="shared" si="2"/>
        <v>0</v>
      </c>
      <c r="AJ162" s="474">
        <v>3377778</v>
      </c>
      <c r="AK162" s="474">
        <v>5333333</v>
      </c>
      <c r="AL162" s="474">
        <v>5333333</v>
      </c>
      <c r="AM162" s="307">
        <v>5333333</v>
      </c>
    </row>
    <row r="163" spans="1:39" hidden="1" x14ac:dyDescent="0.25">
      <c r="A163" s="475" t="s">
        <v>2748</v>
      </c>
      <c r="B163" s="476">
        <v>24000000</v>
      </c>
      <c r="C163" s="213" t="s">
        <v>2909</v>
      </c>
      <c r="D163" s="213">
        <v>159</v>
      </c>
      <c r="E163" s="312">
        <v>20214000004593</v>
      </c>
      <c r="F163" s="477">
        <v>44228</v>
      </c>
      <c r="G163" s="312" t="s">
        <v>2943</v>
      </c>
      <c r="H163" s="213" t="s">
        <v>2944</v>
      </c>
      <c r="I163" s="213" t="s">
        <v>47</v>
      </c>
      <c r="J163" s="474">
        <v>24000000</v>
      </c>
      <c r="K163" s="213" t="s">
        <v>37</v>
      </c>
      <c r="L163" s="213" t="s">
        <v>2945</v>
      </c>
      <c r="M163" s="213" t="s">
        <v>44</v>
      </c>
      <c r="N163" s="213" t="s">
        <v>45</v>
      </c>
      <c r="O163" s="213" t="s">
        <v>310</v>
      </c>
      <c r="P163" s="213" t="s">
        <v>43</v>
      </c>
      <c r="R163" s="213">
        <v>164</v>
      </c>
      <c r="S163" s="477">
        <v>44228</v>
      </c>
      <c r="T163" s="213" t="s">
        <v>3270</v>
      </c>
      <c r="U163" s="474">
        <v>24000000</v>
      </c>
      <c r="V163" s="407"/>
      <c r="W163" s="363"/>
      <c r="X163" s="480">
        <v>123</v>
      </c>
      <c r="Y163" s="481">
        <v>44239</v>
      </c>
      <c r="Z163" s="481">
        <v>44239</v>
      </c>
      <c r="AA163" s="481">
        <v>44359</v>
      </c>
      <c r="AB163" s="482" t="s">
        <v>2913</v>
      </c>
      <c r="AC163" s="480">
        <v>81</v>
      </c>
      <c r="AD163" s="482">
        <v>74859637</v>
      </c>
      <c r="AE163" s="483" t="s">
        <v>3271</v>
      </c>
      <c r="AF163" s="472">
        <v>24000000</v>
      </c>
      <c r="AG163" s="473">
        <f t="shared" si="2"/>
        <v>0</v>
      </c>
      <c r="AM163" s="213"/>
    </row>
    <row r="164" spans="1:39" hidden="1" x14ac:dyDescent="0.25">
      <c r="A164" s="475" t="s">
        <v>2651</v>
      </c>
      <c r="B164" s="476">
        <v>56000000</v>
      </c>
      <c r="C164" s="213" t="s">
        <v>2909</v>
      </c>
      <c r="D164" s="213">
        <v>160</v>
      </c>
      <c r="E164" s="312">
        <v>20213000007863</v>
      </c>
      <c r="F164" s="477">
        <v>44243</v>
      </c>
      <c r="G164" s="312" t="s">
        <v>2903</v>
      </c>
      <c r="H164" s="213" t="s">
        <v>2904</v>
      </c>
      <c r="I164" s="213" t="s">
        <v>432</v>
      </c>
      <c r="J164" s="474">
        <v>56000000</v>
      </c>
      <c r="K164" s="213" t="s">
        <v>358</v>
      </c>
      <c r="L164" s="213" t="s">
        <v>3054</v>
      </c>
      <c r="M164" s="213" t="s">
        <v>44</v>
      </c>
      <c r="N164" s="213" t="s">
        <v>45</v>
      </c>
      <c r="O164" s="213" t="s">
        <v>63</v>
      </c>
      <c r="P164" s="213" t="s">
        <v>678</v>
      </c>
      <c r="R164" s="213">
        <v>241</v>
      </c>
      <c r="S164" s="477">
        <v>44243</v>
      </c>
      <c r="T164" s="213" t="s">
        <v>3272</v>
      </c>
      <c r="U164" s="474">
        <v>56000000</v>
      </c>
      <c r="V164" s="407"/>
      <c r="W164" s="363"/>
      <c r="X164" s="309">
        <v>217</v>
      </c>
      <c r="Y164" s="481">
        <v>44257</v>
      </c>
      <c r="Z164" s="481">
        <v>44257</v>
      </c>
      <c r="AA164" s="481">
        <v>44500</v>
      </c>
      <c r="AB164" s="482" t="s">
        <v>2913</v>
      </c>
      <c r="AC164" s="212">
        <v>133</v>
      </c>
      <c r="AD164" s="482" t="s">
        <v>3273</v>
      </c>
      <c r="AE164" s="483" t="s">
        <v>3274</v>
      </c>
      <c r="AF164" s="472">
        <v>56000000</v>
      </c>
      <c r="AG164" s="473">
        <f t="shared" si="2"/>
        <v>0</v>
      </c>
      <c r="AK164" s="474">
        <v>6766666</v>
      </c>
      <c r="AL164" s="474">
        <v>7000000</v>
      </c>
      <c r="AM164" s="307">
        <v>7000000</v>
      </c>
    </row>
    <row r="165" spans="1:39" hidden="1" x14ac:dyDescent="0.25">
      <c r="A165" s="475" t="s">
        <v>2702</v>
      </c>
      <c r="B165" s="476">
        <v>60000000</v>
      </c>
      <c r="C165" s="213" t="s">
        <v>2909</v>
      </c>
      <c r="D165" s="213">
        <v>161</v>
      </c>
      <c r="E165" s="312">
        <v>20211200004633</v>
      </c>
      <c r="F165" s="477">
        <v>44228</v>
      </c>
      <c r="G165" s="312" t="s">
        <v>2910</v>
      </c>
      <c r="H165" s="213" t="s">
        <v>2911</v>
      </c>
      <c r="I165" s="213" t="s">
        <v>143</v>
      </c>
      <c r="J165" s="474">
        <v>60000000</v>
      </c>
      <c r="K165" s="213" t="s">
        <v>138</v>
      </c>
      <c r="L165" s="213" t="s">
        <v>139</v>
      </c>
      <c r="M165" s="213" t="s">
        <v>44</v>
      </c>
      <c r="N165" s="213" t="s">
        <v>45</v>
      </c>
      <c r="O165" s="213" t="s">
        <v>142</v>
      </c>
      <c r="P165" s="213" t="s">
        <v>43</v>
      </c>
      <c r="R165" s="213">
        <v>166</v>
      </c>
      <c r="S165" s="477">
        <v>44228</v>
      </c>
      <c r="T165" s="213" t="s">
        <v>3275</v>
      </c>
      <c r="U165" s="474">
        <v>60000000</v>
      </c>
      <c r="V165" s="407"/>
      <c r="W165" s="363"/>
      <c r="X165" s="480">
        <v>147</v>
      </c>
      <c r="Y165" s="481">
        <v>44243</v>
      </c>
      <c r="Z165" s="481">
        <v>44243</v>
      </c>
      <c r="AA165" s="481">
        <v>44546</v>
      </c>
      <c r="AB165" s="482" t="s">
        <v>2913</v>
      </c>
      <c r="AC165" s="480">
        <v>83</v>
      </c>
      <c r="AD165" s="482">
        <v>52964083</v>
      </c>
      <c r="AE165" s="483" t="s">
        <v>3276</v>
      </c>
      <c r="AF165" s="472">
        <v>60000000</v>
      </c>
      <c r="AG165" s="473">
        <f t="shared" si="2"/>
        <v>0</v>
      </c>
      <c r="AJ165" s="474">
        <v>2600000</v>
      </c>
      <c r="AK165" s="474">
        <v>6000000</v>
      </c>
      <c r="AL165" s="474">
        <v>6000000</v>
      </c>
      <c r="AM165" s="307">
        <v>6000000</v>
      </c>
    </row>
    <row r="166" spans="1:39" s="313" customFormat="1" hidden="1" x14ac:dyDescent="0.25">
      <c r="A166" s="362" t="s">
        <v>2703</v>
      </c>
      <c r="B166" s="418">
        <v>65000000</v>
      </c>
      <c r="C166" s="313" t="s">
        <v>2909</v>
      </c>
      <c r="D166" s="313">
        <v>162</v>
      </c>
      <c r="E166" s="326">
        <v>20211200004653</v>
      </c>
      <c r="F166" s="316">
        <v>44228</v>
      </c>
      <c r="G166" s="326" t="s">
        <v>2910</v>
      </c>
      <c r="H166" s="313" t="s">
        <v>2911</v>
      </c>
      <c r="I166" s="313" t="s">
        <v>143</v>
      </c>
      <c r="J166" s="406">
        <v>32500000</v>
      </c>
      <c r="K166" s="313" t="s">
        <v>138</v>
      </c>
      <c r="L166" s="313" t="s">
        <v>139</v>
      </c>
      <c r="M166" s="313" t="s">
        <v>44</v>
      </c>
      <c r="N166" s="313" t="s">
        <v>45</v>
      </c>
      <c r="O166" s="313" t="s">
        <v>142</v>
      </c>
      <c r="P166" s="313" t="s">
        <v>43</v>
      </c>
      <c r="R166" s="313">
        <v>167</v>
      </c>
      <c r="S166" s="316">
        <v>44228</v>
      </c>
      <c r="T166" s="313" t="s">
        <v>3277</v>
      </c>
      <c r="U166" s="406">
        <f>32500000-29250000</f>
        <v>3250000</v>
      </c>
      <c r="V166" s="443">
        <v>29250000</v>
      </c>
      <c r="W166" s="399"/>
      <c r="X166" s="315">
        <v>113</v>
      </c>
      <c r="Y166" s="391">
        <v>44237</v>
      </c>
      <c r="Z166" s="391">
        <v>44237</v>
      </c>
      <c r="AA166" s="391">
        <v>44387</v>
      </c>
      <c r="AB166" s="392" t="s">
        <v>2913</v>
      </c>
      <c r="AC166" s="317">
        <v>61</v>
      </c>
      <c r="AD166" s="393">
        <v>52428475</v>
      </c>
      <c r="AE166" s="361" t="s">
        <v>3278</v>
      </c>
      <c r="AF166" s="411">
        <f>32500000-29250000</f>
        <v>3250000</v>
      </c>
      <c r="AG166" s="319">
        <f t="shared" si="2"/>
        <v>0</v>
      </c>
      <c r="AH166" s="406"/>
      <c r="AI166" s="406"/>
      <c r="AJ166" s="406"/>
      <c r="AK166" s="406"/>
      <c r="AL166" s="406"/>
      <c r="AM166" s="213"/>
    </row>
    <row r="167" spans="1:39" hidden="1" x14ac:dyDescent="0.25">
      <c r="A167" s="475" t="s">
        <v>3279</v>
      </c>
      <c r="C167" s="213" t="s">
        <v>2909</v>
      </c>
      <c r="D167" s="213">
        <v>163</v>
      </c>
      <c r="E167" s="312">
        <v>20213000004523</v>
      </c>
      <c r="F167" s="477">
        <v>44228</v>
      </c>
      <c r="G167" s="312" t="s">
        <v>2903</v>
      </c>
      <c r="H167" s="213" t="s">
        <v>2904</v>
      </c>
      <c r="I167" s="213" t="s">
        <v>432</v>
      </c>
      <c r="J167" s="474">
        <v>2800000</v>
      </c>
      <c r="K167" s="213" t="s">
        <v>358</v>
      </c>
      <c r="L167" s="213" t="s">
        <v>3054</v>
      </c>
      <c r="M167" s="213" t="s">
        <v>44</v>
      </c>
      <c r="N167" s="213" t="s">
        <v>45</v>
      </c>
      <c r="O167" s="213" t="s">
        <v>63</v>
      </c>
      <c r="P167" s="213" t="s">
        <v>678</v>
      </c>
      <c r="R167" s="213">
        <v>163</v>
      </c>
      <c r="S167" s="477">
        <v>44228</v>
      </c>
      <c r="T167" s="213" t="s">
        <v>3280</v>
      </c>
      <c r="U167" s="474">
        <v>2800000</v>
      </c>
      <c r="V167" s="407"/>
      <c r="W167" s="363"/>
      <c r="X167" s="309">
        <v>79</v>
      </c>
      <c r="Y167" s="481">
        <v>44232</v>
      </c>
      <c r="Z167" s="481">
        <v>44233</v>
      </c>
      <c r="AA167" s="481">
        <v>44260</v>
      </c>
      <c r="AB167" s="482" t="s">
        <v>2913</v>
      </c>
      <c r="AC167" s="212">
        <v>559</v>
      </c>
      <c r="AD167" s="484">
        <v>1024579339</v>
      </c>
      <c r="AE167" s="483" t="s">
        <v>3281</v>
      </c>
      <c r="AF167" s="472">
        <v>2800000</v>
      </c>
      <c r="AG167" s="473">
        <f t="shared" si="2"/>
        <v>0</v>
      </c>
      <c r="AJ167" s="474">
        <v>2800000</v>
      </c>
      <c r="AM167" s="213"/>
    </row>
    <row r="168" spans="1:39" hidden="1" x14ac:dyDescent="0.25">
      <c r="A168" s="475" t="s">
        <v>3282</v>
      </c>
      <c r="B168" s="476">
        <v>12000000</v>
      </c>
      <c r="C168" s="213" t="s">
        <v>2909</v>
      </c>
      <c r="D168" s="213">
        <v>164</v>
      </c>
      <c r="E168" s="312">
        <v>20214000004683</v>
      </c>
      <c r="F168" s="477">
        <v>44228</v>
      </c>
      <c r="G168" s="312" t="s">
        <v>2936</v>
      </c>
      <c r="H168" s="213" t="s">
        <v>2937</v>
      </c>
      <c r="I168" s="213" t="s">
        <v>117</v>
      </c>
      <c r="J168" s="474">
        <v>12000000</v>
      </c>
      <c r="K168" s="213" t="s">
        <v>112</v>
      </c>
      <c r="L168" s="213" t="s">
        <v>2938</v>
      </c>
      <c r="M168" s="213" t="s">
        <v>44</v>
      </c>
      <c r="N168" s="213" t="s">
        <v>45</v>
      </c>
      <c r="O168" s="213" t="s">
        <v>63</v>
      </c>
      <c r="P168" s="213" t="s">
        <v>43</v>
      </c>
      <c r="R168" s="213">
        <v>168</v>
      </c>
      <c r="S168" s="477">
        <v>44229</v>
      </c>
      <c r="T168" s="213" t="s">
        <v>3283</v>
      </c>
      <c r="U168" s="474">
        <v>12000000</v>
      </c>
      <c r="V168" s="407"/>
      <c r="W168" s="363"/>
      <c r="X168" s="480">
        <v>172</v>
      </c>
      <c r="Y168" s="481">
        <v>44246</v>
      </c>
      <c r="Z168" s="481">
        <v>44246</v>
      </c>
      <c r="AA168" s="481">
        <v>44366</v>
      </c>
      <c r="AB168" s="482" t="s">
        <v>2913</v>
      </c>
      <c r="AC168" s="480">
        <v>117</v>
      </c>
      <c r="AD168" s="482">
        <v>51692528</v>
      </c>
      <c r="AE168" s="483" t="s">
        <v>3284</v>
      </c>
      <c r="AF168" s="472">
        <v>12000000</v>
      </c>
      <c r="AG168" s="473">
        <f t="shared" si="2"/>
        <v>0</v>
      </c>
      <c r="AL168" s="474">
        <v>6700000</v>
      </c>
      <c r="AM168" s="307">
        <v>3000000</v>
      </c>
    </row>
    <row r="169" spans="1:39" hidden="1" x14ac:dyDescent="0.25">
      <c r="A169" s="475" t="s">
        <v>3285</v>
      </c>
      <c r="B169" s="476">
        <v>77500000</v>
      </c>
      <c r="C169" s="213" t="s">
        <v>2909</v>
      </c>
      <c r="D169" s="213">
        <v>165</v>
      </c>
      <c r="E169" s="312">
        <v>20214000004703</v>
      </c>
      <c r="F169" s="477">
        <v>44228</v>
      </c>
      <c r="G169" s="312" t="s">
        <v>2936</v>
      </c>
      <c r="H169" s="213" t="s">
        <v>2937</v>
      </c>
      <c r="I169" s="213" t="s">
        <v>117</v>
      </c>
      <c r="J169" s="474">
        <v>60000000</v>
      </c>
      <c r="K169" s="213" t="s">
        <v>112</v>
      </c>
      <c r="L169" s="213" t="s">
        <v>2938</v>
      </c>
      <c r="M169" s="213" t="s">
        <v>44</v>
      </c>
      <c r="N169" s="213" t="s">
        <v>45</v>
      </c>
      <c r="O169" s="213" t="s">
        <v>63</v>
      </c>
      <c r="P169" s="213" t="s">
        <v>43</v>
      </c>
      <c r="R169" s="213">
        <v>169</v>
      </c>
      <c r="S169" s="477">
        <v>44229</v>
      </c>
      <c r="T169" s="213" t="s">
        <v>3286</v>
      </c>
      <c r="U169" s="474">
        <v>60000000</v>
      </c>
      <c r="V169" s="407"/>
      <c r="W169" s="363"/>
      <c r="X169" s="480">
        <v>198</v>
      </c>
      <c r="Y169" s="481">
        <v>44253</v>
      </c>
      <c r="Z169" s="481">
        <v>44253</v>
      </c>
      <c r="AA169" s="481">
        <v>44495</v>
      </c>
      <c r="AB169" s="482" t="s">
        <v>2913</v>
      </c>
      <c r="AC169" s="480">
        <v>135</v>
      </c>
      <c r="AD169" s="482">
        <v>74369283</v>
      </c>
      <c r="AE169" s="483" t="s">
        <v>3287</v>
      </c>
      <c r="AF169" s="472">
        <v>60000000</v>
      </c>
      <c r="AG169" s="473">
        <f t="shared" si="2"/>
        <v>0</v>
      </c>
      <c r="AL169" s="474">
        <v>8250000</v>
      </c>
      <c r="AM169" s="213"/>
    </row>
    <row r="170" spans="1:39" hidden="1" x14ac:dyDescent="0.25">
      <c r="A170" s="475" t="s">
        <v>3288</v>
      </c>
      <c r="B170" s="476">
        <v>31000000</v>
      </c>
      <c r="C170" s="213" t="s">
        <v>2909</v>
      </c>
      <c r="D170" s="213">
        <v>166</v>
      </c>
      <c r="E170" s="312">
        <v>20214000004713</v>
      </c>
      <c r="F170" s="477">
        <v>44228</v>
      </c>
      <c r="G170" s="312" t="s">
        <v>2936</v>
      </c>
      <c r="H170" s="213" t="s">
        <v>2937</v>
      </c>
      <c r="I170" s="213" t="s">
        <v>117</v>
      </c>
      <c r="J170" s="474">
        <v>24000000</v>
      </c>
      <c r="K170" s="213" t="s">
        <v>112</v>
      </c>
      <c r="L170" s="213" t="s">
        <v>2938</v>
      </c>
      <c r="M170" s="213" t="s">
        <v>44</v>
      </c>
      <c r="N170" s="213" t="s">
        <v>45</v>
      </c>
      <c r="O170" s="213" t="s">
        <v>63</v>
      </c>
      <c r="P170" s="213" t="s">
        <v>43</v>
      </c>
      <c r="R170" s="213">
        <v>170</v>
      </c>
      <c r="S170" s="477">
        <v>44229</v>
      </c>
      <c r="T170" s="213" t="s">
        <v>3289</v>
      </c>
      <c r="U170" s="474">
        <v>24000000</v>
      </c>
      <c r="V170" s="407"/>
      <c r="W170" s="363"/>
      <c r="X170" s="480">
        <v>197</v>
      </c>
      <c r="Y170" s="481">
        <v>44253</v>
      </c>
      <c r="Z170" s="481">
        <v>44253</v>
      </c>
      <c r="AA170" s="481">
        <v>44495</v>
      </c>
      <c r="AB170" s="482" t="s">
        <v>2913</v>
      </c>
      <c r="AC170" s="480">
        <v>137</v>
      </c>
      <c r="AD170" s="482">
        <v>1022444236</v>
      </c>
      <c r="AE170" s="483" t="s">
        <v>3290</v>
      </c>
      <c r="AF170" s="472">
        <v>24000000</v>
      </c>
      <c r="AG170" s="473">
        <f t="shared" si="2"/>
        <v>0</v>
      </c>
      <c r="AL170" s="474">
        <v>6300000</v>
      </c>
      <c r="AM170" s="307">
        <v>3000000</v>
      </c>
    </row>
    <row r="171" spans="1:39" hidden="1" x14ac:dyDescent="0.25">
      <c r="A171" s="475" t="s">
        <v>3291</v>
      </c>
      <c r="B171" s="476">
        <v>58900000</v>
      </c>
      <c r="C171" s="213" t="s">
        <v>2909</v>
      </c>
      <c r="D171" s="213">
        <v>167</v>
      </c>
      <c r="E171" s="312">
        <v>20214000004603</v>
      </c>
      <c r="F171" s="477">
        <v>44228</v>
      </c>
      <c r="G171" s="312" t="s">
        <v>2936</v>
      </c>
      <c r="H171" s="213" t="s">
        <v>2937</v>
      </c>
      <c r="I171" s="213" t="s">
        <v>117</v>
      </c>
      <c r="J171" s="474">
        <v>45600000</v>
      </c>
      <c r="K171" s="213" t="s">
        <v>112</v>
      </c>
      <c r="L171" s="213" t="s">
        <v>2938</v>
      </c>
      <c r="M171" s="213" t="s">
        <v>44</v>
      </c>
      <c r="N171" s="213" t="s">
        <v>45</v>
      </c>
      <c r="O171" s="213" t="s">
        <v>63</v>
      </c>
      <c r="P171" s="213" t="s">
        <v>43</v>
      </c>
      <c r="R171" s="213">
        <v>165</v>
      </c>
      <c r="S171" s="477">
        <v>44228</v>
      </c>
      <c r="T171" s="213" t="s">
        <v>3292</v>
      </c>
      <c r="U171" s="474">
        <v>45600000</v>
      </c>
      <c r="V171" s="407"/>
      <c r="W171" s="363"/>
      <c r="X171" s="309">
        <v>218</v>
      </c>
      <c r="Y171" s="481">
        <v>44257</v>
      </c>
      <c r="Z171" s="481">
        <v>44257</v>
      </c>
      <c r="AA171" s="481">
        <v>44500</v>
      </c>
      <c r="AB171" s="482" t="s">
        <v>2913</v>
      </c>
      <c r="AC171" s="212">
        <v>160</v>
      </c>
      <c r="AD171" s="482" t="s">
        <v>3293</v>
      </c>
      <c r="AE171" s="483" t="s">
        <v>3294</v>
      </c>
      <c r="AF171" s="472">
        <v>45600000</v>
      </c>
      <c r="AG171" s="473">
        <f t="shared" si="2"/>
        <v>0</v>
      </c>
      <c r="AK171" s="474">
        <v>5320000</v>
      </c>
      <c r="AL171" s="474">
        <v>5700000</v>
      </c>
      <c r="AM171" s="307">
        <v>5700000</v>
      </c>
    </row>
    <row r="172" spans="1:39" hidden="1" x14ac:dyDescent="0.25">
      <c r="A172" s="475" t="s">
        <v>2796</v>
      </c>
      <c r="B172" s="476">
        <v>55000000</v>
      </c>
      <c r="C172" s="213" t="s">
        <v>2909</v>
      </c>
      <c r="D172" s="213">
        <v>168</v>
      </c>
      <c r="E172" s="310">
        <v>20214000008333</v>
      </c>
      <c r="F172" s="311">
        <v>44243</v>
      </c>
      <c r="G172" s="312" t="s">
        <v>2936</v>
      </c>
      <c r="H172" s="213" t="s">
        <v>2937</v>
      </c>
      <c r="I172" s="213" t="s">
        <v>117</v>
      </c>
      <c r="J172" s="474">
        <v>38500000</v>
      </c>
      <c r="K172" s="213" t="s">
        <v>112</v>
      </c>
      <c r="L172" s="213" t="s">
        <v>2938</v>
      </c>
      <c r="M172" s="213" t="s">
        <v>44</v>
      </c>
      <c r="N172" s="213" t="s">
        <v>45</v>
      </c>
      <c r="O172" s="213" t="s">
        <v>63</v>
      </c>
      <c r="P172" s="213" t="s">
        <v>43</v>
      </c>
      <c r="R172" s="483">
        <v>259</v>
      </c>
      <c r="S172" s="487">
        <v>44244</v>
      </c>
      <c r="T172" s="483" t="s">
        <v>3295</v>
      </c>
      <c r="U172" s="474">
        <v>38500000</v>
      </c>
      <c r="V172" s="407"/>
      <c r="W172" s="363"/>
      <c r="X172" s="309">
        <v>219</v>
      </c>
      <c r="Y172" s="481">
        <v>44257</v>
      </c>
      <c r="Z172" s="481">
        <v>44257</v>
      </c>
      <c r="AA172" s="481">
        <v>44469</v>
      </c>
      <c r="AB172" s="482" t="s">
        <v>2913</v>
      </c>
      <c r="AC172" s="212">
        <v>159</v>
      </c>
      <c r="AD172" s="482" t="s">
        <v>3296</v>
      </c>
      <c r="AE172" s="483" t="s">
        <v>3297</v>
      </c>
      <c r="AF172" s="472">
        <v>38500000</v>
      </c>
      <c r="AG172" s="473">
        <f t="shared" si="2"/>
        <v>0</v>
      </c>
      <c r="AK172" s="474">
        <v>5133333</v>
      </c>
      <c r="AL172" s="474">
        <v>5500000</v>
      </c>
      <c r="AM172" s="307">
        <v>5500000</v>
      </c>
    </row>
    <row r="173" spans="1:39" hidden="1" x14ac:dyDescent="0.25">
      <c r="A173" s="475" t="s">
        <v>2198</v>
      </c>
      <c r="B173" s="476">
        <v>17854947</v>
      </c>
      <c r="C173" s="213" t="s">
        <v>2909</v>
      </c>
      <c r="D173" s="213">
        <v>169</v>
      </c>
      <c r="E173" s="312">
        <v>20212000007613</v>
      </c>
      <c r="F173" s="477">
        <v>44243</v>
      </c>
      <c r="G173" s="312" t="s">
        <v>2903</v>
      </c>
      <c r="H173" s="213" t="s">
        <v>2904</v>
      </c>
      <c r="I173" s="213" t="s">
        <v>391</v>
      </c>
      <c r="J173" s="474">
        <v>15800000</v>
      </c>
      <c r="K173" s="211" t="s">
        <v>2974</v>
      </c>
      <c r="L173" s="213" t="s">
        <v>2975</v>
      </c>
      <c r="M173" s="213" t="s">
        <v>44</v>
      </c>
      <c r="N173" s="213" t="s">
        <v>45</v>
      </c>
      <c r="O173" s="213" t="s">
        <v>63</v>
      </c>
      <c r="P173" s="213" t="s">
        <v>678</v>
      </c>
      <c r="R173" s="213">
        <v>239</v>
      </c>
      <c r="S173" s="477">
        <v>44243</v>
      </c>
      <c r="T173" s="213" t="s">
        <v>3298</v>
      </c>
      <c r="U173" s="474">
        <v>15800000</v>
      </c>
      <c r="V173" s="407"/>
      <c r="W173" s="363"/>
      <c r="X173" s="309">
        <v>220</v>
      </c>
      <c r="Y173" s="481">
        <v>44257</v>
      </c>
      <c r="Z173" s="481">
        <v>44257</v>
      </c>
      <c r="AA173" s="481">
        <v>44377</v>
      </c>
      <c r="AB173" s="482" t="s">
        <v>2913</v>
      </c>
      <c r="AC173" s="212">
        <v>157</v>
      </c>
      <c r="AD173" s="482" t="s">
        <v>3299</v>
      </c>
      <c r="AE173" s="483" t="s">
        <v>3300</v>
      </c>
      <c r="AF173" s="472">
        <v>15800000</v>
      </c>
      <c r="AG173" s="473">
        <f t="shared" si="2"/>
        <v>0</v>
      </c>
      <c r="AK173" s="474">
        <v>3555000</v>
      </c>
      <c r="AL173" s="474">
        <v>3950000</v>
      </c>
      <c r="AM173" s="307">
        <v>3950000</v>
      </c>
    </row>
    <row r="174" spans="1:39" hidden="1" x14ac:dyDescent="0.25">
      <c r="A174" s="475" t="s">
        <v>2776</v>
      </c>
      <c r="B174" s="476">
        <v>33129600</v>
      </c>
      <c r="C174" s="213" t="s">
        <v>2909</v>
      </c>
      <c r="D174" s="213">
        <v>170</v>
      </c>
      <c r="E174" s="312">
        <v>20212000005163</v>
      </c>
      <c r="F174" s="477">
        <v>44229</v>
      </c>
      <c r="G174" s="312" t="s">
        <v>2903</v>
      </c>
      <c r="H174" s="213" t="s">
        <v>2904</v>
      </c>
      <c r="I174" s="213" t="s">
        <v>391</v>
      </c>
      <c r="J174" s="474">
        <v>31059000</v>
      </c>
      <c r="K174" s="211" t="s">
        <v>2974</v>
      </c>
      <c r="L174" s="213" t="s">
        <v>2975</v>
      </c>
      <c r="M174" s="213" t="s">
        <v>44</v>
      </c>
      <c r="N174" s="213" t="s">
        <v>45</v>
      </c>
      <c r="O174" s="213" t="s">
        <v>63</v>
      </c>
      <c r="P174" s="213" t="s">
        <v>678</v>
      </c>
      <c r="R174" s="213">
        <v>176</v>
      </c>
      <c r="S174" s="477">
        <v>44229</v>
      </c>
      <c r="T174" s="213" t="s">
        <v>3301</v>
      </c>
      <c r="U174" s="474">
        <f>31059000-1479000</f>
        <v>29580000</v>
      </c>
      <c r="V174" s="412">
        <v>1479000</v>
      </c>
      <c r="W174" s="398"/>
      <c r="X174" s="480">
        <v>199</v>
      </c>
      <c r="Y174" s="481">
        <v>44253</v>
      </c>
      <c r="Z174" s="481">
        <v>44253</v>
      </c>
      <c r="AA174" s="481">
        <v>44556</v>
      </c>
      <c r="AB174" s="482" t="s">
        <v>2913</v>
      </c>
      <c r="AC174" s="480">
        <v>132</v>
      </c>
      <c r="AD174" s="482" t="s">
        <v>3302</v>
      </c>
      <c r="AE174" s="483" t="s">
        <v>3303</v>
      </c>
      <c r="AF174" s="472">
        <v>29580000</v>
      </c>
      <c r="AG174" s="473">
        <f t="shared" si="2"/>
        <v>0</v>
      </c>
      <c r="AJ174" s="474">
        <v>295800</v>
      </c>
      <c r="AK174" s="474">
        <v>2958000</v>
      </c>
      <c r="AL174" s="474">
        <v>2958000</v>
      </c>
      <c r="AM174" s="307">
        <v>2958000</v>
      </c>
    </row>
    <row r="175" spans="1:39" hidden="1" x14ac:dyDescent="0.25">
      <c r="A175" s="475" t="s">
        <v>2777</v>
      </c>
      <c r="B175" s="476">
        <v>33129600</v>
      </c>
      <c r="C175" s="213" t="s">
        <v>2909</v>
      </c>
      <c r="D175" s="213">
        <v>171</v>
      </c>
      <c r="E175" s="312">
        <v>20212000005173</v>
      </c>
      <c r="F175" s="477">
        <v>44229</v>
      </c>
      <c r="G175" s="312" t="s">
        <v>2903</v>
      </c>
      <c r="H175" s="213" t="s">
        <v>2904</v>
      </c>
      <c r="I175" s="213" t="s">
        <v>391</v>
      </c>
      <c r="J175" s="474">
        <v>31059000</v>
      </c>
      <c r="K175" s="211" t="s">
        <v>2974</v>
      </c>
      <c r="L175" s="213" t="s">
        <v>2975</v>
      </c>
      <c r="M175" s="213" t="s">
        <v>44</v>
      </c>
      <c r="N175" s="213" t="s">
        <v>45</v>
      </c>
      <c r="O175" s="213" t="s">
        <v>63</v>
      </c>
      <c r="P175" s="213" t="s">
        <v>678</v>
      </c>
      <c r="R175" s="213">
        <v>177</v>
      </c>
      <c r="S175" s="477">
        <v>44229</v>
      </c>
      <c r="T175" s="213" t="s">
        <v>3304</v>
      </c>
      <c r="U175" s="474">
        <f>31059000-1479000</f>
        <v>29580000</v>
      </c>
      <c r="V175" s="412">
        <v>1479000</v>
      </c>
      <c r="W175" s="398"/>
      <c r="X175" s="480">
        <v>182</v>
      </c>
      <c r="Y175" s="481">
        <v>44250</v>
      </c>
      <c r="Z175" s="481">
        <v>44250</v>
      </c>
      <c r="AA175" s="481">
        <v>44553</v>
      </c>
      <c r="AB175" s="482" t="s">
        <v>2913</v>
      </c>
      <c r="AC175" s="480">
        <v>123</v>
      </c>
      <c r="AD175" s="482">
        <v>1030630774</v>
      </c>
      <c r="AE175" s="483" t="s">
        <v>3305</v>
      </c>
      <c r="AF175" s="472">
        <v>29580000</v>
      </c>
      <c r="AG175" s="473">
        <f t="shared" si="2"/>
        <v>0</v>
      </c>
      <c r="AJ175" s="474">
        <v>591600</v>
      </c>
      <c r="AK175" s="474">
        <v>2958000</v>
      </c>
      <c r="AL175" s="474">
        <v>2958000</v>
      </c>
      <c r="AM175" s="307">
        <v>2958000</v>
      </c>
    </row>
    <row r="176" spans="1:39" hidden="1" x14ac:dyDescent="0.25">
      <c r="A176" s="475" t="s">
        <v>2778</v>
      </c>
      <c r="B176" s="476">
        <v>33129600</v>
      </c>
      <c r="C176" s="213" t="s">
        <v>2909</v>
      </c>
      <c r="D176" s="213">
        <v>172</v>
      </c>
      <c r="E176" s="312">
        <v>20212000005183</v>
      </c>
      <c r="F176" s="477">
        <v>44229</v>
      </c>
      <c r="G176" s="312" t="s">
        <v>2903</v>
      </c>
      <c r="H176" s="213" t="s">
        <v>2904</v>
      </c>
      <c r="I176" s="213" t="s">
        <v>391</v>
      </c>
      <c r="J176" s="474">
        <v>31059000</v>
      </c>
      <c r="K176" s="211" t="s">
        <v>2974</v>
      </c>
      <c r="L176" s="213" t="s">
        <v>2975</v>
      </c>
      <c r="M176" s="213" t="s">
        <v>44</v>
      </c>
      <c r="N176" s="213" t="s">
        <v>45</v>
      </c>
      <c r="O176" s="213" t="s">
        <v>63</v>
      </c>
      <c r="P176" s="213" t="s">
        <v>678</v>
      </c>
      <c r="R176" s="213">
        <v>178</v>
      </c>
      <c r="S176" s="477">
        <v>44229</v>
      </c>
      <c r="T176" s="213" t="s">
        <v>3306</v>
      </c>
      <c r="U176" s="474">
        <f>31059000-1479000</f>
        <v>29580000</v>
      </c>
      <c r="V176" s="412">
        <v>1479000</v>
      </c>
      <c r="W176" s="398"/>
      <c r="X176" s="480">
        <v>164</v>
      </c>
      <c r="Y176" s="481">
        <v>44246</v>
      </c>
      <c r="Z176" s="481">
        <v>44246</v>
      </c>
      <c r="AA176" s="481">
        <v>44549</v>
      </c>
      <c r="AB176" s="482" t="s">
        <v>2913</v>
      </c>
      <c r="AC176" s="480">
        <v>107</v>
      </c>
      <c r="AD176" s="482">
        <v>1018456945</v>
      </c>
      <c r="AE176" s="483" t="s">
        <v>3307</v>
      </c>
      <c r="AF176" s="472">
        <v>29580000</v>
      </c>
      <c r="AG176" s="473">
        <f t="shared" si="2"/>
        <v>0</v>
      </c>
      <c r="AJ176" s="474">
        <v>690200</v>
      </c>
      <c r="AK176" s="474">
        <v>2958000</v>
      </c>
      <c r="AL176" s="474">
        <v>2958000</v>
      </c>
      <c r="AM176" s="307">
        <v>2958000</v>
      </c>
    </row>
    <row r="177" spans="1:39" hidden="1" x14ac:dyDescent="0.25">
      <c r="A177" s="475" t="s">
        <v>3308</v>
      </c>
      <c r="B177" s="476">
        <v>80000000</v>
      </c>
      <c r="C177" s="213" t="s">
        <v>2909</v>
      </c>
      <c r="D177" s="213">
        <v>173</v>
      </c>
      <c r="E177" s="312">
        <v>20214000005383</v>
      </c>
      <c r="F177" s="477">
        <v>44230</v>
      </c>
      <c r="G177" s="312" t="s">
        <v>2936</v>
      </c>
      <c r="H177" s="213" t="s">
        <v>2937</v>
      </c>
      <c r="I177" s="213" t="s">
        <v>117</v>
      </c>
      <c r="J177" s="474">
        <v>64000000</v>
      </c>
      <c r="K177" s="213" t="s">
        <v>112</v>
      </c>
      <c r="L177" s="213" t="s">
        <v>2938</v>
      </c>
      <c r="M177" s="213" t="s">
        <v>44</v>
      </c>
      <c r="N177" s="213" t="s">
        <v>45</v>
      </c>
      <c r="O177" s="213" t="s">
        <v>63</v>
      </c>
      <c r="P177" s="213" t="s">
        <v>43</v>
      </c>
      <c r="R177" s="213">
        <v>188</v>
      </c>
      <c r="S177" s="477">
        <v>44230</v>
      </c>
      <c r="T177" s="213" t="s">
        <v>3309</v>
      </c>
      <c r="U177" s="474">
        <v>64000000</v>
      </c>
      <c r="V177" s="407"/>
      <c r="W177" s="363"/>
      <c r="X177" s="309">
        <v>221</v>
      </c>
      <c r="Y177" s="481">
        <v>44257</v>
      </c>
      <c r="Z177" s="481">
        <v>44257</v>
      </c>
      <c r="AA177" s="481">
        <v>44500</v>
      </c>
      <c r="AB177" s="482" t="s">
        <v>2913</v>
      </c>
      <c r="AC177" s="212">
        <v>158</v>
      </c>
      <c r="AD177" s="482" t="s">
        <v>3310</v>
      </c>
      <c r="AE177" s="483" t="s">
        <v>3311</v>
      </c>
      <c r="AF177" s="472">
        <v>64000000</v>
      </c>
      <c r="AG177" s="473">
        <f t="shared" si="2"/>
        <v>0</v>
      </c>
      <c r="AK177" s="474">
        <v>7466666</v>
      </c>
      <c r="AL177" s="474">
        <v>8000000</v>
      </c>
      <c r="AM177" s="307">
        <v>8000000</v>
      </c>
    </row>
    <row r="178" spans="1:39" hidden="1" x14ac:dyDescent="0.25">
      <c r="A178" s="475" t="s">
        <v>2378</v>
      </c>
      <c r="B178" s="476">
        <v>28152000</v>
      </c>
      <c r="C178" s="213" t="s">
        <v>2909</v>
      </c>
      <c r="D178" s="213">
        <v>174</v>
      </c>
      <c r="E178" s="312">
        <v>20211400005073</v>
      </c>
      <c r="F178" s="477">
        <v>44230</v>
      </c>
      <c r="G178" s="312" t="s">
        <v>2910</v>
      </c>
      <c r="H178" s="213" t="s">
        <v>2911</v>
      </c>
      <c r="I178" s="213" t="s">
        <v>184</v>
      </c>
      <c r="J178" s="474">
        <v>28152000</v>
      </c>
      <c r="K178" s="213" t="s">
        <v>138</v>
      </c>
      <c r="L178" s="213" t="s">
        <v>2915</v>
      </c>
      <c r="M178" s="213" t="s">
        <v>44</v>
      </c>
      <c r="N178" s="213" t="s">
        <v>45</v>
      </c>
      <c r="O178" s="213" t="s">
        <v>142</v>
      </c>
      <c r="P178" s="213" t="s">
        <v>43</v>
      </c>
      <c r="R178" s="213">
        <v>184</v>
      </c>
      <c r="S178" s="477">
        <v>44230</v>
      </c>
      <c r="T178" s="213" t="s">
        <v>3312</v>
      </c>
      <c r="U178" s="474">
        <v>28152000</v>
      </c>
      <c r="V178" s="407"/>
      <c r="W178" s="363"/>
      <c r="X178" s="480">
        <v>135</v>
      </c>
      <c r="Y178" s="481">
        <v>44243</v>
      </c>
      <c r="Z178" s="481">
        <v>44243</v>
      </c>
      <c r="AA178" s="481">
        <v>44485</v>
      </c>
      <c r="AB178" s="482" t="s">
        <v>2913</v>
      </c>
      <c r="AC178" s="480">
        <v>84</v>
      </c>
      <c r="AD178" s="482">
        <v>1012417801</v>
      </c>
      <c r="AE178" s="483" t="s">
        <v>3313</v>
      </c>
      <c r="AF178" s="472">
        <v>28152000</v>
      </c>
      <c r="AG178" s="473">
        <f t="shared" si="2"/>
        <v>0</v>
      </c>
      <c r="AJ178" s="478">
        <v>1524900</v>
      </c>
      <c r="AK178" s="474">
        <v>3519000</v>
      </c>
      <c r="AL178" s="474">
        <v>3519000</v>
      </c>
      <c r="AM178" s="307">
        <v>3519000</v>
      </c>
    </row>
    <row r="179" spans="1:39" hidden="1" x14ac:dyDescent="0.25">
      <c r="A179" s="475" t="s">
        <v>2376</v>
      </c>
      <c r="B179" s="476">
        <v>26400000</v>
      </c>
      <c r="C179" s="213" t="s">
        <v>2909</v>
      </c>
      <c r="D179" s="213">
        <v>175</v>
      </c>
      <c r="E179" s="312">
        <v>20211400005033</v>
      </c>
      <c r="F179" s="477">
        <v>44230</v>
      </c>
      <c r="G179" s="312" t="s">
        <v>2910</v>
      </c>
      <c r="H179" s="213" t="s">
        <v>2911</v>
      </c>
      <c r="I179" s="213" t="s">
        <v>184</v>
      </c>
      <c r="J179" s="474">
        <v>26400000</v>
      </c>
      <c r="K179" s="213" t="s">
        <v>138</v>
      </c>
      <c r="L179" s="213" t="s">
        <v>2915</v>
      </c>
      <c r="M179" s="213" t="s">
        <v>44</v>
      </c>
      <c r="N179" s="213" t="s">
        <v>45</v>
      </c>
      <c r="O179" s="213" t="s">
        <v>142</v>
      </c>
      <c r="P179" s="213" t="s">
        <v>43</v>
      </c>
      <c r="R179" s="213">
        <v>181</v>
      </c>
      <c r="S179" s="477">
        <v>44230</v>
      </c>
      <c r="T179" s="213" t="s">
        <v>3314</v>
      </c>
      <c r="U179" s="474">
        <v>26400000</v>
      </c>
      <c r="V179" s="407"/>
      <c r="W179" s="363"/>
      <c r="X179" s="480">
        <v>124</v>
      </c>
      <c r="Y179" s="481">
        <v>44239</v>
      </c>
      <c r="Z179" s="481">
        <v>44239</v>
      </c>
      <c r="AA179" s="481">
        <v>44481</v>
      </c>
      <c r="AB179" s="482" t="s">
        <v>2913</v>
      </c>
      <c r="AC179" s="480">
        <v>76</v>
      </c>
      <c r="AD179" s="482">
        <v>1064977513</v>
      </c>
      <c r="AE179" s="483" t="s">
        <v>3315</v>
      </c>
      <c r="AF179" s="472">
        <v>26400000</v>
      </c>
      <c r="AG179" s="473">
        <f t="shared" si="2"/>
        <v>0</v>
      </c>
      <c r="AJ179" s="478">
        <v>1870000</v>
      </c>
      <c r="AK179" s="474">
        <v>3300000</v>
      </c>
      <c r="AL179" s="474">
        <v>3300000</v>
      </c>
      <c r="AM179" s="307">
        <v>3300000</v>
      </c>
    </row>
    <row r="180" spans="1:39" hidden="1" x14ac:dyDescent="0.25">
      <c r="A180" s="475" t="s">
        <v>2701</v>
      </c>
      <c r="B180" s="476">
        <v>43470000</v>
      </c>
      <c r="C180" s="213" t="s">
        <v>2909</v>
      </c>
      <c r="D180" s="213">
        <v>176</v>
      </c>
      <c r="E180" s="312">
        <v>20211400005083</v>
      </c>
      <c r="F180" s="477">
        <v>44230</v>
      </c>
      <c r="G180" s="312" t="s">
        <v>2910</v>
      </c>
      <c r="H180" s="213" t="s">
        <v>2911</v>
      </c>
      <c r="I180" s="213" t="s">
        <v>184</v>
      </c>
      <c r="J180" s="474">
        <v>43470000</v>
      </c>
      <c r="K180" s="213" t="s">
        <v>138</v>
      </c>
      <c r="L180" s="213" t="s">
        <v>2915</v>
      </c>
      <c r="M180" s="213" t="s">
        <v>44</v>
      </c>
      <c r="N180" s="213" t="s">
        <v>45</v>
      </c>
      <c r="O180" s="213" t="s">
        <v>142</v>
      </c>
      <c r="P180" s="213" t="s">
        <v>43</v>
      </c>
      <c r="R180" s="213">
        <v>185</v>
      </c>
      <c r="S180" s="477">
        <v>44230</v>
      </c>
      <c r="T180" s="213" t="s">
        <v>3316</v>
      </c>
      <c r="U180" s="474">
        <v>43470000</v>
      </c>
      <c r="V180" s="407"/>
      <c r="W180" s="363"/>
      <c r="X180" s="480">
        <v>183</v>
      </c>
      <c r="Y180" s="481">
        <v>44250</v>
      </c>
      <c r="Z180" s="481">
        <v>44250</v>
      </c>
      <c r="AA180" s="481">
        <v>44462</v>
      </c>
      <c r="AB180" s="482" t="s">
        <v>2913</v>
      </c>
      <c r="AC180" s="480">
        <v>121</v>
      </c>
      <c r="AD180" s="482">
        <v>80010368</v>
      </c>
      <c r="AE180" s="483" t="s">
        <v>3317</v>
      </c>
      <c r="AF180" s="472">
        <v>43470000</v>
      </c>
      <c r="AG180" s="473">
        <f t="shared" si="2"/>
        <v>0</v>
      </c>
      <c r="AK180" s="474">
        <v>7452000</v>
      </c>
      <c r="AL180" s="474">
        <v>6210000</v>
      </c>
      <c r="AM180" s="307">
        <v>6210000</v>
      </c>
    </row>
    <row r="181" spans="1:39" hidden="1" x14ac:dyDescent="0.25">
      <c r="A181" s="475" t="s">
        <v>2377</v>
      </c>
      <c r="B181" s="476">
        <v>47092500</v>
      </c>
      <c r="C181" s="213" t="s">
        <v>2909</v>
      </c>
      <c r="D181" s="213">
        <v>177</v>
      </c>
      <c r="E181" s="312">
        <v>20211400005063</v>
      </c>
      <c r="F181" s="477">
        <v>44230</v>
      </c>
      <c r="G181" s="312" t="s">
        <v>2910</v>
      </c>
      <c r="H181" s="213" t="s">
        <v>2911</v>
      </c>
      <c r="I181" s="213" t="s">
        <v>184</v>
      </c>
      <c r="J181" s="474">
        <v>47092500</v>
      </c>
      <c r="K181" s="213" t="s">
        <v>138</v>
      </c>
      <c r="L181" s="213" t="s">
        <v>2915</v>
      </c>
      <c r="M181" s="213" t="s">
        <v>44</v>
      </c>
      <c r="N181" s="213" t="s">
        <v>45</v>
      </c>
      <c r="O181" s="213" t="s">
        <v>142</v>
      </c>
      <c r="P181" s="213" t="s">
        <v>43</v>
      </c>
      <c r="R181" s="213">
        <v>183</v>
      </c>
      <c r="S181" s="477">
        <v>44230</v>
      </c>
      <c r="T181" s="213" t="s">
        <v>3318</v>
      </c>
      <c r="U181" s="474">
        <v>47092500</v>
      </c>
      <c r="V181" s="407"/>
      <c r="W181" s="363"/>
      <c r="X181" s="480">
        <v>132</v>
      </c>
      <c r="Y181" s="494">
        <v>44239</v>
      </c>
      <c r="Z181" s="494">
        <v>44239</v>
      </c>
      <c r="AA181" s="494">
        <v>44451</v>
      </c>
      <c r="AB181" s="495" t="s">
        <v>2913</v>
      </c>
      <c r="AC181" s="496">
        <v>77</v>
      </c>
      <c r="AD181" s="495">
        <v>1015995682</v>
      </c>
      <c r="AE181" s="497" t="s">
        <v>3319</v>
      </c>
      <c r="AF181" s="472">
        <v>47092500</v>
      </c>
      <c r="AG181" s="473">
        <f t="shared" si="2"/>
        <v>0</v>
      </c>
      <c r="AJ181" s="478">
        <v>3139500</v>
      </c>
      <c r="AK181" s="474">
        <v>6727500</v>
      </c>
      <c r="AL181" s="474">
        <v>6727500</v>
      </c>
      <c r="AM181" s="307">
        <v>6727500</v>
      </c>
    </row>
    <row r="182" spans="1:39" hidden="1" x14ac:dyDescent="0.25">
      <c r="A182" s="475" t="s">
        <v>2400</v>
      </c>
      <c r="B182" s="476">
        <v>38377800</v>
      </c>
      <c r="C182" s="213" t="s">
        <v>2909</v>
      </c>
      <c r="D182" s="213">
        <v>178</v>
      </c>
      <c r="E182" s="312">
        <v>20211400005093</v>
      </c>
      <c r="F182" s="477">
        <v>44230</v>
      </c>
      <c r="G182" s="312" t="s">
        <v>2910</v>
      </c>
      <c r="H182" s="213" t="s">
        <v>2911</v>
      </c>
      <c r="I182" s="213" t="s">
        <v>184</v>
      </c>
      <c r="J182" s="474">
        <v>38377800</v>
      </c>
      <c r="K182" s="213" t="s">
        <v>138</v>
      </c>
      <c r="L182" s="213" t="s">
        <v>2915</v>
      </c>
      <c r="M182" s="213" t="s">
        <v>44</v>
      </c>
      <c r="N182" s="213" t="s">
        <v>45</v>
      </c>
      <c r="O182" s="213" t="s">
        <v>142</v>
      </c>
      <c r="P182" s="213" t="s">
        <v>43</v>
      </c>
      <c r="R182" s="213">
        <v>186</v>
      </c>
      <c r="S182" s="477">
        <v>44230</v>
      </c>
      <c r="T182" s="213" t="s">
        <v>3320</v>
      </c>
      <c r="U182" s="474">
        <v>38377800</v>
      </c>
      <c r="V182" s="407"/>
      <c r="W182" s="363"/>
      <c r="X182" s="480">
        <v>145</v>
      </c>
      <c r="Y182" s="481">
        <v>44243</v>
      </c>
      <c r="Z182" s="481">
        <v>44243</v>
      </c>
      <c r="AA182" s="481">
        <v>44485</v>
      </c>
      <c r="AB182" s="482" t="s">
        <v>2913</v>
      </c>
      <c r="AC182" s="480">
        <v>95</v>
      </c>
      <c r="AD182" s="482">
        <v>36275348</v>
      </c>
      <c r="AE182" s="483" t="s">
        <v>3321</v>
      </c>
      <c r="AF182" s="472">
        <v>38377800</v>
      </c>
      <c r="AG182" s="473">
        <f t="shared" si="2"/>
        <v>0</v>
      </c>
      <c r="AJ182" s="478">
        <v>1918890</v>
      </c>
      <c r="AK182" s="474">
        <v>4797225</v>
      </c>
      <c r="AL182" s="474">
        <v>4797225</v>
      </c>
      <c r="AM182" s="307">
        <v>4797225</v>
      </c>
    </row>
    <row r="183" spans="1:39" hidden="1" x14ac:dyDescent="0.25">
      <c r="A183" s="475" t="s">
        <v>2375</v>
      </c>
      <c r="B183" s="476">
        <v>42745500</v>
      </c>
      <c r="C183" s="213" t="s">
        <v>2909</v>
      </c>
      <c r="D183" s="213">
        <v>179</v>
      </c>
      <c r="E183" s="312">
        <v>20211400005043</v>
      </c>
      <c r="F183" s="477">
        <v>44230</v>
      </c>
      <c r="G183" s="312" t="s">
        <v>2910</v>
      </c>
      <c r="H183" s="213" t="s">
        <v>2911</v>
      </c>
      <c r="I183" s="213" t="s">
        <v>184</v>
      </c>
      <c r="J183" s="474">
        <v>42745500</v>
      </c>
      <c r="K183" s="213" t="s">
        <v>138</v>
      </c>
      <c r="L183" s="213" t="s">
        <v>2915</v>
      </c>
      <c r="M183" s="213" t="s">
        <v>44</v>
      </c>
      <c r="N183" s="213" t="s">
        <v>45</v>
      </c>
      <c r="O183" s="213" t="s">
        <v>142</v>
      </c>
      <c r="P183" s="213" t="s">
        <v>43</v>
      </c>
      <c r="R183" s="213">
        <v>182</v>
      </c>
      <c r="S183" s="477">
        <v>44230</v>
      </c>
      <c r="T183" s="213" t="s">
        <v>3322</v>
      </c>
      <c r="U183" s="474">
        <v>42745500</v>
      </c>
      <c r="V183" s="407"/>
      <c r="W183" s="363"/>
      <c r="X183" s="480">
        <v>165</v>
      </c>
      <c r="Y183" s="481">
        <v>44246</v>
      </c>
      <c r="Z183" s="481">
        <v>44246</v>
      </c>
      <c r="AA183" s="481">
        <v>44458</v>
      </c>
      <c r="AB183" s="482" t="s">
        <v>2913</v>
      </c>
      <c r="AC183" s="480">
        <v>112</v>
      </c>
      <c r="AD183" s="482">
        <v>80014213</v>
      </c>
      <c r="AE183" s="483" t="s">
        <v>3323</v>
      </c>
      <c r="AF183" s="472">
        <v>42745500</v>
      </c>
      <c r="AG183" s="473">
        <f t="shared" si="2"/>
        <v>0</v>
      </c>
      <c r="AJ183" s="478">
        <v>1424850</v>
      </c>
      <c r="AK183" s="474">
        <v>6106500</v>
      </c>
      <c r="AL183" s="474">
        <v>6106500</v>
      </c>
      <c r="AM183" s="307">
        <v>6106500</v>
      </c>
    </row>
    <row r="184" spans="1:39" hidden="1" x14ac:dyDescent="0.25">
      <c r="A184" s="475" t="s">
        <v>3279</v>
      </c>
      <c r="B184" s="498" t="s">
        <v>3279</v>
      </c>
      <c r="C184" s="213" t="s">
        <v>2909</v>
      </c>
      <c r="D184" s="213">
        <v>180</v>
      </c>
      <c r="E184" s="312">
        <v>20217000005243</v>
      </c>
      <c r="F184" s="477">
        <v>44230</v>
      </c>
      <c r="G184" s="312" t="s">
        <v>2910</v>
      </c>
      <c r="H184" s="213" t="s">
        <v>2911</v>
      </c>
      <c r="I184" s="213" t="s">
        <v>164</v>
      </c>
      <c r="J184" s="474">
        <v>2633406</v>
      </c>
      <c r="K184" s="213" t="s">
        <v>138</v>
      </c>
      <c r="L184" s="213" t="s">
        <v>139</v>
      </c>
      <c r="M184" s="213" t="s">
        <v>44</v>
      </c>
      <c r="N184" s="213" t="s">
        <v>45</v>
      </c>
      <c r="O184" s="213" t="s">
        <v>142</v>
      </c>
      <c r="P184" s="213" t="s">
        <v>43</v>
      </c>
      <c r="R184" s="213">
        <v>196</v>
      </c>
      <c r="S184" s="477">
        <v>44230</v>
      </c>
      <c r="T184" s="213" t="s">
        <v>3324</v>
      </c>
      <c r="U184" s="474">
        <v>2633406</v>
      </c>
      <c r="V184" s="407"/>
      <c r="W184" s="363"/>
      <c r="X184" s="309">
        <f>VLOOKUP(R184,[3]Sheet1!$F$67:$O$130,2,0)</f>
        <v>85</v>
      </c>
      <c r="Y184" s="481">
        <v>44232</v>
      </c>
      <c r="Z184" s="481">
        <v>44233</v>
      </c>
      <c r="AA184" s="481">
        <v>44275</v>
      </c>
      <c r="AB184" s="482" t="s">
        <v>2913</v>
      </c>
      <c r="AC184" s="212">
        <v>569</v>
      </c>
      <c r="AD184" s="484">
        <v>1010118375</v>
      </c>
      <c r="AE184" s="483" t="s">
        <v>3325</v>
      </c>
      <c r="AF184" s="472">
        <v>2633406</v>
      </c>
      <c r="AG184" s="473">
        <f t="shared" si="2"/>
        <v>0</v>
      </c>
      <c r="AJ184" s="474">
        <v>1755604</v>
      </c>
      <c r="AK184" s="474">
        <v>877802</v>
      </c>
      <c r="AM184" s="213"/>
    </row>
    <row r="185" spans="1:39" hidden="1" x14ac:dyDescent="0.25">
      <c r="A185" s="475" t="s">
        <v>2630</v>
      </c>
      <c r="B185" s="476">
        <v>45500000</v>
      </c>
      <c r="C185" s="213" t="s">
        <v>2909</v>
      </c>
      <c r="D185" s="213">
        <v>181</v>
      </c>
      <c r="E185" s="312">
        <v>20214000005373</v>
      </c>
      <c r="F185" s="477">
        <v>44230</v>
      </c>
      <c r="G185" s="312" t="s">
        <v>2936</v>
      </c>
      <c r="H185" s="213" t="s">
        <v>2937</v>
      </c>
      <c r="I185" s="213" t="s">
        <v>117</v>
      </c>
      <c r="J185" s="474">
        <v>22800000</v>
      </c>
      <c r="K185" s="213" t="s">
        <v>112</v>
      </c>
      <c r="L185" s="213" t="s">
        <v>2938</v>
      </c>
      <c r="M185" s="213" t="s">
        <v>44</v>
      </c>
      <c r="N185" s="213" t="s">
        <v>45</v>
      </c>
      <c r="O185" s="213" t="s">
        <v>63</v>
      </c>
      <c r="P185" s="213" t="s">
        <v>43</v>
      </c>
      <c r="R185" s="213">
        <v>187</v>
      </c>
      <c r="S185" s="477">
        <v>44230</v>
      </c>
      <c r="T185" s="213" t="s">
        <v>3326</v>
      </c>
      <c r="U185" s="474">
        <v>22800000</v>
      </c>
      <c r="V185" s="407"/>
      <c r="W185" s="363"/>
      <c r="X185" s="480">
        <v>129</v>
      </c>
      <c r="Y185" s="481">
        <v>44239</v>
      </c>
      <c r="Z185" s="481">
        <v>44239</v>
      </c>
      <c r="AA185" s="481">
        <v>44359</v>
      </c>
      <c r="AB185" s="482" t="s">
        <v>2913</v>
      </c>
      <c r="AC185" s="480">
        <v>78</v>
      </c>
      <c r="AD185" s="482">
        <v>1053820192</v>
      </c>
      <c r="AE185" s="483" t="s">
        <v>3327</v>
      </c>
      <c r="AF185" s="472">
        <v>22800000</v>
      </c>
      <c r="AG185" s="473">
        <f t="shared" si="2"/>
        <v>0</v>
      </c>
      <c r="AJ185" s="474">
        <v>3230000</v>
      </c>
      <c r="AK185" s="474">
        <v>5700000</v>
      </c>
      <c r="AL185" s="474">
        <v>5700000</v>
      </c>
      <c r="AM185" s="307">
        <v>5700000</v>
      </c>
    </row>
    <row r="186" spans="1:39" hidden="1" x14ac:dyDescent="0.25">
      <c r="A186" s="491" t="s">
        <v>2100</v>
      </c>
      <c r="B186" s="492">
        <v>58300000</v>
      </c>
      <c r="C186" s="213" t="s">
        <v>2909</v>
      </c>
      <c r="D186" s="213">
        <v>182</v>
      </c>
      <c r="E186" s="312">
        <v>20215000006413</v>
      </c>
      <c r="F186" s="477">
        <v>44235</v>
      </c>
      <c r="G186" s="312" t="s">
        <v>2903</v>
      </c>
      <c r="H186" s="213" t="s">
        <v>2904</v>
      </c>
      <c r="I186" s="213" t="s">
        <v>228</v>
      </c>
      <c r="J186" s="474">
        <v>58300000</v>
      </c>
      <c r="K186" s="213" t="s">
        <v>223</v>
      </c>
      <c r="L186" s="213" t="s">
        <v>236</v>
      </c>
      <c r="M186" s="213" t="s">
        <v>44</v>
      </c>
      <c r="N186" s="213" t="s">
        <v>45</v>
      </c>
      <c r="O186" s="213" t="s">
        <v>63</v>
      </c>
      <c r="P186" s="213" t="s">
        <v>678</v>
      </c>
      <c r="R186" s="213">
        <v>220</v>
      </c>
      <c r="S186" s="477">
        <v>44236</v>
      </c>
      <c r="T186" s="213" t="s">
        <v>3328</v>
      </c>
      <c r="U186" s="474">
        <f>58300000-7950000</f>
        <v>50350000</v>
      </c>
      <c r="V186" s="443">
        <v>7950000</v>
      </c>
      <c r="W186" s="399"/>
      <c r="X186" s="309">
        <v>222</v>
      </c>
      <c r="Y186" s="481">
        <v>44258</v>
      </c>
      <c r="Z186" s="481">
        <v>44258</v>
      </c>
      <c r="AA186" s="481">
        <v>44545</v>
      </c>
      <c r="AB186" s="482" t="s">
        <v>2913</v>
      </c>
      <c r="AC186" s="212">
        <v>155</v>
      </c>
      <c r="AD186" s="482" t="s">
        <v>3329</v>
      </c>
      <c r="AE186" s="483" t="s">
        <v>3330</v>
      </c>
      <c r="AF186" s="472">
        <v>50350000</v>
      </c>
      <c r="AG186" s="473">
        <f t="shared" si="2"/>
        <v>0</v>
      </c>
      <c r="AK186" s="474">
        <v>4770000</v>
      </c>
      <c r="AL186" s="474">
        <v>5300000</v>
      </c>
      <c r="AM186" s="307">
        <v>5300000</v>
      </c>
    </row>
    <row r="187" spans="1:39" hidden="1" x14ac:dyDescent="0.25">
      <c r="A187" s="475" t="s">
        <v>2631</v>
      </c>
      <c r="B187" s="476">
        <v>80000000</v>
      </c>
      <c r="C187" s="213" t="s">
        <v>2909</v>
      </c>
      <c r="D187" s="213">
        <v>183</v>
      </c>
      <c r="E187" s="312">
        <v>20211200005433</v>
      </c>
      <c r="F187" s="477">
        <v>44230</v>
      </c>
      <c r="G187" s="312" t="s">
        <v>2910</v>
      </c>
      <c r="H187" s="213" t="s">
        <v>2911</v>
      </c>
      <c r="I187" s="213" t="s">
        <v>143</v>
      </c>
      <c r="J187" s="474">
        <v>80000000</v>
      </c>
      <c r="K187" s="213" t="s">
        <v>138</v>
      </c>
      <c r="L187" s="213" t="s">
        <v>139</v>
      </c>
      <c r="M187" s="213" t="s">
        <v>44</v>
      </c>
      <c r="N187" s="213" t="s">
        <v>45</v>
      </c>
      <c r="O187" s="213" t="s">
        <v>142</v>
      </c>
      <c r="P187" s="213" t="s">
        <v>43</v>
      </c>
      <c r="R187" s="213">
        <v>189</v>
      </c>
      <c r="S187" s="477">
        <v>44230</v>
      </c>
      <c r="T187" s="213" t="s">
        <v>3331</v>
      </c>
      <c r="U187" s="474">
        <v>80000000</v>
      </c>
      <c r="V187" s="407"/>
      <c r="W187" s="363"/>
      <c r="X187" s="480">
        <v>131</v>
      </c>
      <c r="Y187" s="481">
        <v>44239</v>
      </c>
      <c r="Z187" s="481">
        <v>44239</v>
      </c>
      <c r="AA187" s="481">
        <v>44542</v>
      </c>
      <c r="AB187" s="482" t="s">
        <v>2913</v>
      </c>
      <c r="AC187" s="480">
        <v>79</v>
      </c>
      <c r="AD187" s="482">
        <v>55250008</v>
      </c>
      <c r="AE187" s="483" t="s">
        <v>3332</v>
      </c>
      <c r="AF187" s="472">
        <v>80000000</v>
      </c>
      <c r="AG187" s="473">
        <f t="shared" si="2"/>
        <v>0</v>
      </c>
      <c r="AJ187" s="474">
        <v>4533333</v>
      </c>
      <c r="AK187" s="474">
        <v>8000000</v>
      </c>
      <c r="AL187" s="474">
        <v>8000000</v>
      </c>
      <c r="AM187" s="307">
        <v>8000000</v>
      </c>
    </row>
    <row r="188" spans="1:39" hidden="1" x14ac:dyDescent="0.25">
      <c r="A188" s="475" t="s">
        <v>2632</v>
      </c>
      <c r="B188" s="476">
        <v>80000000</v>
      </c>
      <c r="C188" s="213" t="s">
        <v>2909</v>
      </c>
      <c r="D188" s="213">
        <v>184</v>
      </c>
      <c r="E188" s="312">
        <v>20211200005453</v>
      </c>
      <c r="F188" s="477">
        <v>44230</v>
      </c>
      <c r="G188" s="312" t="s">
        <v>2910</v>
      </c>
      <c r="H188" s="213" t="s">
        <v>2911</v>
      </c>
      <c r="I188" s="213" t="s">
        <v>143</v>
      </c>
      <c r="J188" s="474">
        <v>80000000</v>
      </c>
      <c r="K188" s="213" t="s">
        <v>138</v>
      </c>
      <c r="L188" s="213" t="s">
        <v>139</v>
      </c>
      <c r="M188" s="213" t="s">
        <v>44</v>
      </c>
      <c r="N188" s="213" t="s">
        <v>45</v>
      </c>
      <c r="O188" s="213" t="s">
        <v>142</v>
      </c>
      <c r="P188" s="213" t="s">
        <v>43</v>
      </c>
      <c r="R188" s="213">
        <v>190</v>
      </c>
      <c r="S188" s="477">
        <v>44230</v>
      </c>
      <c r="T188" s="213" t="s">
        <v>3333</v>
      </c>
      <c r="U188" s="474">
        <v>80000000</v>
      </c>
      <c r="V188" s="407"/>
      <c r="W188" s="363"/>
      <c r="X188" s="480">
        <v>144</v>
      </c>
      <c r="Y188" s="481">
        <v>44243</v>
      </c>
      <c r="Z188" s="481">
        <v>44243</v>
      </c>
      <c r="AA188" s="481">
        <v>44546</v>
      </c>
      <c r="AB188" s="482" t="s">
        <v>2913</v>
      </c>
      <c r="AC188" s="480">
        <v>89</v>
      </c>
      <c r="AD188" s="482">
        <v>66999693</v>
      </c>
      <c r="AE188" s="483" t="s">
        <v>3334</v>
      </c>
      <c r="AF188" s="472">
        <v>80000000</v>
      </c>
      <c r="AG188" s="473">
        <f t="shared" si="2"/>
        <v>0</v>
      </c>
      <c r="AJ188" s="474">
        <v>3466666</v>
      </c>
      <c r="AK188" s="474">
        <v>8000000</v>
      </c>
      <c r="AL188" s="474">
        <v>8000000</v>
      </c>
      <c r="AM188" s="307">
        <v>8000000</v>
      </c>
    </row>
    <row r="189" spans="1:39" hidden="1" x14ac:dyDescent="0.25">
      <c r="A189" s="475" t="s">
        <v>2633</v>
      </c>
      <c r="B189" s="476">
        <v>65000000</v>
      </c>
      <c r="C189" s="213" t="s">
        <v>2909</v>
      </c>
      <c r="D189" s="213">
        <v>185</v>
      </c>
      <c r="E189" s="312">
        <v>20211200005473</v>
      </c>
      <c r="F189" s="477">
        <v>44230</v>
      </c>
      <c r="G189" s="312" t="s">
        <v>2910</v>
      </c>
      <c r="H189" s="213" t="s">
        <v>2911</v>
      </c>
      <c r="I189" s="213" t="s">
        <v>143</v>
      </c>
      <c r="J189" s="474">
        <v>65000000</v>
      </c>
      <c r="K189" s="213" t="s">
        <v>138</v>
      </c>
      <c r="L189" s="213" t="s">
        <v>139</v>
      </c>
      <c r="M189" s="213" t="s">
        <v>44</v>
      </c>
      <c r="N189" s="213" t="s">
        <v>45</v>
      </c>
      <c r="O189" s="213" t="s">
        <v>142</v>
      </c>
      <c r="P189" s="213" t="s">
        <v>43</v>
      </c>
      <c r="R189" s="213">
        <v>191</v>
      </c>
      <c r="S189" s="477">
        <v>44230</v>
      </c>
      <c r="T189" s="213" t="s">
        <v>3335</v>
      </c>
      <c r="U189" s="474">
        <v>65000000</v>
      </c>
      <c r="V189" s="407"/>
      <c r="W189" s="363"/>
      <c r="X189" s="480">
        <v>156</v>
      </c>
      <c r="Y189" s="481">
        <v>44244</v>
      </c>
      <c r="Z189" s="481">
        <v>44244</v>
      </c>
      <c r="AA189" s="481">
        <v>44547</v>
      </c>
      <c r="AB189" s="482" t="s">
        <v>2913</v>
      </c>
      <c r="AC189" s="480">
        <v>102</v>
      </c>
      <c r="AD189" s="482">
        <v>1010195421</v>
      </c>
      <c r="AE189" s="483" t="s">
        <v>3336</v>
      </c>
      <c r="AF189" s="472">
        <v>65000000</v>
      </c>
      <c r="AG189" s="473">
        <f t="shared" si="2"/>
        <v>0</v>
      </c>
      <c r="AJ189" s="474">
        <v>2383333</v>
      </c>
      <c r="AK189" s="474">
        <v>6500000</v>
      </c>
      <c r="AL189" s="474">
        <v>6500000</v>
      </c>
      <c r="AM189" s="307">
        <v>6500000</v>
      </c>
    </row>
    <row r="190" spans="1:39" hidden="1" x14ac:dyDescent="0.25">
      <c r="A190" s="475" t="s">
        <v>2635</v>
      </c>
      <c r="B190" s="476">
        <v>41337934</v>
      </c>
      <c r="C190" s="213" t="s">
        <v>2909</v>
      </c>
      <c r="D190" s="213">
        <v>186</v>
      </c>
      <c r="E190" s="312">
        <v>20211300005503</v>
      </c>
      <c r="F190" s="477">
        <v>44230</v>
      </c>
      <c r="G190" s="312" t="s">
        <v>2910</v>
      </c>
      <c r="H190" s="213" t="s">
        <v>2911</v>
      </c>
      <c r="I190" s="213" t="s">
        <v>210</v>
      </c>
      <c r="J190" s="474">
        <v>41337934</v>
      </c>
      <c r="K190" s="213" t="s">
        <v>138</v>
      </c>
      <c r="L190" s="213" t="s">
        <v>139</v>
      </c>
      <c r="M190" s="213" t="s">
        <v>44</v>
      </c>
      <c r="N190" s="213" t="s">
        <v>45</v>
      </c>
      <c r="O190" s="213" t="s">
        <v>142</v>
      </c>
      <c r="P190" s="213" t="s">
        <v>43</v>
      </c>
      <c r="R190" s="213">
        <v>192</v>
      </c>
      <c r="S190" s="477">
        <v>44230</v>
      </c>
      <c r="T190" s="213" t="s">
        <v>3337</v>
      </c>
      <c r="U190" s="474">
        <v>41337934</v>
      </c>
      <c r="V190" s="407"/>
      <c r="W190" s="363"/>
      <c r="X190" s="480">
        <v>139</v>
      </c>
      <c r="Y190" s="481">
        <v>44243</v>
      </c>
      <c r="Z190" s="481">
        <v>44243</v>
      </c>
      <c r="AA190" s="481">
        <v>44455</v>
      </c>
      <c r="AB190" s="482" t="s">
        <v>2913</v>
      </c>
      <c r="AC190" s="480">
        <v>87</v>
      </c>
      <c r="AD190" s="482">
        <v>52178572</v>
      </c>
      <c r="AE190" s="483" t="s">
        <v>3338</v>
      </c>
      <c r="AF190" s="472">
        <v>41337934</v>
      </c>
      <c r="AG190" s="473">
        <f t="shared" si="2"/>
        <v>0</v>
      </c>
      <c r="AJ190" s="474">
        <v>2362168</v>
      </c>
      <c r="AK190" s="474">
        <v>5905419</v>
      </c>
      <c r="AL190" s="474">
        <v>5905419</v>
      </c>
      <c r="AM190" s="307">
        <v>5905419</v>
      </c>
    </row>
    <row r="191" spans="1:39" hidden="1" x14ac:dyDescent="0.25">
      <c r="A191" s="475" t="s">
        <v>2356</v>
      </c>
      <c r="B191" s="476">
        <v>64900000</v>
      </c>
      <c r="C191" s="213" t="s">
        <v>2909</v>
      </c>
      <c r="D191" s="213">
        <v>187</v>
      </c>
      <c r="E191" s="310">
        <v>20215000007183</v>
      </c>
      <c r="F191" s="477">
        <v>44243</v>
      </c>
      <c r="G191" s="310" t="s">
        <v>2903</v>
      </c>
      <c r="H191" s="211" t="s">
        <v>2904</v>
      </c>
      <c r="I191" s="211" t="s">
        <v>228</v>
      </c>
      <c r="J191" s="408">
        <v>64900000</v>
      </c>
      <c r="K191" s="213" t="s">
        <v>288</v>
      </c>
      <c r="L191" s="213" t="s">
        <v>2999</v>
      </c>
      <c r="M191" s="213" t="s">
        <v>44</v>
      </c>
      <c r="N191" s="213" t="s">
        <v>45</v>
      </c>
      <c r="O191" s="213" t="s">
        <v>63</v>
      </c>
      <c r="P191" s="213" t="s">
        <v>678</v>
      </c>
      <c r="R191" s="213">
        <v>247</v>
      </c>
      <c r="S191" s="477">
        <v>44243</v>
      </c>
      <c r="T191" s="213" t="s">
        <v>3339</v>
      </c>
      <c r="U191" s="474">
        <f>64900000-8850000</f>
        <v>56050000</v>
      </c>
      <c r="V191" s="443">
        <v>8850000</v>
      </c>
      <c r="W191" s="399"/>
      <c r="X191" s="309">
        <v>223</v>
      </c>
      <c r="Y191" s="481">
        <v>44258</v>
      </c>
      <c r="Z191" s="481">
        <v>44258</v>
      </c>
      <c r="AA191" s="481">
        <v>44545</v>
      </c>
      <c r="AB191" s="482" t="s">
        <v>2913</v>
      </c>
      <c r="AC191" s="480" t="s">
        <v>3340</v>
      </c>
      <c r="AD191" s="482" t="s">
        <v>3341</v>
      </c>
      <c r="AE191" s="483" t="s">
        <v>3342</v>
      </c>
      <c r="AF191" s="472">
        <v>56050000</v>
      </c>
      <c r="AG191" s="473">
        <f t="shared" si="2"/>
        <v>0</v>
      </c>
      <c r="AK191" s="474">
        <v>5310000</v>
      </c>
      <c r="AL191" s="474">
        <v>5900000</v>
      </c>
      <c r="AM191" s="307">
        <v>5900000</v>
      </c>
    </row>
    <row r="192" spans="1:39" hidden="1" x14ac:dyDescent="0.25">
      <c r="A192" s="445" t="s">
        <v>2190</v>
      </c>
      <c r="B192" s="476">
        <v>309400000</v>
      </c>
      <c r="C192" s="213" t="s">
        <v>3343</v>
      </c>
      <c r="D192" s="213">
        <v>188</v>
      </c>
      <c r="E192" s="312">
        <v>20217000005513</v>
      </c>
      <c r="F192" s="477">
        <v>44230</v>
      </c>
      <c r="G192" s="312" t="s">
        <v>2910</v>
      </c>
      <c r="H192" s="213" t="s">
        <v>2911</v>
      </c>
      <c r="I192" s="213" t="s">
        <v>164</v>
      </c>
      <c r="J192" s="474">
        <v>105000000</v>
      </c>
      <c r="K192" s="213" t="s">
        <v>138</v>
      </c>
      <c r="L192" s="213" t="s">
        <v>139</v>
      </c>
      <c r="M192" s="213" t="s">
        <v>44</v>
      </c>
      <c r="N192" s="213" t="s">
        <v>45</v>
      </c>
      <c r="O192" s="213" t="s">
        <v>142</v>
      </c>
      <c r="P192" s="213" t="s">
        <v>43</v>
      </c>
      <c r="R192" s="213">
        <v>193</v>
      </c>
      <c r="S192" s="477">
        <v>44230</v>
      </c>
      <c r="T192" s="213" t="s">
        <v>3344</v>
      </c>
      <c r="U192" s="474">
        <v>105000000</v>
      </c>
      <c r="V192" s="407"/>
      <c r="W192" s="363"/>
      <c r="X192" s="480">
        <v>184</v>
      </c>
      <c r="Y192" s="481">
        <v>44250</v>
      </c>
      <c r="Z192" s="481">
        <v>44250</v>
      </c>
      <c r="AA192" s="481">
        <v>44553</v>
      </c>
      <c r="AB192" s="482" t="s">
        <v>3345</v>
      </c>
      <c r="AC192" s="480">
        <v>64584</v>
      </c>
      <c r="AD192" s="482">
        <v>900229503</v>
      </c>
      <c r="AE192" s="483" t="s">
        <v>3346</v>
      </c>
      <c r="AF192" s="688">
        <v>105000000</v>
      </c>
      <c r="AG192" s="473">
        <f t="shared" si="2"/>
        <v>0</v>
      </c>
      <c r="AL192" s="474">
        <v>10493743</v>
      </c>
      <c r="AM192" s="307">
        <f>9045236</f>
        <v>9045236</v>
      </c>
    </row>
    <row r="193" spans="1:50" ht="15" hidden="1" customHeight="1" x14ac:dyDescent="0.25">
      <c r="B193" s="476" t="s">
        <v>2946</v>
      </c>
      <c r="C193" s="213" t="s">
        <v>2909</v>
      </c>
      <c r="D193" s="213">
        <v>189</v>
      </c>
      <c r="E193" s="312">
        <v>20217000005583</v>
      </c>
      <c r="F193" s="477">
        <v>44230</v>
      </c>
      <c r="G193" s="312" t="s">
        <v>2910</v>
      </c>
      <c r="H193" s="213" t="s">
        <v>2911</v>
      </c>
      <c r="I193" s="213" t="s">
        <v>164</v>
      </c>
      <c r="J193" s="474">
        <v>6144620</v>
      </c>
      <c r="K193" s="213" t="s">
        <v>138</v>
      </c>
      <c r="L193" s="213" t="s">
        <v>139</v>
      </c>
      <c r="M193" s="213" t="s">
        <v>44</v>
      </c>
      <c r="N193" s="213" t="s">
        <v>45</v>
      </c>
      <c r="O193" s="213" t="s">
        <v>142</v>
      </c>
      <c r="P193" s="213" t="s">
        <v>43</v>
      </c>
      <c r="R193" s="213">
        <v>195</v>
      </c>
      <c r="S193" s="477">
        <v>44230</v>
      </c>
      <c r="T193" s="213" t="s">
        <v>3347</v>
      </c>
      <c r="U193" s="474">
        <v>6144620</v>
      </c>
      <c r="V193" s="407"/>
      <c r="W193" s="363"/>
      <c r="X193" s="480">
        <v>192</v>
      </c>
      <c r="Y193" s="481">
        <v>44252</v>
      </c>
      <c r="Z193" s="481">
        <v>44255</v>
      </c>
      <c r="AA193" s="481">
        <v>44313</v>
      </c>
      <c r="AB193" s="482" t="s">
        <v>2913</v>
      </c>
      <c r="AC193" s="480">
        <v>540</v>
      </c>
      <c r="AD193" s="482">
        <v>74858158</v>
      </c>
      <c r="AE193" s="483" t="s">
        <v>3348</v>
      </c>
      <c r="AF193" s="472">
        <v>6144620</v>
      </c>
      <c r="AG193" s="473">
        <f t="shared" si="2"/>
        <v>0</v>
      </c>
      <c r="AJ193" s="474">
        <v>3072310</v>
      </c>
      <c r="AK193" s="474">
        <v>3072310</v>
      </c>
      <c r="AM193" s="213"/>
    </row>
    <row r="194" spans="1:50" ht="15" hidden="1" customHeight="1" x14ac:dyDescent="0.25">
      <c r="A194" s="475" t="s">
        <v>2742</v>
      </c>
      <c r="B194" s="476">
        <v>58300000</v>
      </c>
      <c r="C194" s="213" t="s">
        <v>2909</v>
      </c>
      <c r="D194" s="213">
        <v>190</v>
      </c>
      <c r="E194" s="312">
        <v>20215000007263</v>
      </c>
      <c r="F194" s="477">
        <v>44239</v>
      </c>
      <c r="G194" s="312" t="s">
        <v>2903</v>
      </c>
      <c r="H194" s="213" t="s">
        <v>2904</v>
      </c>
      <c r="I194" s="213" t="s">
        <v>228</v>
      </c>
      <c r="J194" s="474">
        <v>58300000</v>
      </c>
      <c r="K194" s="213" t="s">
        <v>223</v>
      </c>
      <c r="L194" s="213" t="s">
        <v>236</v>
      </c>
      <c r="M194" s="213" t="s">
        <v>44</v>
      </c>
      <c r="N194" s="213" t="s">
        <v>45</v>
      </c>
      <c r="O194" s="668" t="s">
        <v>46</v>
      </c>
      <c r="P194" s="669" t="s">
        <v>678</v>
      </c>
      <c r="Q194" s="669"/>
      <c r="R194" s="669">
        <v>235</v>
      </c>
      <c r="S194" s="670">
        <v>44242</v>
      </c>
      <c r="T194" s="669" t="s">
        <v>3349</v>
      </c>
      <c r="U194" s="671">
        <f>58300000-20300000</f>
        <v>38000000</v>
      </c>
      <c r="V194" s="443">
        <v>20300000</v>
      </c>
      <c r="W194" s="399"/>
      <c r="X194" s="309">
        <v>224</v>
      </c>
      <c r="Y194" s="481">
        <v>44258</v>
      </c>
      <c r="Z194" s="481">
        <v>44258</v>
      </c>
      <c r="AA194" s="481">
        <v>44545</v>
      </c>
      <c r="AB194" s="482" t="s">
        <v>2913</v>
      </c>
      <c r="AC194" s="212">
        <v>154</v>
      </c>
      <c r="AD194" s="482" t="s">
        <v>3350</v>
      </c>
      <c r="AE194" s="361" t="s">
        <v>3351</v>
      </c>
      <c r="AF194" s="472">
        <v>38000000</v>
      </c>
      <c r="AG194" s="473">
        <f t="shared" ref="AG194:AG253" si="3">+U194-AF194</f>
        <v>0</v>
      </c>
      <c r="AK194" s="474">
        <v>3733333</v>
      </c>
      <c r="AL194" s="474">
        <v>4000000</v>
      </c>
      <c r="AM194" s="307">
        <v>4000000</v>
      </c>
    </row>
    <row r="195" spans="1:50" ht="15" hidden="1" customHeight="1" x14ac:dyDescent="0.25">
      <c r="A195" s="491" t="s">
        <v>2407</v>
      </c>
      <c r="B195" s="492">
        <v>24000000</v>
      </c>
      <c r="C195" s="499" t="s">
        <v>2909</v>
      </c>
      <c r="D195" s="213">
        <v>191</v>
      </c>
      <c r="E195" s="312">
        <v>20213000005693</v>
      </c>
      <c r="F195" s="477">
        <v>44231</v>
      </c>
      <c r="G195" s="312" t="s">
        <v>2903</v>
      </c>
      <c r="H195" s="213" t="s">
        <v>2904</v>
      </c>
      <c r="I195" s="213" t="s">
        <v>432</v>
      </c>
      <c r="J195" s="474">
        <v>24000000</v>
      </c>
      <c r="K195" s="213" t="s">
        <v>358</v>
      </c>
      <c r="L195" s="213" t="s">
        <v>3054</v>
      </c>
      <c r="M195" s="213" t="s">
        <v>44</v>
      </c>
      <c r="N195" s="213" t="s">
        <v>45</v>
      </c>
      <c r="O195" s="213" t="s">
        <v>63</v>
      </c>
      <c r="P195" s="213" t="s">
        <v>678</v>
      </c>
      <c r="R195" s="213">
        <v>198</v>
      </c>
      <c r="S195" s="477">
        <v>44231</v>
      </c>
      <c r="T195" s="213" t="s">
        <v>3352</v>
      </c>
      <c r="U195" s="474">
        <v>24000000</v>
      </c>
      <c r="V195" s="407"/>
      <c r="W195" s="363"/>
      <c r="X195" s="480">
        <v>148</v>
      </c>
      <c r="Y195" s="481">
        <v>44243</v>
      </c>
      <c r="Z195" s="481">
        <v>44243</v>
      </c>
      <c r="AA195" s="481">
        <v>44485</v>
      </c>
      <c r="AB195" s="482" t="s">
        <v>2913</v>
      </c>
      <c r="AC195" s="480">
        <v>98</v>
      </c>
      <c r="AD195" s="482">
        <v>1024535595</v>
      </c>
      <c r="AE195" s="483" t="s">
        <v>3353</v>
      </c>
      <c r="AF195" s="472">
        <v>24000000</v>
      </c>
      <c r="AG195" s="473">
        <f t="shared" si="3"/>
        <v>0</v>
      </c>
      <c r="AL195" s="474">
        <v>1100000</v>
      </c>
      <c r="AM195" s="307">
        <v>3000000</v>
      </c>
    </row>
    <row r="196" spans="1:50" ht="15" hidden="1" customHeight="1" x14ac:dyDescent="0.25">
      <c r="A196" s="491" t="s">
        <v>2408</v>
      </c>
      <c r="B196" s="492">
        <v>56000000</v>
      </c>
      <c r="C196" s="213" t="s">
        <v>2909</v>
      </c>
      <c r="D196" s="312">
        <v>192</v>
      </c>
      <c r="E196" s="312">
        <v>20213000005703</v>
      </c>
      <c r="F196" s="477">
        <v>44231</v>
      </c>
      <c r="G196" s="312" t="s">
        <v>2903</v>
      </c>
      <c r="H196" s="213" t="s">
        <v>2904</v>
      </c>
      <c r="I196" s="213" t="s">
        <v>432</v>
      </c>
      <c r="J196" s="474">
        <v>56000000</v>
      </c>
      <c r="K196" s="213" t="s">
        <v>358</v>
      </c>
      <c r="L196" s="213" t="s">
        <v>3054</v>
      </c>
      <c r="M196" s="213" t="s">
        <v>44</v>
      </c>
      <c r="N196" s="213" t="s">
        <v>45</v>
      </c>
      <c r="O196" s="213" t="s">
        <v>63</v>
      </c>
      <c r="P196" s="213" t="s">
        <v>678</v>
      </c>
      <c r="R196" s="213">
        <v>199</v>
      </c>
      <c r="S196" s="477">
        <v>44231</v>
      </c>
      <c r="T196" s="213" t="s">
        <v>3354</v>
      </c>
      <c r="U196" s="474">
        <f>56000000-1488440</f>
        <v>54511560</v>
      </c>
      <c r="V196" s="412">
        <v>1488440</v>
      </c>
      <c r="W196" s="398"/>
      <c r="X196" s="480">
        <v>190</v>
      </c>
      <c r="Y196" s="481">
        <v>44252</v>
      </c>
      <c r="Z196" s="481">
        <v>44252</v>
      </c>
      <c r="AA196" s="481">
        <v>44494</v>
      </c>
      <c r="AB196" s="482" t="s">
        <v>2913</v>
      </c>
      <c r="AC196" s="480">
        <v>127</v>
      </c>
      <c r="AD196" s="482">
        <v>34546695</v>
      </c>
      <c r="AE196" s="483" t="s">
        <v>3355</v>
      </c>
      <c r="AF196" s="472">
        <v>54511560</v>
      </c>
      <c r="AG196" s="473">
        <f t="shared" si="3"/>
        <v>0</v>
      </c>
      <c r="AJ196" s="474">
        <v>681395</v>
      </c>
      <c r="AK196" s="474">
        <v>6813945</v>
      </c>
      <c r="AL196" s="474">
        <v>6813945</v>
      </c>
      <c r="AM196" s="307">
        <v>6813945</v>
      </c>
    </row>
    <row r="197" spans="1:50" ht="15" hidden="1" customHeight="1" x14ac:dyDescent="0.25">
      <c r="A197" s="475" t="s">
        <v>2513</v>
      </c>
      <c r="B197" s="476">
        <v>58128384</v>
      </c>
      <c r="C197" s="213" t="s">
        <v>2909</v>
      </c>
      <c r="D197" s="312">
        <v>193</v>
      </c>
      <c r="E197" s="310">
        <v>20217000008343</v>
      </c>
      <c r="F197" s="477">
        <v>44243</v>
      </c>
      <c r="G197" s="312" t="s">
        <v>2910</v>
      </c>
      <c r="H197" s="213" t="s">
        <v>2911</v>
      </c>
      <c r="I197" s="213" t="s">
        <v>164</v>
      </c>
      <c r="J197" s="474">
        <v>28000000</v>
      </c>
      <c r="K197" s="213" t="s">
        <v>138</v>
      </c>
      <c r="L197" s="213" t="s">
        <v>139</v>
      </c>
      <c r="M197" s="213" t="s">
        <v>44</v>
      </c>
      <c r="N197" s="213" t="s">
        <v>45</v>
      </c>
      <c r="O197" s="213" t="s">
        <v>142</v>
      </c>
      <c r="P197" s="213" t="s">
        <v>43</v>
      </c>
      <c r="R197" s="213">
        <v>260</v>
      </c>
      <c r="S197" s="477">
        <v>44244</v>
      </c>
      <c r="T197" s="213" t="s">
        <v>3356</v>
      </c>
      <c r="U197" s="474">
        <v>28000000</v>
      </c>
      <c r="V197" s="407"/>
      <c r="W197" s="363"/>
      <c r="X197" s="309">
        <v>225</v>
      </c>
      <c r="Y197" s="481">
        <v>44258</v>
      </c>
      <c r="Z197" s="481">
        <v>44258</v>
      </c>
      <c r="AA197" s="481">
        <v>44380</v>
      </c>
      <c r="AB197" s="482" t="s">
        <v>2913</v>
      </c>
      <c r="AC197" s="212">
        <v>148</v>
      </c>
      <c r="AD197" s="482" t="s">
        <v>3357</v>
      </c>
      <c r="AE197" s="483" t="s">
        <v>3358</v>
      </c>
      <c r="AF197" s="472">
        <v>28000000</v>
      </c>
      <c r="AG197" s="473">
        <f t="shared" si="3"/>
        <v>0</v>
      </c>
      <c r="AK197" s="474">
        <v>6766667</v>
      </c>
      <c r="AL197" s="474">
        <v>7000000</v>
      </c>
      <c r="AM197" s="307">
        <v>7000000</v>
      </c>
    </row>
    <row r="198" spans="1:50" ht="15" hidden="1" customHeight="1" x14ac:dyDescent="0.25">
      <c r="A198" s="491" t="s">
        <v>2784</v>
      </c>
      <c r="B198" s="492">
        <v>56000000</v>
      </c>
      <c r="C198" s="213" t="s">
        <v>2909</v>
      </c>
      <c r="D198" s="312">
        <v>194</v>
      </c>
      <c r="E198" s="312">
        <v>20213000005723</v>
      </c>
      <c r="F198" s="477">
        <v>44231</v>
      </c>
      <c r="G198" s="312" t="s">
        <v>2903</v>
      </c>
      <c r="H198" s="213" t="s">
        <v>2904</v>
      </c>
      <c r="I198" s="213" t="s">
        <v>432</v>
      </c>
      <c r="J198" s="474">
        <v>56000000</v>
      </c>
      <c r="K198" s="213" t="s">
        <v>358</v>
      </c>
      <c r="L198" s="213" t="s">
        <v>3054</v>
      </c>
      <c r="M198" s="213" t="s">
        <v>44</v>
      </c>
      <c r="N198" s="213" t="s">
        <v>45</v>
      </c>
      <c r="O198" s="213" t="s">
        <v>63</v>
      </c>
      <c r="P198" s="213" t="s">
        <v>678</v>
      </c>
      <c r="R198" s="213">
        <v>201</v>
      </c>
      <c r="S198" s="477">
        <v>44231</v>
      </c>
      <c r="T198" s="213" t="s">
        <v>3359</v>
      </c>
      <c r="U198" s="474">
        <f>56000000-1600000</f>
        <v>54400000</v>
      </c>
      <c r="V198" s="407">
        <v>1600000</v>
      </c>
      <c r="W198" s="363"/>
      <c r="X198" s="480" t="s">
        <v>3360</v>
      </c>
      <c r="Y198" s="481">
        <v>44298</v>
      </c>
      <c r="Z198" s="481">
        <v>44298</v>
      </c>
      <c r="AA198" s="481">
        <v>44542</v>
      </c>
      <c r="AB198" s="482" t="s">
        <v>2913</v>
      </c>
      <c r="AC198" s="480" t="s">
        <v>3361</v>
      </c>
      <c r="AD198" s="482" t="s">
        <v>3362</v>
      </c>
      <c r="AE198" s="483" t="s">
        <v>3363</v>
      </c>
      <c r="AF198" s="472">
        <v>54400000</v>
      </c>
      <c r="AG198" s="473">
        <f t="shared" si="3"/>
        <v>0</v>
      </c>
      <c r="AL198" s="474">
        <v>4080000</v>
      </c>
      <c r="AM198" s="307">
        <v>6800000</v>
      </c>
    </row>
    <row r="199" spans="1:50" ht="15" hidden="1" customHeight="1" x14ac:dyDescent="0.25">
      <c r="A199" s="491" t="s">
        <v>2415</v>
      </c>
      <c r="B199" s="492">
        <v>44000000</v>
      </c>
      <c r="C199" s="213" t="s">
        <v>2909</v>
      </c>
      <c r="D199" s="312">
        <v>195</v>
      </c>
      <c r="E199" s="312">
        <v>20213000005753</v>
      </c>
      <c r="F199" s="477">
        <v>44231</v>
      </c>
      <c r="G199" s="312" t="s">
        <v>2903</v>
      </c>
      <c r="H199" s="213" t="s">
        <v>2904</v>
      </c>
      <c r="I199" s="213" t="s">
        <v>432</v>
      </c>
      <c r="J199" s="474">
        <v>41300000</v>
      </c>
      <c r="K199" s="213" t="s">
        <v>358</v>
      </c>
      <c r="L199" s="213" t="s">
        <v>3054</v>
      </c>
      <c r="M199" s="213" t="s">
        <v>44</v>
      </c>
      <c r="N199" s="213" t="s">
        <v>45</v>
      </c>
      <c r="O199" s="213" t="s">
        <v>63</v>
      </c>
      <c r="P199" s="213" t="s">
        <v>678</v>
      </c>
      <c r="R199" s="213">
        <v>202</v>
      </c>
      <c r="S199" s="477">
        <v>44231</v>
      </c>
      <c r="T199" s="213" t="s">
        <v>3364</v>
      </c>
      <c r="U199" s="474">
        <v>41300000</v>
      </c>
      <c r="V199" s="407"/>
      <c r="W199" s="363"/>
      <c r="X199" s="480">
        <v>141</v>
      </c>
      <c r="Y199" s="481">
        <v>44243</v>
      </c>
      <c r="Z199" s="481">
        <v>44243</v>
      </c>
      <c r="AA199" s="481">
        <v>44455</v>
      </c>
      <c r="AB199" s="482" t="s">
        <v>2913</v>
      </c>
      <c r="AC199" s="480">
        <v>90</v>
      </c>
      <c r="AD199" s="482">
        <v>93130090</v>
      </c>
      <c r="AE199" s="483" t="s">
        <v>3365</v>
      </c>
      <c r="AF199" s="472">
        <v>41300000</v>
      </c>
      <c r="AG199" s="473">
        <f t="shared" si="3"/>
        <v>0</v>
      </c>
      <c r="AJ199" s="474">
        <v>2360000</v>
      </c>
      <c r="AK199" s="474">
        <v>5900000</v>
      </c>
      <c r="AL199" s="474">
        <v>5900000</v>
      </c>
      <c r="AM199" s="307">
        <v>5900000</v>
      </c>
    </row>
    <row r="200" spans="1:50" ht="15" hidden="1" customHeight="1" x14ac:dyDescent="0.25">
      <c r="B200" s="476" t="s">
        <v>3366</v>
      </c>
      <c r="C200" s="213" t="s">
        <v>3367</v>
      </c>
      <c r="D200" s="312">
        <v>196</v>
      </c>
      <c r="E200" s="310">
        <v>20217000009023</v>
      </c>
      <c r="F200" s="477">
        <v>44245</v>
      </c>
      <c r="G200" s="312" t="s">
        <v>2910</v>
      </c>
      <c r="H200" s="213" t="s">
        <v>2911</v>
      </c>
      <c r="I200" s="213" t="s">
        <v>164</v>
      </c>
      <c r="J200" s="472">
        <v>1800000</v>
      </c>
      <c r="K200" s="213" t="s">
        <v>138</v>
      </c>
      <c r="L200" s="213" t="s">
        <v>139</v>
      </c>
      <c r="M200" s="213" t="s">
        <v>44</v>
      </c>
      <c r="N200" s="213" t="s">
        <v>45</v>
      </c>
      <c r="O200" s="213" t="s">
        <v>142</v>
      </c>
      <c r="P200" s="213" t="s">
        <v>43</v>
      </c>
      <c r="R200" s="483">
        <v>275</v>
      </c>
      <c r="S200" s="487">
        <v>44246</v>
      </c>
      <c r="T200" s="483" t="s">
        <v>3368</v>
      </c>
      <c r="U200" s="474">
        <v>1800000</v>
      </c>
      <c r="V200" s="407"/>
      <c r="W200" s="363"/>
      <c r="X200" s="309">
        <v>226</v>
      </c>
      <c r="Y200" s="481">
        <v>44258</v>
      </c>
      <c r="Z200" s="481">
        <v>44258</v>
      </c>
      <c r="AA200" s="481">
        <v>44286</v>
      </c>
      <c r="AB200" s="482" t="s">
        <v>3369</v>
      </c>
      <c r="AC200" s="212">
        <v>66</v>
      </c>
      <c r="AD200" s="482" t="s">
        <v>3370</v>
      </c>
      <c r="AE200" s="483" t="s">
        <v>3371</v>
      </c>
      <c r="AF200" s="472">
        <v>1800000</v>
      </c>
      <c r="AG200" s="473">
        <f t="shared" si="3"/>
        <v>0</v>
      </c>
      <c r="AK200" s="474">
        <v>255900</v>
      </c>
      <c r="AL200" s="474">
        <v>782500</v>
      </c>
      <c r="AM200" s="307">
        <v>55400</v>
      </c>
    </row>
    <row r="201" spans="1:50" s="313" customFormat="1" ht="15" hidden="1" customHeight="1" x14ac:dyDescent="0.25">
      <c r="A201" s="475" t="s">
        <v>2841</v>
      </c>
      <c r="B201" s="476">
        <v>18800000</v>
      </c>
      <c r="C201" s="213" t="s">
        <v>3025</v>
      </c>
      <c r="D201" s="312">
        <v>197</v>
      </c>
      <c r="E201" s="310">
        <v>20214000008303</v>
      </c>
      <c r="F201" s="311">
        <v>44243</v>
      </c>
      <c r="G201" s="312" t="s">
        <v>2943</v>
      </c>
      <c r="H201" s="213" t="s">
        <v>2944</v>
      </c>
      <c r="I201" s="213" t="s">
        <v>47</v>
      </c>
      <c r="J201" s="474">
        <v>18800000</v>
      </c>
      <c r="K201" s="213" t="s">
        <v>37</v>
      </c>
      <c r="L201" s="213" t="s">
        <v>2945</v>
      </c>
      <c r="M201" s="213" t="s">
        <v>44</v>
      </c>
      <c r="N201" s="213" t="s">
        <v>45</v>
      </c>
      <c r="O201" s="213" t="s">
        <v>310</v>
      </c>
      <c r="P201" s="213" t="s">
        <v>43</v>
      </c>
      <c r="Q201" s="213"/>
      <c r="R201" s="213">
        <v>254</v>
      </c>
      <c r="S201" s="477">
        <v>44244</v>
      </c>
      <c r="T201" s="213" t="s">
        <v>3372</v>
      </c>
      <c r="U201" s="474">
        <v>18800000</v>
      </c>
      <c r="V201" s="407"/>
      <c r="W201" s="363"/>
      <c r="X201" s="309">
        <v>227</v>
      </c>
      <c r="Y201" s="481">
        <v>44259</v>
      </c>
      <c r="Z201" s="481">
        <v>44259</v>
      </c>
      <c r="AA201" s="481">
        <v>44381</v>
      </c>
      <c r="AB201" s="482" t="s">
        <v>2913</v>
      </c>
      <c r="AC201" s="212">
        <v>146</v>
      </c>
      <c r="AD201" s="482" t="s">
        <v>3373</v>
      </c>
      <c r="AE201" s="483" t="s">
        <v>3374</v>
      </c>
      <c r="AF201" s="472">
        <v>18800000</v>
      </c>
      <c r="AG201" s="473">
        <f t="shared" si="3"/>
        <v>0</v>
      </c>
      <c r="AH201" s="474"/>
      <c r="AI201" s="474"/>
      <c r="AJ201" s="474"/>
      <c r="AK201" s="474">
        <v>4230000</v>
      </c>
      <c r="AL201" s="474">
        <v>4700000</v>
      </c>
      <c r="AM201" s="307">
        <v>4700000</v>
      </c>
      <c r="AN201" s="213"/>
      <c r="AO201" s="213"/>
      <c r="AP201" s="213"/>
      <c r="AQ201" s="213"/>
      <c r="AR201" s="213"/>
      <c r="AS201" s="213"/>
      <c r="AT201" s="213"/>
      <c r="AU201" s="213"/>
      <c r="AV201" s="213"/>
      <c r="AW201" s="213"/>
      <c r="AX201" s="213"/>
    </row>
    <row r="202" spans="1:50" ht="15" hidden="1" customHeight="1" x14ac:dyDescent="0.25">
      <c r="A202" s="491" t="s">
        <v>3375</v>
      </c>
      <c r="B202" s="492">
        <v>64000000</v>
      </c>
      <c r="C202" s="213" t="s">
        <v>2909</v>
      </c>
      <c r="D202" s="312">
        <v>198</v>
      </c>
      <c r="E202" s="312">
        <v>20213000006133</v>
      </c>
      <c r="F202" s="477">
        <v>44235</v>
      </c>
      <c r="G202" s="312" t="s">
        <v>2903</v>
      </c>
      <c r="H202" s="213" t="s">
        <v>2904</v>
      </c>
      <c r="I202" s="213" t="s">
        <v>432</v>
      </c>
      <c r="J202" s="474">
        <v>64000000</v>
      </c>
      <c r="K202" s="213" t="s">
        <v>358</v>
      </c>
      <c r="L202" s="213" t="s">
        <v>3054</v>
      </c>
      <c r="M202" s="213" t="s">
        <v>44</v>
      </c>
      <c r="N202" s="213" t="s">
        <v>45</v>
      </c>
      <c r="O202" s="213" t="s">
        <v>63</v>
      </c>
      <c r="P202" s="213" t="s">
        <v>678</v>
      </c>
      <c r="R202" s="213">
        <v>209</v>
      </c>
      <c r="S202" s="477">
        <v>44235</v>
      </c>
      <c r="T202" s="213" t="s">
        <v>3376</v>
      </c>
      <c r="U202" s="474">
        <v>64000000</v>
      </c>
      <c r="V202" s="407"/>
      <c r="W202" s="363"/>
      <c r="X202" s="480">
        <v>167</v>
      </c>
      <c r="Y202" s="481">
        <v>44246</v>
      </c>
      <c r="Z202" s="481">
        <v>44246</v>
      </c>
      <c r="AA202" s="481">
        <v>44488</v>
      </c>
      <c r="AB202" s="482" t="s">
        <v>2913</v>
      </c>
      <c r="AC202" s="480">
        <v>113</v>
      </c>
      <c r="AD202" s="482">
        <v>79381983</v>
      </c>
      <c r="AE202" s="483" t="s">
        <v>3377</v>
      </c>
      <c r="AF202" s="472">
        <v>64000000</v>
      </c>
      <c r="AG202" s="473">
        <f t="shared" si="3"/>
        <v>0</v>
      </c>
      <c r="AJ202" s="474">
        <v>1866667</v>
      </c>
      <c r="AK202" s="474">
        <v>8000000</v>
      </c>
      <c r="AL202" s="474">
        <v>8000000</v>
      </c>
      <c r="AM202" s="307">
        <v>8000000</v>
      </c>
    </row>
    <row r="203" spans="1:50" ht="15" hidden="1" customHeight="1" x14ac:dyDescent="0.25">
      <c r="A203" s="491" t="s">
        <v>2650</v>
      </c>
      <c r="B203" s="492">
        <v>32706936</v>
      </c>
      <c r="C203" s="213" t="s">
        <v>3025</v>
      </c>
      <c r="D203" s="312">
        <v>199</v>
      </c>
      <c r="E203" s="312">
        <v>20213000006153</v>
      </c>
      <c r="F203" s="477">
        <v>44235</v>
      </c>
      <c r="G203" s="312" t="s">
        <v>2903</v>
      </c>
      <c r="H203" s="213" t="s">
        <v>2904</v>
      </c>
      <c r="I203" s="213" t="s">
        <v>432</v>
      </c>
      <c r="J203" s="474">
        <v>32706936</v>
      </c>
      <c r="K203" s="213" t="s">
        <v>358</v>
      </c>
      <c r="L203" s="213" t="s">
        <v>3054</v>
      </c>
      <c r="M203" s="213" t="s">
        <v>44</v>
      </c>
      <c r="N203" s="213" t="s">
        <v>45</v>
      </c>
      <c r="O203" s="213" t="s">
        <v>63</v>
      </c>
      <c r="P203" s="213" t="s">
        <v>678</v>
      </c>
      <c r="R203" s="213">
        <v>210</v>
      </c>
      <c r="S203" s="477">
        <v>44235</v>
      </c>
      <c r="T203" s="213" t="s">
        <v>3378</v>
      </c>
      <c r="U203" s="474">
        <v>32706936</v>
      </c>
      <c r="V203" s="407"/>
      <c r="W203" s="363"/>
      <c r="X203" s="480">
        <v>154</v>
      </c>
      <c r="Y203" s="481">
        <v>44244</v>
      </c>
      <c r="Z203" s="481">
        <v>44244</v>
      </c>
      <c r="AA203" s="481">
        <v>44486</v>
      </c>
      <c r="AB203" s="482" t="s">
        <v>2913</v>
      </c>
      <c r="AC203" s="480">
        <v>105</v>
      </c>
      <c r="AD203" s="482">
        <v>1032446801</v>
      </c>
      <c r="AE203" s="483" t="s">
        <v>3379</v>
      </c>
      <c r="AF203" s="472">
        <v>32706936</v>
      </c>
      <c r="AG203" s="473">
        <f t="shared" si="3"/>
        <v>0</v>
      </c>
      <c r="AJ203" s="474">
        <v>1362789</v>
      </c>
      <c r="AK203" s="474">
        <v>4088367</v>
      </c>
      <c r="AL203" s="474">
        <v>4088367</v>
      </c>
      <c r="AM203" s="213"/>
    </row>
    <row r="204" spans="1:50" ht="15" hidden="1" customHeight="1" x14ac:dyDescent="0.25">
      <c r="A204" s="491" t="s">
        <v>2434</v>
      </c>
      <c r="B204" s="492">
        <v>39600000</v>
      </c>
      <c r="C204" s="213" t="s">
        <v>2909</v>
      </c>
      <c r="D204" s="312">
        <v>200</v>
      </c>
      <c r="E204" s="312">
        <v>20215000002853</v>
      </c>
      <c r="F204" s="477">
        <v>44235</v>
      </c>
      <c r="G204" s="312" t="s">
        <v>2903</v>
      </c>
      <c r="H204" s="213" t="s">
        <v>2904</v>
      </c>
      <c r="I204" s="213" t="s">
        <v>228</v>
      </c>
      <c r="J204" s="474">
        <v>39600000</v>
      </c>
      <c r="K204" s="213" t="s">
        <v>223</v>
      </c>
      <c r="L204" s="213" t="s">
        <v>236</v>
      </c>
      <c r="M204" s="213" t="s">
        <v>44</v>
      </c>
      <c r="N204" s="213" t="s">
        <v>45</v>
      </c>
      <c r="O204" s="213" t="s">
        <v>63</v>
      </c>
      <c r="P204" s="213" t="s">
        <v>678</v>
      </c>
      <c r="R204" s="213">
        <v>205</v>
      </c>
      <c r="S204" s="477">
        <v>44235</v>
      </c>
      <c r="T204" s="213" t="s">
        <v>3380</v>
      </c>
      <c r="U204" s="474">
        <f>39600000-14100000</f>
        <v>25500000</v>
      </c>
      <c r="V204" s="407">
        <v>14100000</v>
      </c>
      <c r="W204" s="363"/>
      <c r="X204" s="480" t="s">
        <v>3381</v>
      </c>
      <c r="Y204" s="481">
        <v>44298</v>
      </c>
      <c r="Z204" s="481">
        <v>44298</v>
      </c>
      <c r="AA204" s="481">
        <v>44561</v>
      </c>
      <c r="AB204" s="482" t="s">
        <v>2913</v>
      </c>
      <c r="AC204" s="480" t="s">
        <v>3382</v>
      </c>
      <c r="AD204" s="482" t="s">
        <v>3383</v>
      </c>
      <c r="AE204" s="483" t="s">
        <v>3384</v>
      </c>
      <c r="AF204" s="472">
        <v>25500000</v>
      </c>
      <c r="AG204" s="473">
        <f t="shared" si="3"/>
        <v>0</v>
      </c>
      <c r="AL204" s="474">
        <v>1900000</v>
      </c>
      <c r="AM204" s="307">
        <v>3000000</v>
      </c>
    </row>
    <row r="205" spans="1:50" s="313" customFormat="1" ht="15" hidden="1" customHeight="1" x14ac:dyDescent="0.25">
      <c r="A205" s="500" t="s">
        <v>3385</v>
      </c>
      <c r="B205" s="419">
        <v>55000000</v>
      </c>
      <c r="C205" s="313" t="s">
        <v>2909</v>
      </c>
      <c r="D205" s="326">
        <v>201</v>
      </c>
      <c r="E205" s="326">
        <v>20215000002923</v>
      </c>
      <c r="F205" s="316">
        <v>44235</v>
      </c>
      <c r="G205" s="326" t="s">
        <v>2903</v>
      </c>
      <c r="H205" s="313" t="s">
        <v>2904</v>
      </c>
      <c r="I205" s="313" t="s">
        <v>228</v>
      </c>
      <c r="J205" s="406">
        <v>55000000</v>
      </c>
      <c r="K205" s="313" t="s">
        <v>223</v>
      </c>
      <c r="L205" s="313" t="s">
        <v>257</v>
      </c>
      <c r="M205" s="313" t="s">
        <v>44</v>
      </c>
      <c r="N205" s="313" t="s">
        <v>3199</v>
      </c>
      <c r="O205" s="313" t="s">
        <v>255</v>
      </c>
      <c r="P205" s="313" t="s">
        <v>678</v>
      </c>
      <c r="R205" s="313">
        <v>206</v>
      </c>
      <c r="S205" s="316">
        <v>44235</v>
      </c>
      <c r="T205" s="313" t="s">
        <v>3386</v>
      </c>
      <c r="U205" s="406">
        <f>55000000-55000000</f>
        <v>0</v>
      </c>
      <c r="V205" s="407">
        <v>55000000</v>
      </c>
      <c r="W205" s="363" t="s">
        <v>1757</v>
      </c>
      <c r="X205" s="315"/>
      <c r="Y205" s="359"/>
      <c r="Z205" s="359"/>
      <c r="AA205" s="359"/>
      <c r="AB205" s="318"/>
      <c r="AC205" s="317"/>
      <c r="AD205" s="318"/>
      <c r="AF205" s="411"/>
      <c r="AG205" s="319">
        <f t="shared" si="3"/>
        <v>0</v>
      </c>
      <c r="AH205" s="406"/>
      <c r="AI205" s="406"/>
      <c r="AJ205" s="406"/>
      <c r="AK205" s="406"/>
      <c r="AL205" s="406"/>
      <c r="AM205" s="213"/>
    </row>
    <row r="206" spans="1:50" ht="15" hidden="1" customHeight="1" x14ac:dyDescent="0.25">
      <c r="A206" s="491" t="s">
        <v>2096</v>
      </c>
      <c r="B206" s="492">
        <v>44000000</v>
      </c>
      <c r="C206" s="213" t="s">
        <v>2909</v>
      </c>
      <c r="D206" s="312">
        <v>202</v>
      </c>
      <c r="E206" s="312">
        <v>20215000006303</v>
      </c>
      <c r="F206" s="477">
        <v>44235</v>
      </c>
      <c r="G206" s="312" t="s">
        <v>2903</v>
      </c>
      <c r="H206" s="213" t="s">
        <v>2904</v>
      </c>
      <c r="I206" s="213" t="s">
        <v>228</v>
      </c>
      <c r="J206" s="474">
        <v>44000000</v>
      </c>
      <c r="K206" s="213" t="s">
        <v>223</v>
      </c>
      <c r="L206" s="213" t="s">
        <v>269</v>
      </c>
      <c r="M206" s="213" t="s">
        <v>44</v>
      </c>
      <c r="N206" s="213" t="s">
        <v>45</v>
      </c>
      <c r="O206" s="213" t="s">
        <v>63</v>
      </c>
      <c r="P206" s="213" t="s">
        <v>678</v>
      </c>
      <c r="R206" s="213">
        <v>211</v>
      </c>
      <c r="S206" s="477">
        <v>44235</v>
      </c>
      <c r="T206" s="213" t="s">
        <v>3387</v>
      </c>
      <c r="U206" s="474">
        <f>44000000-4000000</f>
        <v>40000000</v>
      </c>
      <c r="V206" s="443">
        <v>4000000</v>
      </c>
      <c r="W206" s="399"/>
      <c r="X206" s="480">
        <v>153</v>
      </c>
      <c r="Y206" s="481">
        <v>44244</v>
      </c>
      <c r="Z206" s="481">
        <v>44244</v>
      </c>
      <c r="AA206" s="481">
        <v>44547</v>
      </c>
      <c r="AB206" s="482" t="s">
        <v>2913</v>
      </c>
      <c r="AC206" s="480">
        <v>91</v>
      </c>
      <c r="AD206" s="482">
        <v>1010235635</v>
      </c>
      <c r="AE206" s="483" t="s">
        <v>3388</v>
      </c>
      <c r="AF206" s="472">
        <v>40000000</v>
      </c>
      <c r="AG206" s="473">
        <f t="shared" si="3"/>
        <v>0</v>
      </c>
      <c r="AJ206" s="474">
        <v>1600000</v>
      </c>
      <c r="AK206" s="474">
        <v>4000000</v>
      </c>
      <c r="AL206" s="474">
        <v>4000000</v>
      </c>
      <c r="AM206" s="307">
        <v>4000000</v>
      </c>
    </row>
    <row r="207" spans="1:50" ht="15" hidden="1" customHeight="1" x14ac:dyDescent="0.25">
      <c r="A207" s="475" t="s">
        <v>2362</v>
      </c>
      <c r="B207" s="476">
        <v>88320000</v>
      </c>
      <c r="C207" s="213" t="s">
        <v>2909</v>
      </c>
      <c r="D207" s="312">
        <v>203</v>
      </c>
      <c r="E207" s="312">
        <v>20215000001193</v>
      </c>
      <c r="F207" s="477">
        <v>44214</v>
      </c>
      <c r="G207" s="312" t="s">
        <v>2903</v>
      </c>
      <c r="H207" s="213" t="s">
        <v>2904</v>
      </c>
      <c r="I207" s="213" t="s">
        <v>228</v>
      </c>
      <c r="J207" s="474">
        <v>88320000</v>
      </c>
      <c r="K207" s="213" t="s">
        <v>223</v>
      </c>
      <c r="L207" s="213" t="s">
        <v>3021</v>
      </c>
      <c r="M207" s="213" t="s">
        <v>44</v>
      </c>
      <c r="N207" s="213" t="s">
        <v>45</v>
      </c>
      <c r="O207" s="213" t="s">
        <v>63</v>
      </c>
      <c r="P207" s="213" t="s">
        <v>678</v>
      </c>
      <c r="R207" s="213">
        <v>55</v>
      </c>
      <c r="S207" s="477">
        <v>44214</v>
      </c>
      <c r="T207" s="213" t="s">
        <v>3389</v>
      </c>
      <c r="U207" s="474">
        <f>88320000-15170000</f>
        <v>73150000</v>
      </c>
      <c r="V207" s="412">
        <v>15170000</v>
      </c>
      <c r="W207" s="398"/>
      <c r="X207" s="309">
        <v>228</v>
      </c>
      <c r="Y207" s="481">
        <v>44259</v>
      </c>
      <c r="Z207" s="481">
        <v>44259</v>
      </c>
      <c r="AA207" s="481">
        <v>44545</v>
      </c>
      <c r="AB207" s="482" t="s">
        <v>2913</v>
      </c>
      <c r="AC207" s="212">
        <v>164</v>
      </c>
      <c r="AD207" s="482" t="s">
        <v>3390</v>
      </c>
      <c r="AE207" s="483" t="s">
        <v>3391</v>
      </c>
      <c r="AF207" s="472">
        <v>73150000</v>
      </c>
      <c r="AG207" s="473">
        <f t="shared" si="3"/>
        <v>0</v>
      </c>
      <c r="AK207" s="474">
        <v>6930000</v>
      </c>
      <c r="AL207" s="474">
        <v>7700000</v>
      </c>
      <c r="AM207" s="307">
        <v>7700000</v>
      </c>
    </row>
    <row r="208" spans="1:50" ht="15" hidden="1" customHeight="1" x14ac:dyDescent="0.25">
      <c r="A208" s="475" t="s">
        <v>2357</v>
      </c>
      <c r="B208" s="476">
        <v>64900000</v>
      </c>
      <c r="C208" s="213" t="s">
        <v>2909</v>
      </c>
      <c r="D208" s="312">
        <v>204</v>
      </c>
      <c r="E208" s="310">
        <v>20215000007203</v>
      </c>
      <c r="F208" s="477">
        <v>44243</v>
      </c>
      <c r="G208" s="310" t="s">
        <v>2903</v>
      </c>
      <c r="H208" s="211" t="s">
        <v>2904</v>
      </c>
      <c r="I208" s="211" t="s">
        <v>228</v>
      </c>
      <c r="J208" s="408">
        <v>64900000</v>
      </c>
      <c r="K208" s="213" t="s">
        <v>288</v>
      </c>
      <c r="L208" s="213" t="s">
        <v>2999</v>
      </c>
      <c r="M208" s="213" t="s">
        <v>44</v>
      </c>
      <c r="N208" s="213" t="s">
        <v>45</v>
      </c>
      <c r="O208" s="213" t="s">
        <v>63</v>
      </c>
      <c r="P208" s="213" t="s">
        <v>678</v>
      </c>
      <c r="R208" s="213">
        <v>249</v>
      </c>
      <c r="S208" s="477">
        <v>44243</v>
      </c>
      <c r="T208" s="213" t="s">
        <v>3392</v>
      </c>
      <c r="U208" s="474">
        <f>64900000-8850000</f>
        <v>56050000</v>
      </c>
      <c r="V208" s="443">
        <v>8850000</v>
      </c>
      <c r="W208" s="399"/>
      <c r="X208" s="309">
        <v>230</v>
      </c>
      <c r="Y208" s="481">
        <v>44259</v>
      </c>
      <c r="Z208" s="481">
        <v>44259</v>
      </c>
      <c r="AA208" s="481">
        <v>44545</v>
      </c>
      <c r="AB208" s="482" t="s">
        <v>2913</v>
      </c>
      <c r="AC208" s="212">
        <v>162</v>
      </c>
      <c r="AD208" s="482" t="s">
        <v>3393</v>
      </c>
      <c r="AE208" s="483" t="s">
        <v>3394</v>
      </c>
      <c r="AF208" s="472">
        <v>56050000</v>
      </c>
      <c r="AG208" s="473">
        <f t="shared" si="3"/>
        <v>0</v>
      </c>
      <c r="AK208" s="474">
        <v>5113333</v>
      </c>
      <c r="AL208" s="474">
        <v>5900000</v>
      </c>
      <c r="AM208" s="307">
        <v>5900000</v>
      </c>
    </row>
    <row r="209" spans="1:45" hidden="1" x14ac:dyDescent="0.25">
      <c r="A209" s="491" t="s">
        <v>2099</v>
      </c>
      <c r="B209" s="492">
        <v>39600000</v>
      </c>
      <c r="C209" s="213" t="s">
        <v>2909</v>
      </c>
      <c r="D209" s="312">
        <v>205</v>
      </c>
      <c r="E209" s="312">
        <v>20215000006403</v>
      </c>
      <c r="F209" s="477">
        <v>44235</v>
      </c>
      <c r="G209" s="312" t="s">
        <v>2903</v>
      </c>
      <c r="H209" s="213" t="s">
        <v>2904</v>
      </c>
      <c r="I209" s="213" t="s">
        <v>228</v>
      </c>
      <c r="J209" s="474">
        <v>39600000</v>
      </c>
      <c r="K209" s="213" t="s">
        <v>223</v>
      </c>
      <c r="L209" s="213" t="s">
        <v>283</v>
      </c>
      <c r="M209" s="213" t="s">
        <v>44</v>
      </c>
      <c r="N209" s="213" t="s">
        <v>45</v>
      </c>
      <c r="O209" s="213" t="s">
        <v>63</v>
      </c>
      <c r="P209" s="213" t="s">
        <v>678</v>
      </c>
      <c r="R209" s="213">
        <v>214</v>
      </c>
      <c r="S209" s="477">
        <v>44235</v>
      </c>
      <c r="T209" s="213" t="s">
        <v>3395</v>
      </c>
      <c r="U209" s="474">
        <f>39600000-15600000</f>
        <v>24000000</v>
      </c>
      <c r="V209" s="443">
        <v>15600000</v>
      </c>
      <c r="W209" s="399"/>
      <c r="X209" s="480">
        <v>140</v>
      </c>
      <c r="Y209" s="481">
        <v>44243</v>
      </c>
      <c r="Z209" s="481">
        <v>44243</v>
      </c>
      <c r="AA209" s="481">
        <v>44424</v>
      </c>
      <c r="AB209" s="482" t="s">
        <v>2913</v>
      </c>
      <c r="AC209" s="480">
        <v>85</v>
      </c>
      <c r="AD209" s="482">
        <v>1022384109</v>
      </c>
      <c r="AE209" s="483" t="s">
        <v>3396</v>
      </c>
      <c r="AF209" s="472">
        <v>24000000</v>
      </c>
      <c r="AG209" s="473">
        <f t="shared" si="3"/>
        <v>0</v>
      </c>
      <c r="AL209" s="474">
        <v>5600000</v>
      </c>
      <c r="AM209" s="307">
        <v>4000000</v>
      </c>
    </row>
    <row r="210" spans="1:45" hidden="1" x14ac:dyDescent="0.25">
      <c r="A210" s="491" t="s">
        <v>2406</v>
      </c>
      <c r="B210" s="492">
        <v>60000000</v>
      </c>
      <c r="C210" s="213" t="s">
        <v>2909</v>
      </c>
      <c r="D210" s="312">
        <v>206</v>
      </c>
      <c r="E210" s="312">
        <v>20213000005713</v>
      </c>
      <c r="F210" s="477">
        <v>44231</v>
      </c>
      <c r="G210" s="312" t="s">
        <v>2903</v>
      </c>
      <c r="H210" s="213" t="s">
        <v>2904</v>
      </c>
      <c r="I210" s="213" t="s">
        <v>432</v>
      </c>
      <c r="J210" s="474">
        <v>60000000</v>
      </c>
      <c r="K210" s="213" t="s">
        <v>358</v>
      </c>
      <c r="L210" s="213" t="s">
        <v>3054</v>
      </c>
      <c r="M210" s="213" t="s">
        <v>44</v>
      </c>
      <c r="N210" s="213" t="s">
        <v>45</v>
      </c>
      <c r="O210" s="213" t="s">
        <v>63</v>
      </c>
      <c r="P210" s="213" t="s">
        <v>678</v>
      </c>
      <c r="R210" s="213">
        <v>200</v>
      </c>
      <c r="S210" s="477">
        <v>44231</v>
      </c>
      <c r="T210" s="213" t="s">
        <v>3397</v>
      </c>
      <c r="U210" s="474">
        <f>60000000-1854336</f>
        <v>58145664</v>
      </c>
      <c r="V210" s="412">
        <v>1854336</v>
      </c>
      <c r="W210" s="398"/>
      <c r="X210" s="309">
        <v>231</v>
      </c>
      <c r="Y210" s="481">
        <v>44259</v>
      </c>
      <c r="Z210" s="481">
        <v>44259</v>
      </c>
      <c r="AA210" s="481">
        <v>44504</v>
      </c>
      <c r="AB210" s="482" t="s">
        <v>2913</v>
      </c>
      <c r="AC210" s="212">
        <v>163</v>
      </c>
      <c r="AD210" s="482" t="s">
        <v>3398</v>
      </c>
      <c r="AE210" s="483" t="s">
        <v>3399</v>
      </c>
      <c r="AF210" s="472">
        <v>58145664</v>
      </c>
      <c r="AG210" s="473">
        <f t="shared" si="3"/>
        <v>0</v>
      </c>
      <c r="AK210" s="474">
        <v>5330019</v>
      </c>
      <c r="AL210" s="474">
        <v>7268208</v>
      </c>
      <c r="AM210" s="307">
        <v>7268208</v>
      </c>
    </row>
    <row r="211" spans="1:45" hidden="1" x14ac:dyDescent="0.25">
      <c r="A211" s="491" t="s">
        <v>2353</v>
      </c>
      <c r="B211" s="492">
        <v>58300000</v>
      </c>
      <c r="C211" s="213" t="s">
        <v>2909</v>
      </c>
      <c r="D211" s="312">
        <v>207</v>
      </c>
      <c r="E211" s="312">
        <v>20215000006423</v>
      </c>
      <c r="F211" s="477">
        <v>44235</v>
      </c>
      <c r="G211" s="312" t="s">
        <v>2903</v>
      </c>
      <c r="H211" s="213" t="s">
        <v>2904</v>
      </c>
      <c r="I211" s="213" t="s">
        <v>228</v>
      </c>
      <c r="J211" s="474">
        <v>58300000</v>
      </c>
      <c r="K211" s="213" t="s">
        <v>223</v>
      </c>
      <c r="L211" s="213" t="s">
        <v>269</v>
      </c>
      <c r="M211" s="213" t="s">
        <v>44</v>
      </c>
      <c r="N211" s="213" t="s">
        <v>45</v>
      </c>
      <c r="O211" s="213" t="s">
        <v>63</v>
      </c>
      <c r="P211" s="213" t="s">
        <v>678</v>
      </c>
      <c r="R211" s="213">
        <v>216</v>
      </c>
      <c r="S211" s="477">
        <v>44236</v>
      </c>
      <c r="T211" s="213" t="s">
        <v>3400</v>
      </c>
      <c r="U211" s="474">
        <f>58300000-5300000</f>
        <v>53000000</v>
      </c>
      <c r="V211" s="443">
        <v>5300000</v>
      </c>
      <c r="W211" s="399"/>
      <c r="X211" s="480">
        <v>150</v>
      </c>
      <c r="Y211" s="481">
        <v>44244</v>
      </c>
      <c r="Z211" s="481">
        <v>44244</v>
      </c>
      <c r="AA211" s="481">
        <v>44547</v>
      </c>
      <c r="AB211" s="482" t="s">
        <v>2913</v>
      </c>
      <c r="AC211" s="480">
        <v>100</v>
      </c>
      <c r="AD211" s="482">
        <v>1076656936</v>
      </c>
      <c r="AE211" s="483" t="s">
        <v>3401</v>
      </c>
      <c r="AF211" s="472">
        <v>53000000</v>
      </c>
      <c r="AG211" s="473">
        <f t="shared" si="3"/>
        <v>0</v>
      </c>
      <c r="AJ211" s="474">
        <v>2120000</v>
      </c>
      <c r="AK211" s="474">
        <v>5300000</v>
      </c>
      <c r="AL211" s="474">
        <v>5300000</v>
      </c>
      <c r="AM211" s="307">
        <v>5300000</v>
      </c>
    </row>
    <row r="212" spans="1:45" hidden="1" x14ac:dyDescent="0.25">
      <c r="A212" s="475" t="s">
        <v>2359</v>
      </c>
      <c r="B212" s="476">
        <v>28600000</v>
      </c>
      <c r="C212" s="213" t="s">
        <v>2909</v>
      </c>
      <c r="D212" s="312">
        <v>208</v>
      </c>
      <c r="E212" s="312">
        <v>20215000002723</v>
      </c>
      <c r="F212" s="477">
        <v>44225</v>
      </c>
      <c r="G212" s="312" t="s">
        <v>2903</v>
      </c>
      <c r="H212" s="213" t="s">
        <v>2904</v>
      </c>
      <c r="I212" s="213" t="s">
        <v>228</v>
      </c>
      <c r="J212" s="474">
        <v>28600000</v>
      </c>
      <c r="K212" s="213" t="s">
        <v>223</v>
      </c>
      <c r="L212" s="213" t="s">
        <v>3021</v>
      </c>
      <c r="M212" s="213" t="s">
        <v>44</v>
      </c>
      <c r="N212" s="213" t="s">
        <v>45</v>
      </c>
      <c r="O212" s="213" t="s">
        <v>63</v>
      </c>
      <c r="P212" s="213" t="s">
        <v>678</v>
      </c>
      <c r="R212" s="213">
        <v>121</v>
      </c>
      <c r="S212" s="477">
        <v>44225</v>
      </c>
      <c r="T212" s="213" t="s">
        <v>3402</v>
      </c>
      <c r="U212" s="474">
        <f>28600000-2950000</f>
        <v>25650000</v>
      </c>
      <c r="V212" s="443">
        <v>2950000</v>
      </c>
      <c r="W212" s="399"/>
      <c r="X212" s="309">
        <v>232</v>
      </c>
      <c r="Y212" s="481">
        <v>44259</v>
      </c>
      <c r="Z212" s="481">
        <v>44259</v>
      </c>
      <c r="AA212" s="481">
        <v>44545</v>
      </c>
      <c r="AB212" s="482" t="s">
        <v>2913</v>
      </c>
      <c r="AC212" s="212">
        <v>168</v>
      </c>
      <c r="AD212" s="482" t="s">
        <v>3403</v>
      </c>
      <c r="AE212" s="483" t="s">
        <v>3404</v>
      </c>
      <c r="AF212" s="472">
        <v>25650000</v>
      </c>
      <c r="AG212" s="473">
        <f t="shared" si="3"/>
        <v>0</v>
      </c>
      <c r="AK212" s="474">
        <v>2340000</v>
      </c>
      <c r="AL212" s="474">
        <v>2700000</v>
      </c>
      <c r="AM212" s="307">
        <v>2700000</v>
      </c>
    </row>
    <row r="213" spans="1:45" hidden="1" x14ac:dyDescent="0.25">
      <c r="A213" s="491" t="s">
        <v>2354</v>
      </c>
      <c r="B213" s="492">
        <v>64900000</v>
      </c>
      <c r="C213" s="213" t="s">
        <v>2909</v>
      </c>
      <c r="D213" s="312">
        <v>209</v>
      </c>
      <c r="E213" s="312">
        <v>20215000006463</v>
      </c>
      <c r="F213" s="477">
        <v>44235</v>
      </c>
      <c r="G213" s="312" t="s">
        <v>2903</v>
      </c>
      <c r="H213" s="213" t="s">
        <v>2904</v>
      </c>
      <c r="I213" s="213" t="s">
        <v>228</v>
      </c>
      <c r="J213" s="474">
        <v>64900000</v>
      </c>
      <c r="K213" s="213" t="s">
        <v>223</v>
      </c>
      <c r="L213" s="213" t="s">
        <v>233</v>
      </c>
      <c r="M213" s="213" t="s">
        <v>44</v>
      </c>
      <c r="N213" s="213" t="s">
        <v>45</v>
      </c>
      <c r="O213" s="213" t="s">
        <v>63</v>
      </c>
      <c r="P213" s="213" t="s">
        <v>678</v>
      </c>
      <c r="R213" s="213">
        <v>218</v>
      </c>
      <c r="S213" s="477">
        <v>44236</v>
      </c>
      <c r="T213" s="213" t="s">
        <v>3405</v>
      </c>
      <c r="U213" s="474">
        <f>64900000-5900000</f>
        <v>59000000</v>
      </c>
      <c r="V213" s="443">
        <v>5900000</v>
      </c>
      <c r="W213" s="399"/>
      <c r="X213" s="480">
        <v>160</v>
      </c>
      <c r="Y213" s="481">
        <v>44245</v>
      </c>
      <c r="Z213" s="481">
        <v>44245</v>
      </c>
      <c r="AA213" s="481">
        <v>44548</v>
      </c>
      <c r="AB213" s="482" t="s">
        <v>2913</v>
      </c>
      <c r="AC213" s="480">
        <v>110</v>
      </c>
      <c r="AD213" s="482">
        <v>39788923</v>
      </c>
      <c r="AE213" s="483" t="s">
        <v>3406</v>
      </c>
      <c r="AF213" s="472">
        <v>59000000</v>
      </c>
      <c r="AG213" s="473">
        <f t="shared" si="3"/>
        <v>0</v>
      </c>
      <c r="AK213" s="474">
        <v>7866667</v>
      </c>
      <c r="AL213" s="474">
        <v>5900000</v>
      </c>
      <c r="AM213" s="307">
        <v>5900000</v>
      </c>
    </row>
    <row r="214" spans="1:45" hidden="1" x14ac:dyDescent="0.25">
      <c r="A214" s="491" t="s">
        <v>2355</v>
      </c>
      <c r="B214" s="492">
        <v>44000000</v>
      </c>
      <c r="C214" s="213" t="s">
        <v>2909</v>
      </c>
      <c r="D214" s="312">
        <v>210</v>
      </c>
      <c r="E214" s="312">
        <v>20215000006473</v>
      </c>
      <c r="F214" s="477">
        <v>44235</v>
      </c>
      <c r="G214" s="312" t="s">
        <v>2903</v>
      </c>
      <c r="H214" s="213" t="s">
        <v>2904</v>
      </c>
      <c r="I214" s="213" t="s">
        <v>228</v>
      </c>
      <c r="J214" s="474">
        <v>44000000</v>
      </c>
      <c r="K214" s="213" t="s">
        <v>288</v>
      </c>
      <c r="L214" s="213" t="s">
        <v>294</v>
      </c>
      <c r="M214" s="213" t="s">
        <v>44</v>
      </c>
      <c r="N214" s="213" t="s">
        <v>45</v>
      </c>
      <c r="O214" s="213" t="s">
        <v>63</v>
      </c>
      <c r="P214" s="213" t="s">
        <v>678</v>
      </c>
      <c r="R214" s="213">
        <v>219</v>
      </c>
      <c r="S214" s="477">
        <v>44236</v>
      </c>
      <c r="T214" s="213" t="s">
        <v>3407</v>
      </c>
      <c r="U214" s="474">
        <f>44000000-4000000</f>
        <v>40000000</v>
      </c>
      <c r="V214" s="443">
        <v>4000000</v>
      </c>
      <c r="W214" s="399"/>
      <c r="X214" s="480">
        <v>194</v>
      </c>
      <c r="Y214" s="481">
        <v>44252</v>
      </c>
      <c r="Z214" s="481">
        <v>44252</v>
      </c>
      <c r="AA214" s="481">
        <v>44555</v>
      </c>
      <c r="AB214" s="482" t="s">
        <v>2913</v>
      </c>
      <c r="AC214" s="480">
        <v>134</v>
      </c>
      <c r="AD214" s="482">
        <v>1015441871</v>
      </c>
      <c r="AE214" s="483" t="s">
        <v>3408</v>
      </c>
      <c r="AF214" s="472">
        <v>40000000</v>
      </c>
      <c r="AG214" s="473">
        <f t="shared" si="3"/>
        <v>0</v>
      </c>
      <c r="AK214" s="474">
        <v>4400000</v>
      </c>
      <c r="AL214" s="474">
        <v>4000000</v>
      </c>
      <c r="AM214" s="307">
        <v>4000000</v>
      </c>
    </row>
    <row r="215" spans="1:45" hidden="1" x14ac:dyDescent="0.25">
      <c r="A215" s="475" t="s">
        <v>2361</v>
      </c>
      <c r="B215" s="476">
        <v>64900000</v>
      </c>
      <c r="C215" s="213" t="s">
        <v>2909</v>
      </c>
      <c r="D215" s="312">
        <v>211</v>
      </c>
      <c r="E215" s="312">
        <v>20215000000883</v>
      </c>
      <c r="F215" s="477">
        <v>44211</v>
      </c>
      <c r="G215" s="312" t="s">
        <v>2903</v>
      </c>
      <c r="H215" s="213" t="s">
        <v>2904</v>
      </c>
      <c r="I215" s="213" t="s">
        <v>228</v>
      </c>
      <c r="J215" s="474">
        <v>64900000</v>
      </c>
      <c r="K215" s="213" t="s">
        <v>223</v>
      </c>
      <c r="L215" s="213" t="s">
        <v>233</v>
      </c>
      <c r="M215" s="213" t="s">
        <v>44</v>
      </c>
      <c r="N215" s="213" t="s">
        <v>45</v>
      </c>
      <c r="O215" s="213" t="s">
        <v>63</v>
      </c>
      <c r="P215" s="213" t="s">
        <v>678</v>
      </c>
      <c r="R215" s="213">
        <v>35</v>
      </c>
      <c r="S215" s="477">
        <v>44211</v>
      </c>
      <c r="T215" s="213" t="s">
        <v>2983</v>
      </c>
      <c r="U215" s="474">
        <f>64900000-8850000</f>
        <v>56050000</v>
      </c>
      <c r="V215" s="412">
        <v>8850000</v>
      </c>
      <c r="W215" s="398"/>
      <c r="X215" s="309">
        <v>233</v>
      </c>
      <c r="Y215" s="481">
        <v>44259</v>
      </c>
      <c r="Z215" s="481">
        <v>44259</v>
      </c>
      <c r="AA215" s="481">
        <v>44545</v>
      </c>
      <c r="AB215" s="482" t="s">
        <v>2913</v>
      </c>
      <c r="AC215" s="212">
        <v>165</v>
      </c>
      <c r="AD215" s="482" t="s">
        <v>3409</v>
      </c>
      <c r="AE215" s="483" t="s">
        <v>3410</v>
      </c>
      <c r="AF215" s="472">
        <v>56050000</v>
      </c>
      <c r="AG215" s="473">
        <f t="shared" si="3"/>
        <v>0</v>
      </c>
      <c r="AK215" s="474">
        <v>5113333</v>
      </c>
      <c r="AL215" s="474">
        <v>5900000</v>
      </c>
      <c r="AM215" s="307">
        <v>5900000</v>
      </c>
    </row>
    <row r="216" spans="1:45" hidden="1" x14ac:dyDescent="0.25">
      <c r="A216" s="491" t="s">
        <v>2770</v>
      </c>
      <c r="B216" s="492">
        <v>96511665</v>
      </c>
      <c r="C216" s="213" t="s">
        <v>2909</v>
      </c>
      <c r="D216" s="312">
        <v>212</v>
      </c>
      <c r="E216" s="312">
        <v>20212000006273</v>
      </c>
      <c r="F216" s="477">
        <v>44236</v>
      </c>
      <c r="G216" s="312" t="s">
        <v>2903</v>
      </c>
      <c r="H216" s="213" t="s">
        <v>2904</v>
      </c>
      <c r="I216" s="213" t="s">
        <v>391</v>
      </c>
      <c r="J216" s="474">
        <v>36805297</v>
      </c>
      <c r="K216" s="211" t="s">
        <v>2974</v>
      </c>
      <c r="L216" s="213" t="s">
        <v>2975</v>
      </c>
      <c r="M216" s="213" t="s">
        <v>44</v>
      </c>
      <c r="N216" s="213" t="s">
        <v>45</v>
      </c>
      <c r="O216" s="213" t="s">
        <v>63</v>
      </c>
      <c r="P216" s="213" t="s">
        <v>678</v>
      </c>
      <c r="R216" s="213">
        <v>223</v>
      </c>
      <c r="S216" s="477">
        <v>44236</v>
      </c>
      <c r="T216" s="213" t="s">
        <v>3411</v>
      </c>
      <c r="U216" s="474">
        <f>36805297-17797</f>
        <v>36787500</v>
      </c>
      <c r="V216" s="412">
        <v>17797</v>
      </c>
      <c r="W216" s="398"/>
      <c r="X216" s="480">
        <v>191</v>
      </c>
      <c r="Y216" s="481">
        <v>44252</v>
      </c>
      <c r="Z216" s="481">
        <v>44252</v>
      </c>
      <c r="AA216" s="481">
        <v>44387</v>
      </c>
      <c r="AB216" s="482" t="s">
        <v>2913</v>
      </c>
      <c r="AC216" s="480">
        <v>131</v>
      </c>
      <c r="AD216" s="482">
        <v>52783545</v>
      </c>
      <c r="AE216" s="483" t="s">
        <v>3412</v>
      </c>
      <c r="AF216" s="472">
        <v>36787500</v>
      </c>
      <c r="AG216" s="473">
        <f t="shared" si="3"/>
        <v>0</v>
      </c>
      <c r="AK216" s="474">
        <v>9265000</v>
      </c>
      <c r="AL216" s="474">
        <v>8175000</v>
      </c>
      <c r="AM216" s="307">
        <v>8175000</v>
      </c>
    </row>
    <row r="217" spans="1:45" hidden="1" x14ac:dyDescent="0.25">
      <c r="A217" s="491" t="s">
        <v>2449</v>
      </c>
      <c r="B217" s="492">
        <v>48144000</v>
      </c>
      <c r="C217" s="213" t="s">
        <v>2909</v>
      </c>
      <c r="D217" s="312">
        <v>213</v>
      </c>
      <c r="E217" s="312">
        <v>20212000006333</v>
      </c>
      <c r="F217" s="477">
        <v>44236</v>
      </c>
      <c r="G217" s="312" t="s">
        <v>2903</v>
      </c>
      <c r="H217" s="213" t="s">
        <v>2904</v>
      </c>
      <c r="I217" s="213" t="s">
        <v>391</v>
      </c>
      <c r="J217" s="474">
        <v>42945000</v>
      </c>
      <c r="K217" s="211" t="s">
        <v>2974</v>
      </c>
      <c r="L217" s="213" t="s">
        <v>2975</v>
      </c>
      <c r="M217" s="213" t="s">
        <v>44</v>
      </c>
      <c r="N217" s="213" t="s">
        <v>45</v>
      </c>
      <c r="O217" s="213" t="s">
        <v>63</v>
      </c>
      <c r="P217" s="213" t="s">
        <v>678</v>
      </c>
      <c r="R217" s="213">
        <v>224</v>
      </c>
      <c r="S217" s="477">
        <v>44236</v>
      </c>
      <c r="T217" s="213" t="s">
        <v>3413</v>
      </c>
      <c r="U217" s="474">
        <f>42945000-2045000</f>
        <v>40900000</v>
      </c>
      <c r="V217" s="412">
        <v>2045000</v>
      </c>
      <c r="W217" s="398"/>
      <c r="X217" s="480">
        <v>186</v>
      </c>
      <c r="Y217" s="481">
        <v>44251</v>
      </c>
      <c r="Z217" s="481">
        <v>44251</v>
      </c>
      <c r="AA217" s="481">
        <v>44554</v>
      </c>
      <c r="AB217" s="482" t="s">
        <v>2913</v>
      </c>
      <c r="AC217" s="480">
        <v>125</v>
      </c>
      <c r="AD217" s="482">
        <v>1098672264</v>
      </c>
      <c r="AE217" s="483" t="s">
        <v>3414</v>
      </c>
      <c r="AF217" s="472">
        <v>40900000</v>
      </c>
      <c r="AG217" s="473">
        <f t="shared" si="3"/>
        <v>0</v>
      </c>
      <c r="AK217" s="474">
        <v>4635333</v>
      </c>
      <c r="AL217" s="474">
        <v>4090000</v>
      </c>
      <c r="AM217" s="307">
        <v>4090000</v>
      </c>
    </row>
    <row r="218" spans="1:45" hidden="1" x14ac:dyDescent="0.25">
      <c r="A218" s="491" t="s">
        <v>2159</v>
      </c>
      <c r="B218" s="492">
        <v>53226394</v>
      </c>
      <c r="C218" s="213" t="s">
        <v>2909</v>
      </c>
      <c r="D218" s="312">
        <v>214</v>
      </c>
      <c r="E218" s="312">
        <v>20212000006343</v>
      </c>
      <c r="F218" s="477">
        <v>44236</v>
      </c>
      <c r="G218" s="312" t="s">
        <v>2903</v>
      </c>
      <c r="H218" s="213" t="s">
        <v>2904</v>
      </c>
      <c r="I218" s="213" t="s">
        <v>391</v>
      </c>
      <c r="J218" s="474">
        <v>47365500</v>
      </c>
      <c r="K218" s="211" t="s">
        <v>2974</v>
      </c>
      <c r="L218" s="213" t="s">
        <v>2975</v>
      </c>
      <c r="M218" s="213" t="s">
        <v>44</v>
      </c>
      <c r="N218" s="213" t="s">
        <v>45</v>
      </c>
      <c r="O218" s="213" t="s">
        <v>63</v>
      </c>
      <c r="P218" s="213" t="s">
        <v>678</v>
      </c>
      <c r="R218" s="213">
        <v>225</v>
      </c>
      <c r="S218" s="477">
        <v>44236</v>
      </c>
      <c r="T218" s="213" t="s">
        <v>3415</v>
      </c>
      <c r="U218" s="474">
        <f>47365500-6766500</f>
        <v>40599000</v>
      </c>
      <c r="V218" s="412">
        <v>6766500</v>
      </c>
      <c r="W218" s="398"/>
      <c r="X218" s="480" t="s">
        <v>3416</v>
      </c>
      <c r="Y218" s="481">
        <v>44285</v>
      </c>
      <c r="Z218" s="481">
        <v>44285</v>
      </c>
      <c r="AA218" s="481">
        <v>44560</v>
      </c>
      <c r="AB218" s="482" t="s">
        <v>2913</v>
      </c>
      <c r="AC218" s="480" t="s">
        <v>3417</v>
      </c>
      <c r="AD218" s="482" t="s">
        <v>3418</v>
      </c>
      <c r="AE218" s="483" t="s">
        <v>3419</v>
      </c>
      <c r="AF218" s="472">
        <v>40599000</v>
      </c>
      <c r="AG218" s="473">
        <f t="shared" si="3"/>
        <v>0</v>
      </c>
      <c r="AL218" s="474">
        <v>4661367</v>
      </c>
      <c r="AM218" s="307">
        <v>4511000</v>
      </c>
    </row>
    <row r="219" spans="1:45" hidden="1" x14ac:dyDescent="0.25">
      <c r="A219" s="491" t="s">
        <v>2199</v>
      </c>
      <c r="B219" s="492">
        <v>39270000</v>
      </c>
      <c r="C219" s="213" t="s">
        <v>2909</v>
      </c>
      <c r="D219" s="312">
        <v>215</v>
      </c>
      <c r="E219" s="312">
        <v>20212000006353</v>
      </c>
      <c r="F219" s="477">
        <v>44236</v>
      </c>
      <c r="G219" s="312" t="s">
        <v>2903</v>
      </c>
      <c r="H219" s="213" t="s">
        <v>2904</v>
      </c>
      <c r="I219" s="213" t="s">
        <v>391</v>
      </c>
      <c r="J219" s="474">
        <v>37525000</v>
      </c>
      <c r="K219" s="211" t="s">
        <v>2974</v>
      </c>
      <c r="L219" s="213" t="s">
        <v>2975</v>
      </c>
      <c r="M219" s="213" t="s">
        <v>44</v>
      </c>
      <c r="N219" s="213" t="s">
        <v>45</v>
      </c>
      <c r="O219" s="213" t="s">
        <v>63</v>
      </c>
      <c r="P219" s="213" t="s">
        <v>678</v>
      </c>
      <c r="R219" s="213">
        <v>226</v>
      </c>
      <c r="S219" s="477">
        <v>44236</v>
      </c>
      <c r="T219" s="213" t="s">
        <v>3420</v>
      </c>
      <c r="U219" s="474">
        <v>37525000</v>
      </c>
      <c r="V219" s="407"/>
      <c r="W219" s="363"/>
      <c r="X219" s="480">
        <v>162</v>
      </c>
      <c r="Y219" s="481">
        <v>44245</v>
      </c>
      <c r="Z219" s="481">
        <v>44245</v>
      </c>
      <c r="AA219" s="481">
        <v>44530</v>
      </c>
      <c r="AB219" s="482" t="s">
        <v>2913</v>
      </c>
      <c r="AC219" s="480">
        <v>111</v>
      </c>
      <c r="AD219" s="482">
        <v>1030604453</v>
      </c>
      <c r="AE219" s="483" t="s">
        <v>3421</v>
      </c>
      <c r="AF219" s="472">
        <v>37525000</v>
      </c>
      <c r="AG219" s="473">
        <f t="shared" si="3"/>
        <v>0</v>
      </c>
      <c r="AJ219" s="474">
        <v>921667</v>
      </c>
      <c r="AK219" s="474">
        <v>3950000</v>
      </c>
      <c r="AL219" s="474">
        <v>3950000</v>
      </c>
      <c r="AM219" s="307">
        <v>3950000</v>
      </c>
    </row>
    <row r="220" spans="1:45" hidden="1" x14ac:dyDescent="0.25">
      <c r="A220" s="491" t="s">
        <v>2201</v>
      </c>
      <c r="B220" s="492">
        <v>34904400</v>
      </c>
      <c r="C220" s="213" t="s">
        <v>2909</v>
      </c>
      <c r="D220" s="312">
        <v>216</v>
      </c>
      <c r="E220" s="312">
        <v>20212000006373</v>
      </c>
      <c r="F220" s="477">
        <v>44236</v>
      </c>
      <c r="G220" s="312" t="s">
        <v>2903</v>
      </c>
      <c r="H220" s="213" t="s">
        <v>2904</v>
      </c>
      <c r="I220" s="213" t="s">
        <v>391</v>
      </c>
      <c r="J220" s="474">
        <v>32538000</v>
      </c>
      <c r="K220" s="211" t="s">
        <v>2974</v>
      </c>
      <c r="L220" s="213" t="s">
        <v>2975</v>
      </c>
      <c r="M220" s="213" t="s">
        <v>44</v>
      </c>
      <c r="N220" s="213" t="s">
        <v>45</v>
      </c>
      <c r="O220" s="213" t="s">
        <v>63</v>
      </c>
      <c r="P220" s="213" t="s">
        <v>678</v>
      </c>
      <c r="R220" s="213">
        <v>227</v>
      </c>
      <c r="S220" s="477">
        <v>44236</v>
      </c>
      <c r="T220" s="213" t="s">
        <v>3422</v>
      </c>
      <c r="U220" s="474">
        <f>32538000-2958000</f>
        <v>29580000</v>
      </c>
      <c r="V220" s="412">
        <v>2958000</v>
      </c>
      <c r="W220" s="398"/>
      <c r="X220" s="480">
        <v>152</v>
      </c>
      <c r="Y220" s="481">
        <v>44244</v>
      </c>
      <c r="Z220" s="481">
        <v>44244</v>
      </c>
      <c r="AA220" s="481">
        <v>44547</v>
      </c>
      <c r="AB220" s="482" t="s">
        <v>2913</v>
      </c>
      <c r="AC220" s="480">
        <v>97</v>
      </c>
      <c r="AD220" s="482">
        <v>1024514381</v>
      </c>
      <c r="AE220" s="483" t="s">
        <v>3423</v>
      </c>
      <c r="AF220" s="472">
        <v>29580000</v>
      </c>
      <c r="AG220" s="473">
        <f t="shared" si="3"/>
        <v>0</v>
      </c>
      <c r="AJ220" s="474">
        <v>1183200</v>
      </c>
      <c r="AK220" s="474">
        <v>2958000</v>
      </c>
      <c r="AL220" s="474">
        <v>2958000</v>
      </c>
      <c r="AM220" s="307">
        <v>2958000</v>
      </c>
    </row>
    <row r="221" spans="1:45" hidden="1" x14ac:dyDescent="0.25">
      <c r="A221" s="314" t="s">
        <v>2768</v>
      </c>
      <c r="B221" s="420">
        <v>81844800</v>
      </c>
      <c r="C221" s="213" t="s">
        <v>2909</v>
      </c>
      <c r="D221" s="312">
        <v>217</v>
      </c>
      <c r="E221" s="312">
        <v>20212000006263</v>
      </c>
      <c r="F221" s="477">
        <v>44236</v>
      </c>
      <c r="G221" s="312" t="s">
        <v>2903</v>
      </c>
      <c r="H221" s="213" t="s">
        <v>2904</v>
      </c>
      <c r="I221" s="213" t="s">
        <v>391</v>
      </c>
      <c r="J221" s="474">
        <v>77900000</v>
      </c>
      <c r="K221" s="211" t="s">
        <v>2974</v>
      </c>
      <c r="L221" s="213" t="s">
        <v>2975</v>
      </c>
      <c r="M221" s="213" t="s">
        <v>44</v>
      </c>
      <c r="N221" s="213" t="s">
        <v>45</v>
      </c>
      <c r="O221" s="213" t="s">
        <v>63</v>
      </c>
      <c r="P221" s="213" t="s">
        <v>678</v>
      </c>
      <c r="R221" s="213">
        <v>222</v>
      </c>
      <c r="S221" s="477">
        <v>44236</v>
      </c>
      <c r="T221" s="213" t="s">
        <v>3229</v>
      </c>
      <c r="U221" s="474">
        <v>77900000</v>
      </c>
      <c r="V221" s="407"/>
      <c r="W221" s="363"/>
      <c r="X221" s="480">
        <v>159</v>
      </c>
      <c r="Y221" s="481">
        <v>44245</v>
      </c>
      <c r="Z221" s="481">
        <v>44245</v>
      </c>
      <c r="AA221" s="481">
        <v>44530</v>
      </c>
      <c r="AB221" s="482" t="s">
        <v>2913</v>
      </c>
      <c r="AC221" s="480">
        <v>109</v>
      </c>
      <c r="AD221" s="482">
        <v>1010171202</v>
      </c>
      <c r="AE221" s="483" t="s">
        <v>3424</v>
      </c>
      <c r="AF221" s="472">
        <v>77900000</v>
      </c>
      <c r="AG221" s="473">
        <f t="shared" si="3"/>
        <v>0</v>
      </c>
      <c r="AJ221" s="474">
        <v>2733333</v>
      </c>
      <c r="AK221" s="474">
        <v>8200000</v>
      </c>
      <c r="AL221" s="474">
        <v>8200000</v>
      </c>
      <c r="AM221" s="307">
        <v>8200000</v>
      </c>
    </row>
    <row r="222" spans="1:45" hidden="1" x14ac:dyDescent="0.25">
      <c r="A222" s="314" t="s">
        <v>2779</v>
      </c>
      <c r="B222" s="420">
        <v>42636000</v>
      </c>
      <c r="C222" s="213" t="s">
        <v>2909</v>
      </c>
      <c r="D222" s="312">
        <v>218</v>
      </c>
      <c r="E222" s="312">
        <v>20212000006833</v>
      </c>
      <c r="F222" s="477">
        <v>44236</v>
      </c>
      <c r="G222" s="312" t="s">
        <v>2903</v>
      </c>
      <c r="H222" s="213" t="s">
        <v>2904</v>
      </c>
      <c r="I222" s="213" t="s">
        <v>391</v>
      </c>
      <c r="J222" s="474">
        <v>41475000</v>
      </c>
      <c r="K222" s="211" t="s">
        <v>2974</v>
      </c>
      <c r="L222" s="213" t="s">
        <v>2975</v>
      </c>
      <c r="M222" s="213" t="s">
        <v>44</v>
      </c>
      <c r="N222" s="213" t="s">
        <v>45</v>
      </c>
      <c r="O222" s="213" t="s">
        <v>63</v>
      </c>
      <c r="P222" s="213" t="s">
        <v>678</v>
      </c>
      <c r="R222" s="213">
        <v>229</v>
      </c>
      <c r="S222" s="477">
        <v>44236</v>
      </c>
      <c r="T222" s="213" t="s">
        <v>3425</v>
      </c>
      <c r="U222" s="474">
        <f>41475000-1975000</f>
        <v>39500000</v>
      </c>
      <c r="V222" s="412">
        <v>1975000</v>
      </c>
      <c r="W222" s="398"/>
      <c r="X222" s="480">
        <v>146</v>
      </c>
      <c r="Y222" s="481">
        <v>44243</v>
      </c>
      <c r="Z222" s="481">
        <v>44243</v>
      </c>
      <c r="AA222" s="481">
        <v>44546</v>
      </c>
      <c r="AB222" s="482" t="s">
        <v>2913</v>
      </c>
      <c r="AC222" s="480">
        <v>86</v>
      </c>
      <c r="AD222" s="482">
        <v>37729745</v>
      </c>
      <c r="AE222" s="483" t="s">
        <v>3426</v>
      </c>
      <c r="AF222" s="472">
        <v>39500000</v>
      </c>
      <c r="AG222" s="473">
        <f t="shared" si="3"/>
        <v>0</v>
      </c>
      <c r="AJ222" s="474">
        <v>1580000</v>
      </c>
      <c r="AK222" s="474">
        <v>3950000</v>
      </c>
      <c r="AL222" s="474">
        <v>3950000</v>
      </c>
      <c r="AM222" s="307">
        <v>3950000</v>
      </c>
    </row>
    <row r="223" spans="1:45" hidden="1" x14ac:dyDescent="0.25">
      <c r="A223" s="475" t="s">
        <v>2366</v>
      </c>
      <c r="B223" s="476">
        <v>33000000</v>
      </c>
      <c r="C223" s="213" t="s">
        <v>2909</v>
      </c>
      <c r="D223" s="312">
        <v>219</v>
      </c>
      <c r="E223" s="312">
        <v>20215000002883</v>
      </c>
      <c r="F223" s="477">
        <v>44225</v>
      </c>
      <c r="G223" s="312" t="s">
        <v>2903</v>
      </c>
      <c r="H223" s="213" t="s">
        <v>2904</v>
      </c>
      <c r="I223" s="213" t="s">
        <v>228</v>
      </c>
      <c r="J223" s="474">
        <v>33000000</v>
      </c>
      <c r="K223" s="213" t="s">
        <v>223</v>
      </c>
      <c r="L223" s="213" t="s">
        <v>236</v>
      </c>
      <c r="M223" s="213" t="s">
        <v>44</v>
      </c>
      <c r="N223" s="213" t="s">
        <v>45</v>
      </c>
      <c r="O223" s="213" t="s">
        <v>63</v>
      </c>
      <c r="P223" s="213" t="s">
        <v>678</v>
      </c>
      <c r="R223" s="213">
        <v>129</v>
      </c>
      <c r="S223" s="477">
        <v>44225</v>
      </c>
      <c r="T223" s="213" t="s">
        <v>3427</v>
      </c>
      <c r="U223" s="474">
        <f>33000000-12100000</f>
        <v>20900000</v>
      </c>
      <c r="V223" s="443">
        <v>12100000</v>
      </c>
      <c r="W223" s="399"/>
      <c r="X223" s="309">
        <v>234</v>
      </c>
      <c r="Y223" s="481">
        <v>44260</v>
      </c>
      <c r="Z223" s="481">
        <v>44260</v>
      </c>
      <c r="AA223" s="481">
        <v>44545</v>
      </c>
      <c r="AB223" s="482" t="s">
        <v>2913</v>
      </c>
      <c r="AC223" s="212">
        <v>167</v>
      </c>
      <c r="AD223" s="482" t="s">
        <v>3428</v>
      </c>
      <c r="AE223" s="483" t="s">
        <v>3429</v>
      </c>
      <c r="AF223" s="472">
        <v>20900000</v>
      </c>
      <c r="AG223" s="473">
        <f t="shared" si="3"/>
        <v>0</v>
      </c>
      <c r="AK223" s="474">
        <v>1906667</v>
      </c>
      <c r="AL223" s="474">
        <v>2200000</v>
      </c>
      <c r="AM223" s="307">
        <v>2200000</v>
      </c>
      <c r="AQ223" s="501"/>
      <c r="AR223" s="502"/>
      <c r="AS223" s="503"/>
    </row>
    <row r="224" spans="1:45" hidden="1" x14ac:dyDescent="0.25">
      <c r="A224" s="475" t="s">
        <v>2402</v>
      </c>
      <c r="B224" s="420">
        <v>37612975</v>
      </c>
      <c r="C224" s="213" t="s">
        <v>2909</v>
      </c>
      <c r="D224" s="312">
        <v>220</v>
      </c>
      <c r="E224" s="312">
        <v>20217000005603</v>
      </c>
      <c r="F224" s="477">
        <v>44237</v>
      </c>
      <c r="G224" s="312" t="s">
        <v>2910</v>
      </c>
      <c r="H224" s="213" t="s">
        <v>2911</v>
      </c>
      <c r="I224" s="213" t="s">
        <v>164</v>
      </c>
      <c r="J224" s="474">
        <v>29981358</v>
      </c>
      <c r="K224" s="213" t="s">
        <v>138</v>
      </c>
      <c r="L224" s="213" t="s">
        <v>139</v>
      </c>
      <c r="M224" s="213" t="s">
        <v>44</v>
      </c>
      <c r="N224" s="213" t="s">
        <v>45</v>
      </c>
      <c r="O224" s="213" t="s">
        <v>142</v>
      </c>
      <c r="P224" s="213" t="s">
        <v>43</v>
      </c>
      <c r="R224" s="213">
        <v>232</v>
      </c>
      <c r="S224" s="477">
        <v>44238</v>
      </c>
      <c r="T224" s="213" t="s">
        <v>3430</v>
      </c>
      <c r="U224" s="474">
        <v>29981358</v>
      </c>
      <c r="V224" s="407"/>
      <c r="W224" s="363"/>
      <c r="X224" s="480">
        <v>180</v>
      </c>
      <c r="Y224" s="481">
        <v>44250</v>
      </c>
      <c r="Z224" s="481">
        <v>44250</v>
      </c>
      <c r="AA224" s="481">
        <v>44431</v>
      </c>
      <c r="AB224" s="482" t="s">
        <v>2913</v>
      </c>
      <c r="AC224" s="480">
        <v>124</v>
      </c>
      <c r="AD224" s="482">
        <v>1010175004</v>
      </c>
      <c r="AE224" s="483" t="s">
        <v>3431</v>
      </c>
      <c r="AF224" s="472">
        <v>29981358</v>
      </c>
      <c r="AG224" s="473">
        <f t="shared" si="3"/>
        <v>0</v>
      </c>
      <c r="AL224" s="474">
        <v>5996272</v>
      </c>
      <c r="AM224" s="213"/>
      <c r="AQ224" s="504"/>
      <c r="AR224" s="505"/>
      <c r="AS224" s="506"/>
    </row>
    <row r="225" spans="1:50" ht="15" hidden="1" customHeight="1" x14ac:dyDescent="0.25">
      <c r="B225" s="476" t="s">
        <v>2946</v>
      </c>
      <c r="C225" s="213" t="s">
        <v>2909</v>
      </c>
      <c r="D225" s="312">
        <v>221</v>
      </c>
      <c r="E225" s="312">
        <v>20211200007523</v>
      </c>
      <c r="F225" s="477">
        <v>44239</v>
      </c>
      <c r="G225" s="312" t="s">
        <v>2910</v>
      </c>
      <c r="H225" s="213" t="s">
        <v>2911</v>
      </c>
      <c r="I225" s="213" t="s">
        <v>143</v>
      </c>
      <c r="J225" s="474">
        <v>6666666</v>
      </c>
      <c r="K225" s="213" t="s">
        <v>138</v>
      </c>
      <c r="L225" s="213" t="s">
        <v>139</v>
      </c>
      <c r="M225" s="213" t="s">
        <v>44</v>
      </c>
      <c r="N225" s="213" t="s">
        <v>45</v>
      </c>
      <c r="O225" s="213" t="s">
        <v>142</v>
      </c>
      <c r="P225" s="213" t="s">
        <v>43</v>
      </c>
      <c r="R225" s="213">
        <v>233</v>
      </c>
      <c r="S225" s="477">
        <v>44239</v>
      </c>
      <c r="T225" s="213" t="s">
        <v>3432</v>
      </c>
      <c r="U225" s="474">
        <v>6666666</v>
      </c>
      <c r="V225" s="407"/>
      <c r="W225" s="363"/>
      <c r="X225" s="480">
        <v>134</v>
      </c>
      <c r="Y225" s="481">
        <v>44242</v>
      </c>
      <c r="Z225" s="481">
        <v>44243</v>
      </c>
      <c r="AA225" s="481">
        <v>44291</v>
      </c>
      <c r="AB225" s="482" t="s">
        <v>2913</v>
      </c>
      <c r="AC225" s="480">
        <v>561</v>
      </c>
      <c r="AD225" s="482">
        <v>1140414919</v>
      </c>
      <c r="AE225" s="483" t="s">
        <v>3433</v>
      </c>
      <c r="AF225" s="472">
        <v>6666666</v>
      </c>
      <c r="AG225" s="473">
        <f t="shared" si="3"/>
        <v>0</v>
      </c>
      <c r="AJ225" s="474">
        <v>4000000</v>
      </c>
      <c r="AK225" s="474">
        <v>2000000</v>
      </c>
      <c r="AL225" s="474">
        <v>666666</v>
      </c>
      <c r="AM225" s="213"/>
      <c r="AQ225" s="504"/>
      <c r="AR225" s="505"/>
      <c r="AS225" s="506"/>
    </row>
    <row r="226" spans="1:50" ht="15" hidden="1" customHeight="1" x14ac:dyDescent="0.25">
      <c r="A226" s="475" t="s">
        <v>2634</v>
      </c>
      <c r="B226" s="418">
        <v>7500000</v>
      </c>
      <c r="C226" s="213" t="s">
        <v>2909</v>
      </c>
      <c r="D226" s="312">
        <v>222</v>
      </c>
      <c r="E226" s="312">
        <v>20211200007593</v>
      </c>
      <c r="F226" s="477">
        <v>44239</v>
      </c>
      <c r="G226" s="312" t="s">
        <v>2910</v>
      </c>
      <c r="H226" s="213" t="s">
        <v>2911</v>
      </c>
      <c r="I226" s="213" t="s">
        <v>143</v>
      </c>
      <c r="J226" s="474">
        <v>7500000</v>
      </c>
      <c r="K226" s="213" t="s">
        <v>138</v>
      </c>
      <c r="L226" s="213" t="s">
        <v>139</v>
      </c>
      <c r="M226" s="213" t="s">
        <v>44</v>
      </c>
      <c r="N226" s="213" t="s">
        <v>45</v>
      </c>
      <c r="O226" s="213" t="s">
        <v>142</v>
      </c>
      <c r="P226" s="213" t="s">
        <v>43</v>
      </c>
      <c r="R226" s="213">
        <v>236</v>
      </c>
      <c r="S226" s="477">
        <v>44242</v>
      </c>
      <c r="T226" s="213" t="s">
        <v>3434</v>
      </c>
      <c r="U226" s="474">
        <v>7500000</v>
      </c>
      <c r="V226" s="407"/>
      <c r="W226" s="363"/>
      <c r="X226" s="480">
        <v>179</v>
      </c>
      <c r="Y226" s="481">
        <v>44249</v>
      </c>
      <c r="Z226" s="481">
        <v>44249</v>
      </c>
      <c r="AA226" s="481">
        <v>44338</v>
      </c>
      <c r="AB226" s="482" t="s">
        <v>2913</v>
      </c>
      <c r="AC226" s="480">
        <v>116</v>
      </c>
      <c r="AD226" s="482">
        <v>1032485670</v>
      </c>
      <c r="AE226" s="483" t="s">
        <v>3435</v>
      </c>
      <c r="AF226" s="472">
        <v>7500000</v>
      </c>
      <c r="AG226" s="473">
        <f t="shared" si="3"/>
        <v>0</v>
      </c>
      <c r="AK226" s="474">
        <f>583333+2500000</f>
        <v>3083333</v>
      </c>
      <c r="AL226" s="474">
        <v>2500000</v>
      </c>
      <c r="AM226" s="213"/>
      <c r="AQ226" s="504"/>
      <c r="AR226" s="505"/>
      <c r="AS226" s="506"/>
    </row>
    <row r="227" spans="1:50" ht="15" hidden="1" customHeight="1" x14ac:dyDescent="0.25">
      <c r="A227" s="491" t="s">
        <v>2765</v>
      </c>
      <c r="B227" s="492">
        <v>144585266</v>
      </c>
      <c r="C227" s="213" t="s">
        <v>2909</v>
      </c>
      <c r="D227" s="312">
        <v>223</v>
      </c>
      <c r="E227" s="312">
        <v>20212000006253</v>
      </c>
      <c r="F227" s="477">
        <v>44236</v>
      </c>
      <c r="G227" s="312" t="s">
        <v>2903</v>
      </c>
      <c r="H227" s="213" t="s">
        <v>2904</v>
      </c>
      <c r="I227" s="213" t="s">
        <v>391</v>
      </c>
      <c r="J227" s="474">
        <v>128656500</v>
      </c>
      <c r="K227" s="211" t="s">
        <v>2974</v>
      </c>
      <c r="L227" s="213" t="s">
        <v>2975</v>
      </c>
      <c r="M227" s="213" t="s">
        <v>44</v>
      </c>
      <c r="N227" s="213" t="s">
        <v>45</v>
      </c>
      <c r="O227" s="213" t="s">
        <v>63</v>
      </c>
      <c r="P227" s="213" t="s">
        <v>678</v>
      </c>
      <c r="R227" s="213">
        <v>221</v>
      </c>
      <c r="S227" s="477">
        <v>44236</v>
      </c>
      <c r="T227" s="213" t="s">
        <v>3436</v>
      </c>
      <c r="U227" s="474">
        <f>128656500-12253000</f>
        <v>116403500</v>
      </c>
      <c r="V227" s="412">
        <v>12253000</v>
      </c>
      <c r="W227" s="398"/>
      <c r="X227" s="309">
        <v>235</v>
      </c>
      <c r="Y227" s="481">
        <v>44260</v>
      </c>
      <c r="Z227" s="481">
        <v>44260</v>
      </c>
      <c r="AA227" s="481">
        <v>44260</v>
      </c>
      <c r="AB227" s="482" t="s">
        <v>2913</v>
      </c>
      <c r="AC227" s="212">
        <v>166</v>
      </c>
      <c r="AD227" s="482" t="s">
        <v>3437</v>
      </c>
      <c r="AE227" s="483" t="s">
        <v>3438</v>
      </c>
      <c r="AF227" s="472">
        <v>116403500</v>
      </c>
      <c r="AG227" s="473">
        <f t="shared" si="3"/>
        <v>0</v>
      </c>
      <c r="AK227" s="474">
        <v>10619267</v>
      </c>
      <c r="AL227" s="474">
        <v>12253000</v>
      </c>
      <c r="AM227" s="307">
        <v>12253000</v>
      </c>
      <c r="AQ227" s="504"/>
      <c r="AR227" s="505"/>
      <c r="AS227" s="506"/>
    </row>
    <row r="228" spans="1:50" ht="15" hidden="1" customHeight="1" x14ac:dyDescent="0.25">
      <c r="A228" s="475" t="s">
        <v>2514</v>
      </c>
      <c r="B228" s="476">
        <v>55000000</v>
      </c>
      <c r="C228" s="213" t="s">
        <v>2909</v>
      </c>
      <c r="D228" s="213">
        <v>224</v>
      </c>
      <c r="E228" s="312">
        <v>20217000002473</v>
      </c>
      <c r="F228" s="477">
        <v>44229</v>
      </c>
      <c r="G228" s="312" t="s">
        <v>2910</v>
      </c>
      <c r="H228" s="213" t="s">
        <v>2911</v>
      </c>
      <c r="I228" s="213" t="s">
        <v>164</v>
      </c>
      <c r="J228" s="474">
        <v>24530202</v>
      </c>
      <c r="K228" s="213" t="s">
        <v>138</v>
      </c>
      <c r="L228" s="213" t="s">
        <v>139</v>
      </c>
      <c r="M228" s="213" t="s">
        <v>44</v>
      </c>
      <c r="N228" s="213" t="s">
        <v>45</v>
      </c>
      <c r="O228" s="213" t="s">
        <v>142</v>
      </c>
      <c r="P228" s="213" t="s">
        <v>43</v>
      </c>
      <c r="R228" s="213">
        <v>175</v>
      </c>
      <c r="S228" s="477">
        <v>44229</v>
      </c>
      <c r="T228" s="213" t="s">
        <v>3439</v>
      </c>
      <c r="U228" s="474">
        <f>24530202</f>
        <v>24530202</v>
      </c>
      <c r="V228" s="407"/>
      <c r="W228" s="363"/>
      <c r="X228" s="309">
        <v>236</v>
      </c>
      <c r="Y228" s="481">
        <v>44260</v>
      </c>
      <c r="Z228" s="481">
        <v>44260</v>
      </c>
      <c r="AA228" s="481">
        <v>44382</v>
      </c>
      <c r="AB228" s="482" t="s">
        <v>2913</v>
      </c>
      <c r="AC228" s="212">
        <v>173</v>
      </c>
      <c r="AD228" s="482" t="s">
        <v>3440</v>
      </c>
      <c r="AE228" s="483" t="s">
        <v>3441</v>
      </c>
      <c r="AF228" s="472">
        <v>16353468</v>
      </c>
      <c r="AG228" s="473">
        <f t="shared" si="3"/>
        <v>8176734</v>
      </c>
      <c r="AK228" s="474">
        <v>3543251</v>
      </c>
      <c r="AL228" s="474">
        <v>4088367</v>
      </c>
      <c r="AM228" s="307">
        <v>4088367</v>
      </c>
      <c r="AQ228" s="504"/>
      <c r="AR228" s="505"/>
      <c r="AS228" s="506"/>
    </row>
    <row r="229" spans="1:50" s="313" customFormat="1" ht="15.75" hidden="1" customHeight="1" x14ac:dyDescent="0.25">
      <c r="A229" s="362"/>
      <c r="B229" s="421" t="s">
        <v>2946</v>
      </c>
      <c r="C229" s="313" t="s">
        <v>3442</v>
      </c>
      <c r="D229" s="326">
        <v>225</v>
      </c>
      <c r="E229" s="326">
        <v>20214000007813</v>
      </c>
      <c r="F229" s="316">
        <v>44239</v>
      </c>
      <c r="G229" s="326" t="s">
        <v>2943</v>
      </c>
      <c r="H229" s="313" t="s">
        <v>2944</v>
      </c>
      <c r="I229" s="313" t="s">
        <v>47</v>
      </c>
      <c r="J229" s="407">
        <v>10749742</v>
      </c>
      <c r="K229" s="313" t="s">
        <v>37</v>
      </c>
      <c r="L229" s="507" t="s">
        <v>3443</v>
      </c>
      <c r="M229" s="313" t="s">
        <v>44</v>
      </c>
      <c r="N229" s="313" t="s">
        <v>45</v>
      </c>
      <c r="O229" s="213" t="s">
        <v>310</v>
      </c>
      <c r="P229" s="313" t="s">
        <v>43</v>
      </c>
      <c r="R229" s="313">
        <v>238</v>
      </c>
      <c r="S229" s="316">
        <v>44242</v>
      </c>
      <c r="T229" s="313" t="s">
        <v>3444</v>
      </c>
      <c r="U229" s="407">
        <f>10749742-10749742</f>
        <v>0</v>
      </c>
      <c r="V229" s="407">
        <v>10749742</v>
      </c>
      <c r="W229" s="400"/>
      <c r="X229" s="315"/>
      <c r="Y229" s="359"/>
      <c r="Z229" s="359"/>
      <c r="AA229" s="359"/>
      <c r="AB229" s="318"/>
      <c r="AC229" s="317"/>
      <c r="AD229" s="318"/>
      <c r="AF229" s="411"/>
      <c r="AG229" s="319">
        <f t="shared" si="3"/>
        <v>0</v>
      </c>
      <c r="AH229" s="407"/>
      <c r="AI229" s="406"/>
      <c r="AJ229" s="406"/>
      <c r="AK229" s="406"/>
      <c r="AL229" s="406"/>
      <c r="AM229" s="213"/>
      <c r="AQ229" s="395"/>
      <c r="AR229" s="396"/>
      <c r="AS229" s="397"/>
    </row>
    <row r="230" spans="1:50" ht="13.5" hidden="1" customHeight="1" x14ac:dyDescent="0.25">
      <c r="A230" s="475" t="s">
        <v>2405</v>
      </c>
      <c r="B230" s="476">
        <v>36000000</v>
      </c>
      <c r="C230" s="213" t="s">
        <v>3025</v>
      </c>
      <c r="D230" s="312">
        <v>226</v>
      </c>
      <c r="E230" s="312">
        <v>20213000007853</v>
      </c>
      <c r="F230" s="477">
        <v>44243</v>
      </c>
      <c r="G230" s="312" t="s">
        <v>2903</v>
      </c>
      <c r="H230" s="213" t="s">
        <v>2904</v>
      </c>
      <c r="I230" s="213" t="s">
        <v>432</v>
      </c>
      <c r="J230" s="474">
        <v>16353468</v>
      </c>
      <c r="K230" s="213" t="s">
        <v>358</v>
      </c>
      <c r="L230" s="213" t="s">
        <v>3054</v>
      </c>
      <c r="M230" s="213" t="s">
        <v>44</v>
      </c>
      <c r="N230" s="213" t="s">
        <v>45</v>
      </c>
      <c r="O230" s="213" t="s">
        <v>63</v>
      </c>
      <c r="P230" s="213" t="s">
        <v>678</v>
      </c>
      <c r="R230" s="213">
        <v>240</v>
      </c>
      <c r="S230" s="477">
        <v>44243</v>
      </c>
      <c r="T230" s="213" t="s">
        <v>3445</v>
      </c>
      <c r="U230" s="474">
        <v>16353468</v>
      </c>
      <c r="V230" s="407"/>
      <c r="W230" s="363"/>
      <c r="X230" s="480">
        <v>201</v>
      </c>
      <c r="Y230" s="481">
        <v>44253</v>
      </c>
      <c r="Z230" s="481">
        <v>44253</v>
      </c>
      <c r="AA230" s="481">
        <v>44373</v>
      </c>
      <c r="AB230" s="482" t="s">
        <v>2913</v>
      </c>
      <c r="AC230" s="480">
        <v>139</v>
      </c>
      <c r="AD230" s="482">
        <v>1014246288</v>
      </c>
      <c r="AE230" s="483" t="s">
        <v>3446</v>
      </c>
      <c r="AF230" s="472">
        <v>16353468</v>
      </c>
      <c r="AG230" s="473">
        <f t="shared" si="3"/>
        <v>0</v>
      </c>
      <c r="AK230" s="474">
        <v>4088367</v>
      </c>
      <c r="AL230" s="474">
        <v>4088367</v>
      </c>
      <c r="AM230" s="307">
        <v>4088367</v>
      </c>
      <c r="AQ230" s="504"/>
      <c r="AR230" s="505"/>
      <c r="AS230" s="506"/>
    </row>
    <row r="231" spans="1:50" ht="13.5" hidden="1" customHeight="1" x14ac:dyDescent="0.25">
      <c r="A231" s="475" t="s">
        <v>2398</v>
      </c>
      <c r="B231" s="476">
        <v>39500000</v>
      </c>
      <c r="C231" s="213" t="s">
        <v>2909</v>
      </c>
      <c r="D231" s="312">
        <v>227</v>
      </c>
      <c r="E231" s="312">
        <v>20214000004803</v>
      </c>
      <c r="F231" s="477">
        <v>44229</v>
      </c>
      <c r="G231" s="312" t="s">
        <v>2936</v>
      </c>
      <c r="H231" s="213" t="s">
        <v>2937</v>
      </c>
      <c r="I231" s="213" t="s">
        <v>117</v>
      </c>
      <c r="J231" s="474">
        <v>31600000</v>
      </c>
      <c r="K231" s="213" t="s">
        <v>112</v>
      </c>
      <c r="L231" s="213" t="s">
        <v>2938</v>
      </c>
      <c r="M231" s="213" t="s">
        <v>44</v>
      </c>
      <c r="N231" s="213" t="s">
        <v>45</v>
      </c>
      <c r="O231" s="213" t="s">
        <v>63</v>
      </c>
      <c r="P231" s="213" t="s">
        <v>43</v>
      </c>
      <c r="R231" s="213">
        <v>173</v>
      </c>
      <c r="S231" s="477">
        <v>44229</v>
      </c>
      <c r="T231" s="213" t="s">
        <v>3447</v>
      </c>
      <c r="U231" s="474">
        <v>31600000</v>
      </c>
      <c r="V231" s="407"/>
      <c r="W231" s="363"/>
      <c r="X231" s="309">
        <v>237</v>
      </c>
      <c r="Y231" s="481">
        <v>44260</v>
      </c>
      <c r="Z231" s="481">
        <v>44260</v>
      </c>
      <c r="AA231" s="481">
        <v>44505</v>
      </c>
      <c r="AB231" s="482" t="s">
        <v>2913</v>
      </c>
      <c r="AC231" s="212">
        <v>171</v>
      </c>
      <c r="AD231" s="482" t="s">
        <v>3448</v>
      </c>
      <c r="AE231" s="483" t="s">
        <v>3449</v>
      </c>
      <c r="AF231" s="472">
        <v>31600000</v>
      </c>
      <c r="AG231" s="473">
        <f t="shared" si="3"/>
        <v>0</v>
      </c>
      <c r="AK231" s="474">
        <v>3423333</v>
      </c>
      <c r="AL231" s="474">
        <v>3950000</v>
      </c>
      <c r="AM231" s="307">
        <v>3950000</v>
      </c>
      <c r="AQ231" s="504"/>
      <c r="AR231" s="505"/>
      <c r="AS231" s="506"/>
    </row>
    <row r="232" spans="1:50" ht="13.5" hidden="1" customHeight="1" x14ac:dyDescent="0.25">
      <c r="A232" s="475" t="s">
        <v>2403</v>
      </c>
      <c r="B232" s="476">
        <v>18568000</v>
      </c>
      <c r="C232" s="213" t="s">
        <v>3450</v>
      </c>
      <c r="D232" s="312">
        <v>228</v>
      </c>
      <c r="E232" s="310">
        <v>20213000009223</v>
      </c>
      <c r="F232" s="477">
        <v>44252</v>
      </c>
      <c r="G232" s="312" t="s">
        <v>2903</v>
      </c>
      <c r="H232" s="213" t="s">
        <v>2904</v>
      </c>
      <c r="I232" s="213" t="s">
        <v>432</v>
      </c>
      <c r="J232" s="474">
        <v>18160000</v>
      </c>
      <c r="K232" s="213" t="s">
        <v>342</v>
      </c>
      <c r="L232" s="213" t="s">
        <v>351</v>
      </c>
      <c r="M232" s="213" t="s">
        <v>44</v>
      </c>
      <c r="N232" s="213" t="s">
        <v>45</v>
      </c>
      <c r="O232" s="213" t="s">
        <v>63</v>
      </c>
      <c r="P232" s="213" t="s">
        <v>678</v>
      </c>
      <c r="R232" s="483">
        <v>301</v>
      </c>
      <c r="S232" s="487">
        <v>44252</v>
      </c>
      <c r="T232" s="483" t="s">
        <v>3451</v>
      </c>
      <c r="U232" s="474">
        <v>18160000</v>
      </c>
      <c r="V232" s="407"/>
      <c r="W232" s="363"/>
      <c r="X232" s="309">
        <v>238</v>
      </c>
      <c r="Y232" s="481">
        <v>44260</v>
      </c>
      <c r="Z232" s="481">
        <v>44260</v>
      </c>
      <c r="AA232" s="481">
        <v>44505</v>
      </c>
      <c r="AB232" s="482" t="s">
        <v>2913</v>
      </c>
      <c r="AC232" s="212">
        <v>169</v>
      </c>
      <c r="AD232" s="482" t="s">
        <v>3452</v>
      </c>
      <c r="AE232" s="483" t="s">
        <v>3453</v>
      </c>
      <c r="AF232" s="472">
        <v>18160000</v>
      </c>
      <c r="AG232" s="473">
        <f t="shared" si="3"/>
        <v>0</v>
      </c>
      <c r="AK232" s="474">
        <v>1967333</v>
      </c>
      <c r="AL232" s="474">
        <v>2270000</v>
      </c>
      <c r="AM232" s="307">
        <v>2270000</v>
      </c>
      <c r="AQ232" s="504"/>
      <c r="AR232" s="505"/>
      <c r="AS232" s="506"/>
    </row>
    <row r="233" spans="1:50" ht="13.5" hidden="1" customHeight="1" x14ac:dyDescent="0.25">
      <c r="B233" s="498" t="s">
        <v>3279</v>
      </c>
      <c r="C233" s="213" t="s">
        <v>3025</v>
      </c>
      <c r="D233" s="312">
        <v>229</v>
      </c>
      <c r="E233" s="312">
        <v>20217000008063</v>
      </c>
      <c r="F233" s="477">
        <v>44243</v>
      </c>
      <c r="G233" s="312" t="s">
        <v>2910</v>
      </c>
      <c r="H233" s="213" t="s">
        <v>2911</v>
      </c>
      <c r="I233" s="213" t="s">
        <v>164</v>
      </c>
      <c r="J233" s="474">
        <v>6144620</v>
      </c>
      <c r="K233" s="213" t="s">
        <v>138</v>
      </c>
      <c r="L233" s="213" t="s">
        <v>139</v>
      </c>
      <c r="M233" s="213" t="s">
        <v>44</v>
      </c>
      <c r="N233" s="213" t="s">
        <v>45</v>
      </c>
      <c r="O233" s="213" t="s">
        <v>142</v>
      </c>
      <c r="P233" s="213" t="s">
        <v>43</v>
      </c>
      <c r="R233" s="213">
        <v>245</v>
      </c>
      <c r="S233" s="477">
        <v>44243</v>
      </c>
      <c r="T233" s="213" t="s">
        <v>3454</v>
      </c>
      <c r="U233" s="474">
        <v>6144620</v>
      </c>
      <c r="V233" s="407"/>
      <c r="W233" s="363"/>
      <c r="X233" s="480">
        <v>203</v>
      </c>
      <c r="Y233" s="481">
        <v>44253</v>
      </c>
      <c r="Z233" s="481">
        <v>44254</v>
      </c>
      <c r="AA233" s="481">
        <v>44312</v>
      </c>
      <c r="AB233" s="482" t="s">
        <v>2913</v>
      </c>
      <c r="AC233" s="480">
        <v>524</v>
      </c>
      <c r="AD233" s="482">
        <v>1030662898</v>
      </c>
      <c r="AE233" s="483" t="s">
        <v>3455</v>
      </c>
      <c r="AF233" s="472">
        <v>6144620</v>
      </c>
      <c r="AG233" s="473">
        <f t="shared" si="3"/>
        <v>0</v>
      </c>
      <c r="AJ233" s="474">
        <v>3072310</v>
      </c>
      <c r="AK233" s="474">
        <v>3072310</v>
      </c>
      <c r="AM233" s="213"/>
      <c r="AQ233" s="504"/>
      <c r="AR233" s="505"/>
      <c r="AS233" s="506"/>
    </row>
    <row r="234" spans="1:50" ht="13.5" hidden="1" customHeight="1" x14ac:dyDescent="0.25">
      <c r="B234" s="498" t="s">
        <v>2946</v>
      </c>
      <c r="C234" s="213" t="s">
        <v>2909</v>
      </c>
      <c r="D234" s="312">
        <v>230</v>
      </c>
      <c r="E234" s="312">
        <v>20217000008093</v>
      </c>
      <c r="F234" s="477">
        <v>44243</v>
      </c>
      <c r="G234" s="312" t="s">
        <v>2910</v>
      </c>
      <c r="H234" s="213" t="s">
        <v>2911</v>
      </c>
      <c r="I234" s="213" t="s">
        <v>164</v>
      </c>
      <c r="J234" s="474">
        <v>16000000</v>
      </c>
      <c r="K234" s="213" t="s">
        <v>138</v>
      </c>
      <c r="L234" s="213" t="s">
        <v>139</v>
      </c>
      <c r="M234" s="213" t="s">
        <v>44</v>
      </c>
      <c r="N234" s="213" t="s">
        <v>45</v>
      </c>
      <c r="O234" s="213" t="s">
        <v>142</v>
      </c>
      <c r="P234" s="213" t="s">
        <v>43</v>
      </c>
      <c r="R234" s="213">
        <v>246</v>
      </c>
      <c r="S234" s="477">
        <v>44243</v>
      </c>
      <c r="T234" s="213" t="s">
        <v>3456</v>
      </c>
      <c r="U234" s="474">
        <v>16000000</v>
      </c>
      <c r="V234" s="407"/>
      <c r="W234" s="363"/>
      <c r="X234" s="480">
        <v>168</v>
      </c>
      <c r="Y234" s="481">
        <v>44246</v>
      </c>
      <c r="Z234" s="481">
        <v>44248</v>
      </c>
      <c r="AA234" s="481">
        <v>44306</v>
      </c>
      <c r="AB234" s="482" t="s">
        <v>2913</v>
      </c>
      <c r="AC234" s="480">
        <v>510</v>
      </c>
      <c r="AD234" s="482">
        <v>53011075</v>
      </c>
      <c r="AE234" s="483" t="s">
        <v>3457</v>
      </c>
      <c r="AF234" s="472">
        <v>16000000</v>
      </c>
      <c r="AG234" s="473">
        <f t="shared" si="3"/>
        <v>0</v>
      </c>
      <c r="AL234" s="474">
        <v>10666667</v>
      </c>
      <c r="AM234" s="213"/>
      <c r="AQ234" s="504"/>
      <c r="AR234" s="505"/>
      <c r="AS234" s="506"/>
    </row>
    <row r="235" spans="1:50" ht="15" hidden="1" customHeight="1" x14ac:dyDescent="0.25">
      <c r="A235" s="475" t="s">
        <v>2520</v>
      </c>
      <c r="B235" s="476">
        <v>60000000</v>
      </c>
      <c r="C235" s="213" t="s">
        <v>3025</v>
      </c>
      <c r="D235" s="312">
        <v>231</v>
      </c>
      <c r="E235" s="310">
        <v>20217000010173</v>
      </c>
      <c r="F235" s="311">
        <v>44251</v>
      </c>
      <c r="G235" s="312" t="s">
        <v>2910</v>
      </c>
      <c r="H235" s="213" t="s">
        <v>2911</v>
      </c>
      <c r="I235" s="213" t="s">
        <v>164</v>
      </c>
      <c r="J235" s="474">
        <v>57237138</v>
      </c>
      <c r="K235" s="213" t="s">
        <v>138</v>
      </c>
      <c r="L235" s="213" t="s">
        <v>139</v>
      </c>
      <c r="M235" s="213" t="s">
        <v>44</v>
      </c>
      <c r="N235" s="213" t="s">
        <v>45</v>
      </c>
      <c r="O235" s="213" t="s">
        <v>142</v>
      </c>
      <c r="P235" s="213" t="s">
        <v>43</v>
      </c>
      <c r="R235" s="483">
        <v>293</v>
      </c>
      <c r="S235" s="487">
        <v>44251</v>
      </c>
      <c r="T235" s="483" t="s">
        <v>3458</v>
      </c>
      <c r="U235" s="474">
        <v>57237138</v>
      </c>
      <c r="V235" s="407"/>
      <c r="W235" s="363"/>
      <c r="X235" s="309">
        <v>239</v>
      </c>
      <c r="Y235" s="481">
        <v>44260</v>
      </c>
      <c r="Z235" s="481">
        <v>44260</v>
      </c>
      <c r="AA235" s="481">
        <v>44474</v>
      </c>
      <c r="AB235" s="482" t="s">
        <v>2913</v>
      </c>
      <c r="AC235" s="212">
        <v>170</v>
      </c>
      <c r="AD235" s="482" t="s">
        <v>3459</v>
      </c>
      <c r="AE235" s="483" t="s">
        <v>3460</v>
      </c>
      <c r="AF235" s="472">
        <v>57237138</v>
      </c>
      <c r="AG235" s="473">
        <f t="shared" si="3"/>
        <v>0</v>
      </c>
      <c r="AK235" s="474">
        <v>7359060</v>
      </c>
      <c r="AL235" s="474">
        <v>8176734</v>
      </c>
      <c r="AM235" s="307">
        <v>8176734</v>
      </c>
      <c r="AQ235" s="504"/>
      <c r="AR235" s="505"/>
      <c r="AS235" s="506"/>
    </row>
    <row r="236" spans="1:50" ht="15" hidden="1" customHeight="1" x14ac:dyDescent="0.25">
      <c r="A236" s="475" t="s">
        <v>2740</v>
      </c>
      <c r="B236" s="476">
        <v>21804624</v>
      </c>
      <c r="C236" s="213" t="s">
        <v>2909</v>
      </c>
      <c r="D236" s="312">
        <v>232</v>
      </c>
      <c r="E236" s="312">
        <v>20211300005553</v>
      </c>
      <c r="F236" s="477">
        <v>44230</v>
      </c>
      <c r="G236" s="312" t="s">
        <v>2910</v>
      </c>
      <c r="H236" s="213" t="s">
        <v>2911</v>
      </c>
      <c r="I236" s="213" t="s">
        <v>210</v>
      </c>
      <c r="J236" s="474">
        <v>21804624</v>
      </c>
      <c r="K236" s="213" t="s">
        <v>138</v>
      </c>
      <c r="L236" s="213" t="s">
        <v>139</v>
      </c>
      <c r="M236" s="213" t="s">
        <v>44</v>
      </c>
      <c r="N236" s="213" t="s">
        <v>45</v>
      </c>
      <c r="O236" s="213" t="s">
        <v>142</v>
      </c>
      <c r="P236" s="213" t="s">
        <v>43</v>
      </c>
      <c r="R236" s="213">
        <v>194</v>
      </c>
      <c r="S236" s="477">
        <v>44230</v>
      </c>
      <c r="T236" s="213" t="s">
        <v>3461</v>
      </c>
      <c r="U236" s="474">
        <v>21804624</v>
      </c>
      <c r="V236" s="407"/>
      <c r="W236" s="363"/>
      <c r="X236" s="309">
        <v>240</v>
      </c>
      <c r="Y236" s="481">
        <v>44260</v>
      </c>
      <c r="Z236" s="481">
        <v>44260</v>
      </c>
      <c r="AA236" s="481">
        <v>44382</v>
      </c>
      <c r="AB236" s="482" t="s">
        <v>2913</v>
      </c>
      <c r="AC236" s="212">
        <v>172</v>
      </c>
      <c r="AD236" s="482" t="s">
        <v>3462</v>
      </c>
      <c r="AE236" s="483" t="s">
        <v>3463</v>
      </c>
      <c r="AF236" s="472">
        <v>21804624</v>
      </c>
      <c r="AG236" s="473">
        <f t="shared" si="3"/>
        <v>0</v>
      </c>
      <c r="AK236" s="474">
        <v>4724335</v>
      </c>
      <c r="AL236" s="474">
        <v>5451156</v>
      </c>
      <c r="AM236" s="307">
        <v>5451156</v>
      </c>
      <c r="AQ236" s="504"/>
      <c r="AR236" s="505"/>
      <c r="AS236" s="506"/>
    </row>
    <row r="237" spans="1:50" ht="15" hidden="1" customHeight="1" x14ac:dyDescent="0.25">
      <c r="A237" s="475" t="s">
        <v>2200</v>
      </c>
      <c r="B237" s="476">
        <v>78234000</v>
      </c>
      <c r="C237" s="213" t="s">
        <v>2909</v>
      </c>
      <c r="D237" s="312">
        <v>233</v>
      </c>
      <c r="E237" s="312">
        <v>20212000007973</v>
      </c>
      <c r="F237" s="477">
        <v>44243</v>
      </c>
      <c r="G237" s="312" t="s">
        <v>2903</v>
      </c>
      <c r="H237" s="213" t="s">
        <v>2904</v>
      </c>
      <c r="I237" s="213" t="s">
        <v>391</v>
      </c>
      <c r="J237" s="474">
        <v>66300000</v>
      </c>
      <c r="K237" s="211" t="s">
        <v>2974</v>
      </c>
      <c r="L237" s="213" t="s">
        <v>2975</v>
      </c>
      <c r="M237" s="213" t="s">
        <v>44</v>
      </c>
      <c r="N237" s="213" t="s">
        <v>45</v>
      </c>
      <c r="O237" s="213" t="s">
        <v>63</v>
      </c>
      <c r="P237" s="213" t="s">
        <v>678</v>
      </c>
      <c r="R237" s="213">
        <v>244</v>
      </c>
      <c r="S237" s="477">
        <v>44243</v>
      </c>
      <c r="T237" s="213" t="s">
        <v>3464</v>
      </c>
      <c r="U237" s="474">
        <v>66300000</v>
      </c>
      <c r="V237" s="407"/>
      <c r="W237" s="363"/>
      <c r="X237" s="480">
        <v>202</v>
      </c>
      <c r="Y237" s="481">
        <v>44253</v>
      </c>
      <c r="Z237" s="481">
        <v>44253</v>
      </c>
      <c r="AA237" s="481">
        <v>44556</v>
      </c>
      <c r="AB237" s="482" t="s">
        <v>2913</v>
      </c>
      <c r="AC237" s="480">
        <v>141</v>
      </c>
      <c r="AD237" s="482">
        <v>1012359881</v>
      </c>
      <c r="AE237" s="483" t="s">
        <v>3465</v>
      </c>
      <c r="AF237" s="472">
        <v>66300000</v>
      </c>
      <c r="AG237" s="473">
        <f t="shared" si="3"/>
        <v>0</v>
      </c>
      <c r="AK237" s="474">
        <v>6630000</v>
      </c>
      <c r="AL237" s="474">
        <v>6630000</v>
      </c>
      <c r="AM237" s="307">
        <v>6630000</v>
      </c>
      <c r="AQ237" s="504"/>
      <c r="AR237" s="505"/>
      <c r="AS237" s="506"/>
    </row>
    <row r="238" spans="1:50" ht="15" hidden="1" customHeight="1" x14ac:dyDescent="0.25">
      <c r="B238" s="498"/>
      <c r="C238" s="213" t="s">
        <v>3466</v>
      </c>
      <c r="D238" s="310">
        <v>234</v>
      </c>
      <c r="E238" s="310">
        <v>20215000008993</v>
      </c>
      <c r="F238" s="477">
        <v>44245</v>
      </c>
      <c r="G238" s="312" t="s">
        <v>2903</v>
      </c>
      <c r="H238" s="213" t="s">
        <v>2904</v>
      </c>
      <c r="I238" s="213" t="s">
        <v>228</v>
      </c>
      <c r="J238" s="474">
        <v>9500000</v>
      </c>
      <c r="K238" s="213" t="s">
        <v>223</v>
      </c>
      <c r="L238" s="213" t="s">
        <v>257</v>
      </c>
      <c r="M238" s="213" t="s">
        <v>44</v>
      </c>
      <c r="N238" s="213" t="s">
        <v>45</v>
      </c>
      <c r="O238" s="213" t="s">
        <v>46</v>
      </c>
      <c r="P238" s="213" t="s">
        <v>678</v>
      </c>
      <c r="R238" s="483">
        <v>274</v>
      </c>
      <c r="S238" s="487">
        <v>44246</v>
      </c>
      <c r="T238" s="483" t="s">
        <v>3467</v>
      </c>
      <c r="U238" s="427">
        <f>9500000-500000</f>
        <v>9000000</v>
      </c>
      <c r="V238" s="412">
        <v>500000</v>
      </c>
      <c r="W238" s="399"/>
      <c r="X238" s="309">
        <v>241</v>
      </c>
      <c r="Y238" s="481">
        <v>44260</v>
      </c>
      <c r="Z238" s="481">
        <v>44260</v>
      </c>
      <c r="AA238" s="481">
        <v>44286</v>
      </c>
      <c r="AB238" s="482" t="s">
        <v>3369</v>
      </c>
      <c r="AC238" s="212">
        <v>108</v>
      </c>
      <c r="AD238" s="482" t="s">
        <v>3468</v>
      </c>
      <c r="AE238" s="483" t="s">
        <v>3469</v>
      </c>
      <c r="AF238" s="472">
        <v>9000000</v>
      </c>
      <c r="AG238" s="473">
        <f t="shared" si="3"/>
        <v>0</v>
      </c>
      <c r="AJ238" s="474">
        <v>8374800</v>
      </c>
      <c r="AM238" s="213"/>
      <c r="AQ238" s="504"/>
      <c r="AR238" s="505"/>
      <c r="AS238" s="506"/>
    </row>
    <row r="239" spans="1:50" ht="15" hidden="1" customHeight="1" x14ac:dyDescent="0.25">
      <c r="A239" s="475" t="s">
        <v>2361</v>
      </c>
      <c r="B239" s="476">
        <v>64900000</v>
      </c>
      <c r="C239" s="213" t="s">
        <v>2909</v>
      </c>
      <c r="D239" s="310">
        <v>235</v>
      </c>
      <c r="E239" s="312">
        <v>20215000000873</v>
      </c>
      <c r="F239" s="477">
        <v>44211</v>
      </c>
      <c r="G239" s="312" t="s">
        <v>2903</v>
      </c>
      <c r="H239" s="213" t="s">
        <v>2904</v>
      </c>
      <c r="I239" s="213" t="s">
        <v>228</v>
      </c>
      <c r="J239" s="474">
        <v>64900000</v>
      </c>
      <c r="K239" s="213" t="s">
        <v>223</v>
      </c>
      <c r="L239" s="213" t="s">
        <v>233</v>
      </c>
      <c r="M239" s="213" t="s">
        <v>44</v>
      </c>
      <c r="N239" s="213" t="s">
        <v>45</v>
      </c>
      <c r="O239" s="213" t="s">
        <v>63</v>
      </c>
      <c r="P239" s="213" t="s">
        <v>678</v>
      </c>
      <c r="R239" s="213">
        <v>34</v>
      </c>
      <c r="S239" s="477">
        <v>44211</v>
      </c>
      <c r="T239" s="213" t="s">
        <v>2983</v>
      </c>
      <c r="U239" s="474">
        <f>64900000-8850000</f>
        <v>56050000</v>
      </c>
      <c r="V239" s="412">
        <v>8850000</v>
      </c>
      <c r="W239" s="398"/>
      <c r="X239" s="309">
        <v>242</v>
      </c>
      <c r="Y239" s="481">
        <v>44260</v>
      </c>
      <c r="Z239" s="481">
        <v>44260</v>
      </c>
      <c r="AA239" s="481">
        <v>44545</v>
      </c>
      <c r="AB239" s="482" t="s">
        <v>2913</v>
      </c>
      <c r="AC239" s="212">
        <v>161</v>
      </c>
      <c r="AD239" s="482" t="s">
        <v>3470</v>
      </c>
      <c r="AE239" s="483" t="s">
        <v>3471</v>
      </c>
      <c r="AF239" s="472">
        <v>56050000</v>
      </c>
      <c r="AG239" s="473">
        <f t="shared" si="3"/>
        <v>0</v>
      </c>
      <c r="AK239" s="474">
        <v>5113333</v>
      </c>
      <c r="AL239" s="474">
        <v>5900000</v>
      </c>
      <c r="AM239" s="307">
        <v>5900000</v>
      </c>
      <c r="AQ239" s="504"/>
      <c r="AR239" s="505"/>
      <c r="AS239" s="506"/>
    </row>
    <row r="240" spans="1:50" ht="15.75" hidden="1" customHeight="1" x14ac:dyDescent="0.25">
      <c r="A240" s="475" t="s">
        <v>3472</v>
      </c>
      <c r="B240" s="476">
        <v>27255780</v>
      </c>
      <c r="C240" s="508" t="s">
        <v>2909</v>
      </c>
      <c r="D240" s="310">
        <v>236</v>
      </c>
      <c r="E240" s="310">
        <v>20217000009293</v>
      </c>
      <c r="F240" s="311">
        <v>44249</v>
      </c>
      <c r="G240" s="310" t="s">
        <v>2910</v>
      </c>
      <c r="H240" s="211" t="s">
        <v>2911</v>
      </c>
      <c r="I240" s="211" t="s">
        <v>164</v>
      </c>
      <c r="J240" s="408">
        <v>16353468</v>
      </c>
      <c r="K240" s="211" t="s">
        <v>3473</v>
      </c>
      <c r="L240" s="211" t="s">
        <v>139</v>
      </c>
      <c r="M240" s="211" t="s">
        <v>44</v>
      </c>
      <c r="N240" s="211" t="s">
        <v>45</v>
      </c>
      <c r="O240" s="213" t="s">
        <v>142</v>
      </c>
      <c r="P240" s="211" t="s">
        <v>43</v>
      </c>
      <c r="Q240" s="211"/>
      <c r="R240" s="483">
        <v>280</v>
      </c>
      <c r="S240" s="487">
        <v>44249</v>
      </c>
      <c r="T240" s="483" t="s">
        <v>3474</v>
      </c>
      <c r="U240" s="474">
        <v>16353468</v>
      </c>
      <c r="V240" s="407"/>
      <c r="W240" s="363"/>
      <c r="X240" s="320">
        <v>244</v>
      </c>
      <c r="Y240" s="481">
        <v>44260</v>
      </c>
      <c r="Z240" s="481">
        <v>44260</v>
      </c>
      <c r="AA240" s="481">
        <v>44444</v>
      </c>
      <c r="AB240" s="482" t="s">
        <v>2913</v>
      </c>
      <c r="AC240" s="323">
        <v>175</v>
      </c>
      <c r="AD240" s="482" t="s">
        <v>3475</v>
      </c>
      <c r="AE240" s="483" t="s">
        <v>3476</v>
      </c>
      <c r="AF240" s="472">
        <v>16353468</v>
      </c>
      <c r="AG240" s="473">
        <f t="shared" si="3"/>
        <v>0</v>
      </c>
      <c r="AH240" s="408"/>
      <c r="AI240" s="408"/>
      <c r="AK240" s="474">
        <v>2089610</v>
      </c>
      <c r="AL240" s="474">
        <v>2725578</v>
      </c>
      <c r="AM240" s="307">
        <v>2725578</v>
      </c>
      <c r="AN240" s="211"/>
      <c r="AO240" s="211"/>
      <c r="AP240" s="211"/>
      <c r="AQ240" s="509"/>
      <c r="AR240" s="510"/>
      <c r="AS240" s="511"/>
      <c r="AT240" s="211"/>
      <c r="AU240" s="211"/>
      <c r="AV240" s="211"/>
      <c r="AW240" s="211"/>
      <c r="AX240" s="211"/>
    </row>
    <row r="241" spans="1:45" hidden="1" x14ac:dyDescent="0.25">
      <c r="A241" s="475" t="s">
        <v>2429</v>
      </c>
      <c r="B241" s="476">
        <v>64900000</v>
      </c>
      <c r="C241" s="213" t="s">
        <v>3025</v>
      </c>
      <c r="D241" s="310">
        <v>237</v>
      </c>
      <c r="E241" s="310">
        <v>20215000007213</v>
      </c>
      <c r="F241" s="477">
        <v>44243</v>
      </c>
      <c r="G241" s="310" t="s">
        <v>2903</v>
      </c>
      <c r="H241" s="211" t="s">
        <v>2904</v>
      </c>
      <c r="I241" s="211" t="s">
        <v>228</v>
      </c>
      <c r="J241" s="408">
        <v>64900000</v>
      </c>
      <c r="K241" s="213" t="s">
        <v>288</v>
      </c>
      <c r="L241" s="213" t="s">
        <v>2999</v>
      </c>
      <c r="M241" s="213" t="s">
        <v>44</v>
      </c>
      <c r="N241" s="213" t="s">
        <v>45</v>
      </c>
      <c r="O241" s="213" t="s">
        <v>63</v>
      </c>
      <c r="P241" s="213" t="s">
        <v>678</v>
      </c>
      <c r="R241" s="213">
        <v>250</v>
      </c>
      <c r="S241" s="477">
        <v>44243</v>
      </c>
      <c r="T241" s="213" t="s">
        <v>3477</v>
      </c>
      <c r="U241" s="474">
        <f>64900000-11800000</f>
        <v>53100000</v>
      </c>
      <c r="V241" s="407">
        <v>11800000</v>
      </c>
      <c r="W241" s="363"/>
      <c r="X241" s="480" t="s">
        <v>3478</v>
      </c>
      <c r="Y241" s="481">
        <v>44286</v>
      </c>
      <c r="Z241" s="481">
        <v>44286</v>
      </c>
      <c r="AA241" s="481">
        <v>44561</v>
      </c>
      <c r="AB241" s="482" t="s">
        <v>2913</v>
      </c>
      <c r="AC241" s="480" t="s">
        <v>3479</v>
      </c>
      <c r="AD241" s="482" t="s">
        <v>3480</v>
      </c>
      <c r="AE241" s="483" t="s">
        <v>3481</v>
      </c>
      <c r="AF241" s="472">
        <v>53100000</v>
      </c>
      <c r="AG241" s="473">
        <f t="shared" si="3"/>
        <v>0</v>
      </c>
      <c r="AL241" s="474">
        <v>5900000</v>
      </c>
      <c r="AM241" s="307">
        <v>5900000</v>
      </c>
    </row>
    <row r="242" spans="1:45" hidden="1" x14ac:dyDescent="0.25">
      <c r="A242" s="475" t="s">
        <v>2455</v>
      </c>
      <c r="B242" s="476">
        <v>54162000</v>
      </c>
      <c r="C242" s="213" t="s">
        <v>2909</v>
      </c>
      <c r="D242" s="310">
        <v>238</v>
      </c>
      <c r="E242" s="310">
        <v>20212000008523</v>
      </c>
      <c r="F242" s="477">
        <v>44244</v>
      </c>
      <c r="G242" s="312" t="s">
        <v>2903</v>
      </c>
      <c r="H242" s="213" t="s">
        <v>2904</v>
      </c>
      <c r="I242" s="213" t="s">
        <v>391</v>
      </c>
      <c r="J242" s="474">
        <v>45900000</v>
      </c>
      <c r="K242" s="211" t="s">
        <v>2974</v>
      </c>
      <c r="L242" s="213" t="s">
        <v>2975</v>
      </c>
      <c r="M242" s="213" t="s">
        <v>44</v>
      </c>
      <c r="N242" s="213" t="s">
        <v>45</v>
      </c>
      <c r="O242" s="213" t="s">
        <v>63</v>
      </c>
      <c r="P242" s="213" t="s">
        <v>678</v>
      </c>
      <c r="R242" s="483">
        <v>267</v>
      </c>
      <c r="S242" s="487">
        <v>44244</v>
      </c>
      <c r="T242" s="483" t="s">
        <v>3482</v>
      </c>
      <c r="U242" s="474">
        <f>45900000-2295000</f>
        <v>43605000</v>
      </c>
      <c r="V242" s="412">
        <v>2295000</v>
      </c>
      <c r="W242" s="398"/>
      <c r="X242" s="309">
        <v>245</v>
      </c>
      <c r="Y242" s="481">
        <v>44263</v>
      </c>
      <c r="Z242" s="481">
        <v>44263</v>
      </c>
      <c r="AA242" s="481">
        <v>44561</v>
      </c>
      <c r="AB242" s="482" t="s">
        <v>2913</v>
      </c>
      <c r="AC242" s="212">
        <v>174</v>
      </c>
      <c r="AD242" s="482" t="s">
        <v>3483</v>
      </c>
      <c r="AE242" s="483" t="s">
        <v>3484</v>
      </c>
      <c r="AF242" s="472">
        <v>43605000</v>
      </c>
      <c r="AG242" s="473">
        <f t="shared" si="3"/>
        <v>0</v>
      </c>
      <c r="AK242" s="474">
        <v>3519000</v>
      </c>
      <c r="AL242" s="474">
        <v>4590000</v>
      </c>
      <c r="AM242" s="307">
        <v>4590000</v>
      </c>
    </row>
    <row r="243" spans="1:45" hidden="1" x14ac:dyDescent="0.25">
      <c r="A243" s="475" t="s">
        <v>2451</v>
      </c>
      <c r="B243" s="476">
        <v>27255780</v>
      </c>
      <c r="C243" s="213" t="s">
        <v>2909</v>
      </c>
      <c r="D243" s="310">
        <v>239</v>
      </c>
      <c r="E243" s="310">
        <v>20217000008923</v>
      </c>
      <c r="F243" s="477">
        <v>44245</v>
      </c>
      <c r="G243" s="312" t="s">
        <v>2910</v>
      </c>
      <c r="H243" s="213" t="s">
        <v>2911</v>
      </c>
      <c r="I243" s="213" t="s">
        <v>164</v>
      </c>
      <c r="J243" s="472" t="s">
        <v>3485</v>
      </c>
      <c r="K243" s="213" t="s">
        <v>138</v>
      </c>
      <c r="L243" s="213" t="s">
        <v>139</v>
      </c>
      <c r="M243" s="213" t="s">
        <v>44</v>
      </c>
      <c r="N243" s="213" t="s">
        <v>45</v>
      </c>
      <c r="O243" s="213" t="s">
        <v>142</v>
      </c>
      <c r="P243" s="213" t="s">
        <v>43</v>
      </c>
      <c r="R243" s="483">
        <v>271</v>
      </c>
      <c r="S243" s="487">
        <v>44246</v>
      </c>
      <c r="T243" s="483" t="s">
        <v>3486</v>
      </c>
      <c r="U243" s="474">
        <v>16353468</v>
      </c>
      <c r="V243" s="407"/>
      <c r="W243" s="363"/>
      <c r="X243" s="309">
        <v>246</v>
      </c>
      <c r="Y243" s="481">
        <v>44263</v>
      </c>
      <c r="Z243" s="481">
        <v>44263</v>
      </c>
      <c r="AA243" s="481">
        <v>44447</v>
      </c>
      <c r="AB243" s="482" t="s">
        <v>2913</v>
      </c>
      <c r="AC243" s="212">
        <v>178</v>
      </c>
      <c r="AD243" s="482" t="s">
        <v>3487</v>
      </c>
      <c r="AE243" s="483" t="s">
        <v>3488</v>
      </c>
      <c r="AF243" s="472">
        <v>16353468</v>
      </c>
      <c r="AG243" s="473">
        <f t="shared" si="3"/>
        <v>0</v>
      </c>
      <c r="AK243" s="474">
        <v>1998757</v>
      </c>
      <c r="AL243" s="474">
        <v>2725578</v>
      </c>
      <c r="AM243" s="307">
        <v>2725578</v>
      </c>
    </row>
    <row r="244" spans="1:45" hidden="1" x14ac:dyDescent="0.25">
      <c r="A244" s="475" t="s">
        <v>2178</v>
      </c>
      <c r="B244" s="476">
        <v>44000000</v>
      </c>
      <c r="C244" s="213" t="s">
        <v>2909</v>
      </c>
      <c r="D244" s="310">
        <v>240</v>
      </c>
      <c r="E244" s="310">
        <v>20215000007253</v>
      </c>
      <c r="F244" s="477">
        <v>44243</v>
      </c>
      <c r="G244" s="310" t="s">
        <v>2903</v>
      </c>
      <c r="H244" s="211" t="s">
        <v>2904</v>
      </c>
      <c r="I244" s="211" t="s">
        <v>228</v>
      </c>
      <c r="J244" s="408">
        <v>44000000</v>
      </c>
      <c r="K244" s="213" t="s">
        <v>288</v>
      </c>
      <c r="L244" s="213" t="s">
        <v>2999</v>
      </c>
      <c r="M244" s="213" t="s">
        <v>44</v>
      </c>
      <c r="N244" s="213" t="s">
        <v>45</v>
      </c>
      <c r="O244" s="213" t="s">
        <v>63</v>
      </c>
      <c r="P244" s="213" t="s">
        <v>678</v>
      </c>
      <c r="R244" s="213">
        <v>253</v>
      </c>
      <c r="S244" s="477">
        <v>44243</v>
      </c>
      <c r="T244" s="213" t="s">
        <v>3489</v>
      </c>
      <c r="U244" s="474">
        <f>44000000-12000000</f>
        <v>32000000</v>
      </c>
      <c r="V244" s="407">
        <v>12000000</v>
      </c>
      <c r="W244" s="363"/>
      <c r="X244" s="480" t="s">
        <v>3490</v>
      </c>
      <c r="Y244" s="481">
        <v>44308</v>
      </c>
      <c r="Z244" s="481">
        <v>44308</v>
      </c>
      <c r="AA244" s="481">
        <v>44551</v>
      </c>
      <c r="AB244" s="482" t="s">
        <v>2913</v>
      </c>
      <c r="AC244" s="480" t="s">
        <v>3491</v>
      </c>
      <c r="AD244" s="482" t="s">
        <v>3492</v>
      </c>
      <c r="AE244" s="483" t="s">
        <v>3493</v>
      </c>
      <c r="AF244" s="472">
        <v>32000000</v>
      </c>
      <c r="AG244" s="473">
        <f t="shared" si="3"/>
        <v>0</v>
      </c>
      <c r="AL244" s="474">
        <v>1200000</v>
      </c>
      <c r="AM244" s="307">
        <v>4000000</v>
      </c>
    </row>
    <row r="245" spans="1:45" s="313" customFormat="1" ht="15.75" hidden="1" x14ac:dyDescent="0.25">
      <c r="A245" s="362"/>
      <c r="B245" s="418" t="s">
        <v>3279</v>
      </c>
      <c r="C245" s="507" t="s">
        <v>3494</v>
      </c>
      <c r="D245" s="313">
        <v>241</v>
      </c>
      <c r="E245" s="326">
        <v>20214000008263</v>
      </c>
      <c r="F245" s="316">
        <v>44243</v>
      </c>
      <c r="G245" s="326" t="s">
        <v>2943</v>
      </c>
      <c r="H245" s="313" t="s">
        <v>2944</v>
      </c>
      <c r="I245" s="313" t="s">
        <v>47</v>
      </c>
      <c r="J245" s="407">
        <v>14021839</v>
      </c>
      <c r="K245" s="313" t="s">
        <v>37</v>
      </c>
      <c r="L245" s="507" t="s">
        <v>3443</v>
      </c>
      <c r="M245" s="313" t="s">
        <v>44</v>
      </c>
      <c r="N245" s="313" t="s">
        <v>45</v>
      </c>
      <c r="O245" s="213" t="s">
        <v>310</v>
      </c>
      <c r="P245" s="313" t="s">
        <v>77</v>
      </c>
      <c r="R245" s="313">
        <v>255</v>
      </c>
      <c r="S245" s="316">
        <v>44244</v>
      </c>
      <c r="T245" s="313" t="s">
        <v>3495</v>
      </c>
      <c r="U245" s="407">
        <f>14021839-14021839</f>
        <v>0</v>
      </c>
      <c r="V245" s="407">
        <v>14021839</v>
      </c>
      <c r="W245" s="400"/>
      <c r="X245" s="315"/>
      <c r="Y245" s="359"/>
      <c r="Z245" s="359"/>
      <c r="AA245" s="359"/>
      <c r="AB245" s="318"/>
      <c r="AC245" s="317"/>
      <c r="AD245" s="318"/>
      <c r="AF245" s="412"/>
      <c r="AG245" s="319">
        <f t="shared" si="3"/>
        <v>0</v>
      </c>
      <c r="AH245" s="407"/>
      <c r="AI245" s="406"/>
      <c r="AJ245" s="406"/>
      <c r="AK245" s="406"/>
      <c r="AL245" s="406"/>
      <c r="AM245" s="213"/>
    </row>
    <row r="246" spans="1:45" hidden="1" x14ac:dyDescent="0.25">
      <c r="A246" s="475" t="s">
        <v>2448</v>
      </c>
      <c r="B246" s="476">
        <v>64900000</v>
      </c>
      <c r="C246" s="213" t="s">
        <v>2909</v>
      </c>
      <c r="D246" s="312">
        <v>242</v>
      </c>
      <c r="E246" s="312">
        <v>20215000006383</v>
      </c>
      <c r="F246" s="477">
        <v>44235</v>
      </c>
      <c r="G246" s="312" t="s">
        <v>2903</v>
      </c>
      <c r="H246" s="213" t="s">
        <v>2904</v>
      </c>
      <c r="I246" s="213" t="s">
        <v>228</v>
      </c>
      <c r="J246" s="474">
        <v>64900000</v>
      </c>
      <c r="K246" s="213" t="s">
        <v>223</v>
      </c>
      <c r="L246" s="213" t="s">
        <v>283</v>
      </c>
      <c r="M246" s="213" t="s">
        <v>44</v>
      </c>
      <c r="N246" s="213" t="s">
        <v>45</v>
      </c>
      <c r="O246" s="213" t="s">
        <v>63</v>
      </c>
      <c r="P246" s="213" t="s">
        <v>678</v>
      </c>
      <c r="R246" s="213">
        <v>212</v>
      </c>
      <c r="S246" s="477">
        <v>44235</v>
      </c>
      <c r="T246" s="213" t="s">
        <v>3496</v>
      </c>
      <c r="U246" s="474">
        <f>64900000-11800000</f>
        <v>53100000</v>
      </c>
      <c r="V246" s="443">
        <v>11800000</v>
      </c>
      <c r="W246" s="399"/>
      <c r="X246" s="309">
        <v>247</v>
      </c>
      <c r="Y246" s="481">
        <v>44263</v>
      </c>
      <c r="Z246" s="481">
        <v>44263</v>
      </c>
      <c r="AA246" s="481">
        <v>44538</v>
      </c>
      <c r="AB246" s="482" t="s">
        <v>2913</v>
      </c>
      <c r="AC246" s="212">
        <v>179</v>
      </c>
      <c r="AD246" s="482" t="s">
        <v>3497</v>
      </c>
      <c r="AE246" s="483" t="s">
        <v>3498</v>
      </c>
      <c r="AF246" s="472">
        <v>53100000</v>
      </c>
      <c r="AG246" s="473">
        <f t="shared" si="3"/>
        <v>0</v>
      </c>
      <c r="AM246" s="213"/>
    </row>
    <row r="247" spans="1:45" hidden="1" x14ac:dyDescent="0.25">
      <c r="A247" s="475" t="s">
        <v>3499</v>
      </c>
      <c r="B247" s="474">
        <v>31600000</v>
      </c>
      <c r="C247" s="213" t="s">
        <v>2909</v>
      </c>
      <c r="D247" s="312">
        <v>243</v>
      </c>
      <c r="E247" s="312">
        <v>20214000004813</v>
      </c>
      <c r="F247" s="477">
        <v>44229</v>
      </c>
      <c r="G247" s="312" t="s">
        <v>2936</v>
      </c>
      <c r="H247" s="213" t="s">
        <v>2937</v>
      </c>
      <c r="I247" s="213" t="s">
        <v>117</v>
      </c>
      <c r="J247" s="474">
        <v>31600000</v>
      </c>
      <c r="K247" s="213" t="s">
        <v>112</v>
      </c>
      <c r="L247" s="213" t="s">
        <v>2938</v>
      </c>
      <c r="M247" s="213" t="s">
        <v>44</v>
      </c>
      <c r="N247" s="213" t="s">
        <v>45</v>
      </c>
      <c r="O247" s="213" t="s">
        <v>63</v>
      </c>
      <c r="P247" s="213" t="s">
        <v>43</v>
      </c>
      <c r="R247" s="213">
        <v>174</v>
      </c>
      <c r="S247" s="477">
        <v>44229</v>
      </c>
      <c r="T247" s="213" t="s">
        <v>3500</v>
      </c>
      <c r="U247" s="474">
        <v>31600000</v>
      </c>
      <c r="V247" s="407"/>
      <c r="W247" s="363"/>
      <c r="X247" s="309">
        <v>248</v>
      </c>
      <c r="Y247" s="481">
        <v>44263</v>
      </c>
      <c r="Z247" s="481">
        <v>44263</v>
      </c>
      <c r="AA247" s="481">
        <v>44508</v>
      </c>
      <c r="AB247" s="482" t="s">
        <v>2913</v>
      </c>
      <c r="AC247" s="212">
        <v>181</v>
      </c>
      <c r="AD247" s="482" t="s">
        <v>3501</v>
      </c>
      <c r="AE247" s="483" t="s">
        <v>3502</v>
      </c>
      <c r="AF247" s="472">
        <v>31600000</v>
      </c>
      <c r="AG247" s="473">
        <f t="shared" si="3"/>
        <v>0</v>
      </c>
      <c r="AK247" s="474">
        <v>2896666</v>
      </c>
      <c r="AL247" s="474">
        <v>3950000</v>
      </c>
      <c r="AM247" s="307">
        <v>3950000</v>
      </c>
      <c r="AQ247" s="504"/>
      <c r="AR247" s="505"/>
      <c r="AS247" s="506"/>
    </row>
    <row r="248" spans="1:45" ht="15.75" hidden="1" x14ac:dyDescent="0.25">
      <c r="B248" s="498" t="s">
        <v>2946</v>
      </c>
      <c r="C248" s="512" t="s">
        <v>3503</v>
      </c>
      <c r="D248" s="312">
        <v>243</v>
      </c>
      <c r="E248" s="310">
        <v>20217000009773</v>
      </c>
      <c r="F248" s="311">
        <v>44250</v>
      </c>
      <c r="G248" s="312" t="s">
        <v>2910</v>
      </c>
      <c r="H248" s="213" t="s">
        <v>2911</v>
      </c>
      <c r="I248" s="213" t="s">
        <v>164</v>
      </c>
      <c r="J248" s="474">
        <v>9889912</v>
      </c>
      <c r="K248" s="213" t="s">
        <v>138</v>
      </c>
      <c r="L248" s="213" t="s">
        <v>139</v>
      </c>
      <c r="M248" s="213" t="s">
        <v>44</v>
      </c>
      <c r="N248" s="213" t="s">
        <v>45</v>
      </c>
      <c r="O248" s="213" t="s">
        <v>142</v>
      </c>
      <c r="P248" s="213" t="s">
        <v>43</v>
      </c>
      <c r="R248" s="483">
        <v>285</v>
      </c>
      <c r="S248" s="487">
        <v>44250</v>
      </c>
      <c r="T248" s="483" t="s">
        <v>3504</v>
      </c>
      <c r="U248" s="474">
        <v>9889912</v>
      </c>
      <c r="V248" s="407"/>
      <c r="W248" s="363"/>
      <c r="X248" s="309">
        <v>249</v>
      </c>
      <c r="Y248" s="481">
        <v>44263</v>
      </c>
      <c r="Z248" s="481">
        <v>44264</v>
      </c>
      <c r="AA248" s="481">
        <v>44315</v>
      </c>
      <c r="AB248" s="482" t="s">
        <v>2913</v>
      </c>
      <c r="AC248" s="212">
        <v>615</v>
      </c>
      <c r="AD248" s="482" t="s">
        <v>3505</v>
      </c>
      <c r="AE248" s="483" t="s">
        <v>3506</v>
      </c>
      <c r="AF248" s="472">
        <v>9889912</v>
      </c>
      <c r="AG248" s="473">
        <f t="shared" si="3"/>
        <v>0</v>
      </c>
      <c r="AK248" s="474">
        <v>5705719</v>
      </c>
      <c r="AL248" s="474">
        <v>4184193</v>
      </c>
      <c r="AM248" s="213"/>
    </row>
    <row r="249" spans="1:45" hidden="1" x14ac:dyDescent="0.25">
      <c r="A249" s="475" t="s">
        <v>2453</v>
      </c>
      <c r="B249" s="476">
        <v>40000000</v>
      </c>
      <c r="C249" s="213" t="s">
        <v>3450</v>
      </c>
      <c r="D249" s="312">
        <v>244</v>
      </c>
      <c r="E249" s="310">
        <v>20213000010293</v>
      </c>
      <c r="F249" s="477">
        <v>44252</v>
      </c>
      <c r="G249" s="312" t="s">
        <v>2903</v>
      </c>
      <c r="H249" s="213" t="s">
        <v>2904</v>
      </c>
      <c r="I249" s="213" t="s">
        <v>432</v>
      </c>
      <c r="J249" s="474">
        <v>39975144</v>
      </c>
      <c r="K249" s="213" t="s">
        <v>342</v>
      </c>
      <c r="L249" s="213" t="s">
        <v>351</v>
      </c>
      <c r="M249" s="213" t="s">
        <v>44</v>
      </c>
      <c r="N249" s="213" t="s">
        <v>45</v>
      </c>
      <c r="O249" s="213" t="s">
        <v>63</v>
      </c>
      <c r="P249" s="213" t="s">
        <v>678</v>
      </c>
      <c r="R249" s="483">
        <v>303</v>
      </c>
      <c r="S249" s="487">
        <v>44252</v>
      </c>
      <c r="T249" s="483" t="s">
        <v>3507</v>
      </c>
      <c r="U249" s="474">
        <v>39975144</v>
      </c>
      <c r="V249" s="407"/>
      <c r="W249" s="363"/>
      <c r="X249" s="309">
        <v>250</v>
      </c>
      <c r="Y249" s="481">
        <v>44264</v>
      </c>
      <c r="Z249" s="481">
        <v>44264</v>
      </c>
      <c r="AA249" s="481">
        <v>44509</v>
      </c>
      <c r="AB249" s="482" t="s">
        <v>2913</v>
      </c>
      <c r="AC249" s="212">
        <v>176</v>
      </c>
      <c r="AD249" s="482" t="s">
        <v>3508</v>
      </c>
      <c r="AE249" s="483" t="s">
        <v>3509</v>
      </c>
      <c r="AF249" s="472">
        <v>39975144</v>
      </c>
      <c r="AG249" s="473">
        <f t="shared" si="3"/>
        <v>0</v>
      </c>
      <c r="AK249" s="474">
        <v>3497825</v>
      </c>
      <c r="AL249" s="474">
        <v>4996893</v>
      </c>
      <c r="AM249" s="307">
        <v>4996893</v>
      </c>
    </row>
    <row r="250" spans="1:45" hidden="1" x14ac:dyDescent="0.25">
      <c r="A250" s="475" t="s">
        <v>2171</v>
      </c>
      <c r="B250" s="476">
        <v>60180000</v>
      </c>
      <c r="C250" s="213" t="s">
        <v>3025</v>
      </c>
      <c r="D250" s="312">
        <v>245</v>
      </c>
      <c r="E250" s="310">
        <v>20212000008503</v>
      </c>
      <c r="F250" s="477">
        <v>44244</v>
      </c>
      <c r="G250" s="312" t="s">
        <v>2903</v>
      </c>
      <c r="H250" s="213" t="s">
        <v>2904</v>
      </c>
      <c r="I250" s="213" t="s">
        <v>391</v>
      </c>
      <c r="J250" s="474">
        <v>51000000</v>
      </c>
      <c r="K250" s="211" t="s">
        <v>2974</v>
      </c>
      <c r="L250" s="213" t="s">
        <v>2975</v>
      </c>
      <c r="M250" s="213" t="s">
        <v>44</v>
      </c>
      <c r="N250" s="213" t="s">
        <v>45</v>
      </c>
      <c r="O250" s="213" t="s">
        <v>63</v>
      </c>
      <c r="P250" s="213" t="s">
        <v>678</v>
      </c>
      <c r="R250" s="483">
        <v>265</v>
      </c>
      <c r="S250" s="487">
        <v>44244</v>
      </c>
      <c r="T250" s="483" t="s">
        <v>3510</v>
      </c>
      <c r="U250" s="474">
        <f>51000000-2550000</f>
        <v>48450000</v>
      </c>
      <c r="V250" s="412">
        <v>2550000</v>
      </c>
      <c r="W250" s="398"/>
      <c r="X250" s="309">
        <v>251</v>
      </c>
      <c r="Y250" s="481">
        <v>44264</v>
      </c>
      <c r="Z250" s="481">
        <v>44264</v>
      </c>
      <c r="AA250" s="481">
        <v>44561</v>
      </c>
      <c r="AB250" s="482" t="s">
        <v>2913</v>
      </c>
      <c r="AC250" s="212">
        <v>182</v>
      </c>
      <c r="AD250" s="482" t="s">
        <v>3511</v>
      </c>
      <c r="AE250" s="483" t="s">
        <v>3512</v>
      </c>
      <c r="AF250" s="472">
        <v>48450000</v>
      </c>
      <c r="AG250" s="473">
        <f t="shared" si="3"/>
        <v>0</v>
      </c>
      <c r="AK250" s="474">
        <v>3740000</v>
      </c>
      <c r="AL250" s="474">
        <v>5100000</v>
      </c>
      <c r="AM250" s="307">
        <v>5100000</v>
      </c>
    </row>
    <row r="251" spans="1:45" hidden="1" x14ac:dyDescent="0.25">
      <c r="A251" s="475" t="s">
        <v>2454</v>
      </c>
      <c r="B251" s="476">
        <v>42000000</v>
      </c>
      <c r="C251" s="213" t="s">
        <v>2909</v>
      </c>
      <c r="D251" s="312">
        <v>246</v>
      </c>
      <c r="E251" s="312">
        <v>20213000007873</v>
      </c>
      <c r="F251" s="477">
        <v>44243</v>
      </c>
      <c r="G251" s="312" t="s">
        <v>2903</v>
      </c>
      <c r="H251" s="213" t="s">
        <v>2904</v>
      </c>
      <c r="I251" s="213" t="s">
        <v>432</v>
      </c>
      <c r="J251" s="474">
        <v>35400000</v>
      </c>
      <c r="K251" s="213" t="s">
        <v>358</v>
      </c>
      <c r="L251" s="213" t="s">
        <v>3054</v>
      </c>
      <c r="M251" s="213" t="s">
        <v>44</v>
      </c>
      <c r="N251" s="213" t="s">
        <v>45</v>
      </c>
      <c r="O251" s="213" t="s">
        <v>63</v>
      </c>
      <c r="P251" s="213" t="s">
        <v>678</v>
      </c>
      <c r="R251" s="213">
        <v>242</v>
      </c>
      <c r="S251" s="477">
        <v>44243</v>
      </c>
      <c r="T251" s="213" t="s">
        <v>3513</v>
      </c>
      <c r="U251" s="474">
        <v>35400000</v>
      </c>
      <c r="V251" s="407"/>
      <c r="W251" s="363"/>
      <c r="X251" s="309">
        <v>252</v>
      </c>
      <c r="Y251" s="481">
        <v>44264</v>
      </c>
      <c r="Z251" s="481">
        <v>44264</v>
      </c>
      <c r="AA251" s="481">
        <v>44539</v>
      </c>
      <c r="AB251" s="482" t="s">
        <v>2913</v>
      </c>
      <c r="AC251" s="212">
        <v>180</v>
      </c>
      <c r="AD251" s="482" t="s">
        <v>3514</v>
      </c>
      <c r="AE251" s="483" t="s">
        <v>3515</v>
      </c>
      <c r="AF251" s="472">
        <v>35400000</v>
      </c>
      <c r="AG251" s="473">
        <f t="shared" si="3"/>
        <v>0</v>
      </c>
      <c r="AK251" s="474">
        <v>3933333</v>
      </c>
      <c r="AL251" s="474">
        <v>5900000</v>
      </c>
      <c r="AM251" s="307">
        <v>5900000</v>
      </c>
    </row>
    <row r="252" spans="1:45" ht="15.75" hidden="1" x14ac:dyDescent="0.25">
      <c r="B252" s="498" t="s">
        <v>2946</v>
      </c>
      <c r="C252" s="513" t="s">
        <v>3516</v>
      </c>
      <c r="D252" s="312">
        <v>247</v>
      </c>
      <c r="E252" s="310">
        <v>20217000009763</v>
      </c>
      <c r="F252" s="311">
        <v>44250</v>
      </c>
      <c r="G252" s="312" t="s">
        <v>2910</v>
      </c>
      <c r="H252" s="213" t="s">
        <v>2911</v>
      </c>
      <c r="I252" s="213" t="s">
        <v>164</v>
      </c>
      <c r="J252" s="474">
        <v>8005562</v>
      </c>
      <c r="K252" s="213" t="s">
        <v>138</v>
      </c>
      <c r="L252" s="213" t="s">
        <v>139</v>
      </c>
      <c r="M252" s="213" t="s">
        <v>44</v>
      </c>
      <c r="N252" s="213" t="s">
        <v>45</v>
      </c>
      <c r="O252" s="213" t="s">
        <v>142</v>
      </c>
      <c r="P252" s="213" t="s">
        <v>43</v>
      </c>
      <c r="R252" s="483">
        <v>284</v>
      </c>
      <c r="S252" s="487">
        <v>44250</v>
      </c>
      <c r="T252" s="483" t="s">
        <v>3517</v>
      </c>
      <c r="U252" s="474">
        <v>8005562</v>
      </c>
      <c r="V252" s="407"/>
      <c r="W252" s="363"/>
      <c r="X252" s="309">
        <v>253</v>
      </c>
      <c r="Y252" s="481">
        <v>44264</v>
      </c>
      <c r="Z252" s="481">
        <v>44270</v>
      </c>
      <c r="AA252" s="481">
        <v>44328</v>
      </c>
      <c r="AB252" s="482" t="s">
        <v>2913</v>
      </c>
      <c r="AC252" s="212">
        <v>600</v>
      </c>
      <c r="AD252" s="482" t="s">
        <v>3518</v>
      </c>
      <c r="AE252" s="483" t="s">
        <v>3519</v>
      </c>
      <c r="AF252" s="472">
        <v>8005562</v>
      </c>
      <c r="AG252" s="473">
        <f t="shared" si="3"/>
        <v>0</v>
      </c>
      <c r="AL252" s="474">
        <v>6741527</v>
      </c>
      <c r="AM252" s="213"/>
    </row>
    <row r="253" spans="1:45" hidden="1" x14ac:dyDescent="0.25">
      <c r="B253" s="498" t="s">
        <v>2946</v>
      </c>
      <c r="C253" s="213" t="s">
        <v>3520</v>
      </c>
      <c r="D253" s="312">
        <v>248</v>
      </c>
      <c r="E253" s="312">
        <v>20215000006633</v>
      </c>
      <c r="F253" s="477">
        <v>44236</v>
      </c>
      <c r="G253" s="312" t="s">
        <v>2903</v>
      </c>
      <c r="H253" s="213" t="s">
        <v>2904</v>
      </c>
      <c r="I253" s="213" t="s">
        <v>228</v>
      </c>
      <c r="J253" s="474">
        <v>17064600</v>
      </c>
      <c r="K253" s="213" t="s">
        <v>223</v>
      </c>
      <c r="L253" s="213" t="s">
        <v>257</v>
      </c>
      <c r="M253" s="213" t="s">
        <v>44</v>
      </c>
      <c r="N253" s="213" t="s">
        <v>45</v>
      </c>
      <c r="O253" s="213" t="s">
        <v>46</v>
      </c>
      <c r="P253" s="213" t="s">
        <v>678</v>
      </c>
      <c r="R253" s="213">
        <v>228</v>
      </c>
      <c r="S253" s="477">
        <v>44236</v>
      </c>
      <c r="T253" s="213" t="s">
        <v>3521</v>
      </c>
      <c r="U253" s="474">
        <v>17064600</v>
      </c>
      <c r="V253" s="407"/>
      <c r="W253" s="363"/>
      <c r="X253" s="309">
        <v>254</v>
      </c>
      <c r="Y253" s="481">
        <v>44264</v>
      </c>
      <c r="Z253" s="481">
        <v>44264</v>
      </c>
      <c r="AA253" s="481">
        <v>44561</v>
      </c>
      <c r="AB253" s="482" t="s">
        <v>2929</v>
      </c>
      <c r="AC253" s="212">
        <v>707</v>
      </c>
      <c r="AD253" s="482" t="s">
        <v>3522</v>
      </c>
      <c r="AE253" s="483" t="s">
        <v>2930</v>
      </c>
      <c r="AF253" s="472">
        <v>17064600</v>
      </c>
      <c r="AG253" s="473">
        <f t="shared" si="3"/>
        <v>0</v>
      </c>
      <c r="AK253" s="474">
        <v>17064600</v>
      </c>
      <c r="AM253" s="213"/>
    </row>
    <row r="254" spans="1:45" hidden="1" x14ac:dyDescent="0.25">
      <c r="A254" s="475" t="s">
        <v>2665</v>
      </c>
      <c r="B254" s="476">
        <v>36000000</v>
      </c>
      <c r="C254" s="213" t="s">
        <v>3450</v>
      </c>
      <c r="D254" s="312">
        <v>249</v>
      </c>
      <c r="E254" s="312">
        <v>20211400013173</v>
      </c>
      <c r="F254" s="477">
        <v>44264</v>
      </c>
      <c r="G254" s="312" t="s">
        <v>2910</v>
      </c>
      <c r="H254" s="213" t="s">
        <v>2911</v>
      </c>
      <c r="I254" s="213" t="s">
        <v>184</v>
      </c>
      <c r="J254" s="474">
        <v>36000000</v>
      </c>
      <c r="K254" s="213" t="s">
        <v>138</v>
      </c>
      <c r="L254" s="213" t="s">
        <v>2915</v>
      </c>
      <c r="M254" s="213" t="s">
        <v>44</v>
      </c>
      <c r="N254" s="213" t="s">
        <v>45</v>
      </c>
      <c r="O254" s="213" t="s">
        <v>142</v>
      </c>
      <c r="P254" s="213" t="s">
        <v>43</v>
      </c>
      <c r="R254" s="213">
        <v>348</v>
      </c>
      <c r="S254" s="487">
        <v>44264</v>
      </c>
      <c r="T254" s="483" t="s">
        <v>3523</v>
      </c>
      <c r="U254" s="474">
        <v>36000000</v>
      </c>
      <c r="V254" s="407"/>
      <c r="W254" s="363"/>
      <c r="X254" s="309">
        <v>256</v>
      </c>
      <c r="Y254" s="481">
        <v>44264</v>
      </c>
      <c r="Z254" s="481">
        <v>44264</v>
      </c>
      <c r="AA254" s="481">
        <v>44539</v>
      </c>
      <c r="AB254" s="482" t="s">
        <v>2913</v>
      </c>
      <c r="AC254" s="212">
        <v>177</v>
      </c>
      <c r="AD254" s="482" t="s">
        <v>3524</v>
      </c>
      <c r="AE254" s="483" t="s">
        <v>3525</v>
      </c>
      <c r="AF254" s="472">
        <v>36000000</v>
      </c>
      <c r="AK254" s="474">
        <v>3150000</v>
      </c>
      <c r="AL254" s="474">
        <v>4500000</v>
      </c>
      <c r="AM254" s="307">
        <v>4500000</v>
      </c>
    </row>
    <row r="255" spans="1:45" hidden="1" x14ac:dyDescent="0.25">
      <c r="A255" s="475" t="s">
        <v>2158</v>
      </c>
      <c r="B255" s="476">
        <v>61383600</v>
      </c>
      <c r="C255" s="213" t="s">
        <v>2909</v>
      </c>
      <c r="D255" s="312">
        <v>250</v>
      </c>
      <c r="E255" s="310">
        <v>20212000008493</v>
      </c>
      <c r="F255" s="477">
        <v>44244</v>
      </c>
      <c r="G255" s="312" t="s">
        <v>2903</v>
      </c>
      <c r="H255" s="213" t="s">
        <v>2904</v>
      </c>
      <c r="I255" s="213" t="s">
        <v>391</v>
      </c>
      <c r="J255" s="474">
        <v>52020000</v>
      </c>
      <c r="K255" s="211" t="s">
        <v>2974</v>
      </c>
      <c r="L255" s="213" t="s">
        <v>2975</v>
      </c>
      <c r="M255" s="213" t="s">
        <v>44</v>
      </c>
      <c r="N255" s="213" t="s">
        <v>45</v>
      </c>
      <c r="O255" s="213" t="s">
        <v>63</v>
      </c>
      <c r="P255" s="213" t="s">
        <v>678</v>
      </c>
      <c r="R255" s="483">
        <v>264</v>
      </c>
      <c r="S255" s="487">
        <v>44244</v>
      </c>
      <c r="T255" s="483" t="s">
        <v>3526</v>
      </c>
      <c r="U255" s="474">
        <v>52020000</v>
      </c>
      <c r="V255" s="407"/>
      <c r="W255" s="363"/>
      <c r="X255" s="480" t="s">
        <v>3527</v>
      </c>
      <c r="Y255" s="481">
        <v>44307</v>
      </c>
      <c r="Z255" s="481">
        <v>44307</v>
      </c>
      <c r="AA255" s="481">
        <v>44550</v>
      </c>
      <c r="AB255" s="482" t="s">
        <v>2913</v>
      </c>
      <c r="AC255" s="480" t="s">
        <v>3528</v>
      </c>
      <c r="AD255" s="482" t="s">
        <v>3529</v>
      </c>
      <c r="AE255" s="483" t="s">
        <v>3530</v>
      </c>
      <c r="AF255" s="493">
        <v>41616000</v>
      </c>
      <c r="AG255" s="473">
        <f t="shared" ref="AG255:AG261" si="4">+U255-AF255</f>
        <v>10404000</v>
      </c>
      <c r="AM255" s="213"/>
    </row>
    <row r="256" spans="1:45" hidden="1" x14ac:dyDescent="0.25">
      <c r="A256" s="475" t="s">
        <v>2428</v>
      </c>
      <c r="B256" s="476">
        <v>64900000</v>
      </c>
      <c r="C256" s="213" t="s">
        <v>2909</v>
      </c>
      <c r="D256" s="312">
        <v>251</v>
      </c>
      <c r="E256" s="310">
        <v>20215000007243</v>
      </c>
      <c r="F256" s="477">
        <v>44243</v>
      </c>
      <c r="G256" s="310" t="s">
        <v>2903</v>
      </c>
      <c r="H256" s="211" t="s">
        <v>2904</v>
      </c>
      <c r="I256" s="211" t="s">
        <v>228</v>
      </c>
      <c r="J256" s="408">
        <v>64900000</v>
      </c>
      <c r="K256" s="213" t="s">
        <v>288</v>
      </c>
      <c r="L256" s="213" t="s">
        <v>2999</v>
      </c>
      <c r="M256" s="213" t="s">
        <v>44</v>
      </c>
      <c r="N256" s="213" t="s">
        <v>45</v>
      </c>
      <c r="O256" s="213" t="s">
        <v>63</v>
      </c>
      <c r="P256" s="213" t="s">
        <v>678</v>
      </c>
      <c r="R256" s="213">
        <v>252</v>
      </c>
      <c r="S256" s="477">
        <v>44243</v>
      </c>
      <c r="T256" s="213" t="s">
        <v>3531</v>
      </c>
      <c r="U256" s="474">
        <f>64900000-26900000</f>
        <v>38000000</v>
      </c>
      <c r="V256" s="443">
        <v>26900000</v>
      </c>
      <c r="W256" s="399"/>
      <c r="X256" s="309">
        <v>257</v>
      </c>
      <c r="Y256" s="481">
        <v>44265</v>
      </c>
      <c r="Z256" s="481">
        <v>44265</v>
      </c>
      <c r="AA256" s="481">
        <v>44561</v>
      </c>
      <c r="AB256" s="482" t="s">
        <v>2913</v>
      </c>
      <c r="AC256" s="212">
        <v>183</v>
      </c>
      <c r="AD256" s="482" t="s">
        <v>3532</v>
      </c>
      <c r="AE256" s="483" t="s">
        <v>3533</v>
      </c>
      <c r="AF256" s="472">
        <v>38000000</v>
      </c>
      <c r="AG256" s="473">
        <f t="shared" si="4"/>
        <v>0</v>
      </c>
      <c r="AK256" s="474">
        <v>2666667</v>
      </c>
      <c r="AL256" s="474">
        <v>4000000</v>
      </c>
      <c r="AM256" s="307">
        <v>4000000</v>
      </c>
    </row>
    <row r="257" spans="1:50" s="313" customFormat="1" ht="15" hidden="1" customHeight="1" x14ac:dyDescent="0.25">
      <c r="A257" s="362" t="s">
        <v>2162</v>
      </c>
      <c r="B257" s="418">
        <v>65836059</v>
      </c>
      <c r="C257" s="313" t="s">
        <v>2909</v>
      </c>
      <c r="D257" s="326">
        <v>252</v>
      </c>
      <c r="E257" s="326">
        <v>20212000008513</v>
      </c>
      <c r="F257" s="316">
        <v>44244</v>
      </c>
      <c r="G257" s="326" t="s">
        <v>2903</v>
      </c>
      <c r="H257" s="313" t="s">
        <v>2904</v>
      </c>
      <c r="I257" s="313" t="s">
        <v>391</v>
      </c>
      <c r="J257" s="406">
        <v>56270000</v>
      </c>
      <c r="K257" s="313" t="s">
        <v>2974</v>
      </c>
      <c r="L257" s="313" t="s">
        <v>2975</v>
      </c>
      <c r="M257" s="313" t="s">
        <v>44</v>
      </c>
      <c r="N257" s="313" t="s">
        <v>45</v>
      </c>
      <c r="O257" s="313" t="s">
        <v>63</v>
      </c>
      <c r="P257" s="313" t="s">
        <v>678</v>
      </c>
      <c r="R257" s="313">
        <v>266</v>
      </c>
      <c r="S257" s="316">
        <v>44244</v>
      </c>
      <c r="T257" s="394" t="s">
        <v>2162</v>
      </c>
      <c r="U257" s="406">
        <f>56270000-56270000</f>
        <v>0</v>
      </c>
      <c r="V257" s="412">
        <v>56270000</v>
      </c>
      <c r="W257" s="398"/>
      <c r="X257" s="315"/>
      <c r="Y257" s="359"/>
      <c r="Z257" s="359"/>
      <c r="AA257" s="359"/>
      <c r="AB257" s="318"/>
      <c r="AC257" s="317"/>
      <c r="AD257" s="318"/>
      <c r="AF257" s="411"/>
      <c r="AG257" s="319">
        <f t="shared" si="4"/>
        <v>0</v>
      </c>
      <c r="AH257" s="406"/>
      <c r="AI257" s="406"/>
      <c r="AJ257" s="406"/>
      <c r="AK257" s="406"/>
      <c r="AL257" s="406"/>
      <c r="AM257" s="213"/>
    </row>
    <row r="258" spans="1:50" ht="15" hidden="1" customHeight="1" x14ac:dyDescent="0.25">
      <c r="A258" s="475" t="s">
        <v>2425</v>
      </c>
      <c r="B258" s="476">
        <v>39600000</v>
      </c>
      <c r="C258" s="213" t="s">
        <v>2909</v>
      </c>
      <c r="D258" s="312">
        <v>253</v>
      </c>
      <c r="E258" s="312">
        <v>20215000006393</v>
      </c>
      <c r="F258" s="477">
        <v>44235</v>
      </c>
      <c r="G258" s="312" t="s">
        <v>2903</v>
      </c>
      <c r="H258" s="213" t="s">
        <v>2904</v>
      </c>
      <c r="I258" s="213" t="s">
        <v>228</v>
      </c>
      <c r="J258" s="474">
        <v>39600000</v>
      </c>
      <c r="K258" s="213" t="s">
        <v>223</v>
      </c>
      <c r="L258" s="213" t="s">
        <v>283</v>
      </c>
      <c r="M258" s="213" t="s">
        <v>44</v>
      </c>
      <c r="N258" s="213" t="s">
        <v>45</v>
      </c>
      <c r="O258" s="213" t="s">
        <v>63</v>
      </c>
      <c r="P258" s="213" t="s">
        <v>678</v>
      </c>
      <c r="R258" s="213">
        <v>213</v>
      </c>
      <c r="S258" s="477">
        <v>44235</v>
      </c>
      <c r="T258" s="213" t="s">
        <v>3534</v>
      </c>
      <c r="U258" s="474">
        <f>39600000-7200000</f>
        <v>32400000</v>
      </c>
      <c r="V258" s="443">
        <v>7200000</v>
      </c>
      <c r="W258" s="399"/>
      <c r="X258" s="309">
        <v>258</v>
      </c>
      <c r="Y258" s="481">
        <v>44265</v>
      </c>
      <c r="Z258" s="481">
        <v>44265</v>
      </c>
      <c r="AA258" s="481">
        <v>44540</v>
      </c>
      <c r="AB258" s="482" t="s">
        <v>2913</v>
      </c>
      <c r="AC258" s="212">
        <v>184</v>
      </c>
      <c r="AD258" s="482" t="s">
        <v>3535</v>
      </c>
      <c r="AE258" s="483" t="s">
        <v>3536</v>
      </c>
      <c r="AF258" s="472">
        <v>32400000</v>
      </c>
      <c r="AG258" s="473">
        <f t="shared" si="4"/>
        <v>0</v>
      </c>
      <c r="AK258" s="474">
        <v>2520000</v>
      </c>
      <c r="AL258" s="474">
        <v>3600000</v>
      </c>
      <c r="AM258" s="307">
        <v>3600000</v>
      </c>
    </row>
    <row r="259" spans="1:50" ht="15" hidden="1" customHeight="1" x14ac:dyDescent="0.25">
      <c r="B259" s="476" t="s">
        <v>2946</v>
      </c>
      <c r="C259" s="213" t="s">
        <v>2909</v>
      </c>
      <c r="D259" s="312">
        <v>254</v>
      </c>
      <c r="E259" s="310">
        <v>20217000008603</v>
      </c>
      <c r="F259" s="477">
        <v>44244</v>
      </c>
      <c r="G259" s="312" t="s">
        <v>2910</v>
      </c>
      <c r="H259" s="213" t="s">
        <v>2911</v>
      </c>
      <c r="I259" s="213" t="s">
        <v>164</v>
      </c>
      <c r="J259" s="474">
        <v>7900226</v>
      </c>
      <c r="K259" s="213" t="s">
        <v>138</v>
      </c>
      <c r="L259" s="213" t="s">
        <v>139</v>
      </c>
      <c r="M259" s="213" t="s">
        <v>44</v>
      </c>
      <c r="N259" s="213" t="s">
        <v>45</v>
      </c>
      <c r="O259" s="213" t="s">
        <v>142</v>
      </c>
      <c r="P259" s="213" t="s">
        <v>43</v>
      </c>
      <c r="R259" s="483">
        <v>268</v>
      </c>
      <c r="S259" s="487">
        <v>44244</v>
      </c>
      <c r="T259" s="483" t="s">
        <v>3537</v>
      </c>
      <c r="U259" s="474">
        <v>7900226</v>
      </c>
      <c r="V259" s="407"/>
      <c r="W259" s="363"/>
      <c r="X259" s="480">
        <v>169</v>
      </c>
      <c r="Y259" s="481">
        <v>44246</v>
      </c>
      <c r="Z259" s="481">
        <v>44249</v>
      </c>
      <c r="AA259" s="481">
        <v>44307</v>
      </c>
      <c r="AB259" s="482" t="s">
        <v>2913</v>
      </c>
      <c r="AC259" s="480">
        <v>499</v>
      </c>
      <c r="AD259" s="482">
        <v>9535500</v>
      </c>
      <c r="AE259" s="483" t="s">
        <v>3538</v>
      </c>
      <c r="AF259" s="472">
        <v>7900226</v>
      </c>
      <c r="AG259" s="473">
        <f t="shared" si="4"/>
        <v>0</v>
      </c>
      <c r="AJ259" s="474">
        <v>3950113</v>
      </c>
      <c r="AK259" s="474">
        <v>3950113</v>
      </c>
      <c r="AM259" s="213"/>
    </row>
    <row r="260" spans="1:50" ht="15.75" hidden="1" customHeight="1" x14ac:dyDescent="0.25">
      <c r="B260" s="476" t="s">
        <v>2946</v>
      </c>
      <c r="C260" s="512" t="s">
        <v>3539</v>
      </c>
      <c r="D260" s="312">
        <v>255</v>
      </c>
      <c r="E260" s="310">
        <v>20214000008653</v>
      </c>
      <c r="F260" s="477">
        <v>44244</v>
      </c>
      <c r="G260" s="312" t="s">
        <v>2943</v>
      </c>
      <c r="H260" s="213" t="s">
        <v>2944</v>
      </c>
      <c r="I260" s="213" t="s">
        <v>47</v>
      </c>
      <c r="J260" s="427">
        <v>43792000</v>
      </c>
      <c r="K260" s="213" t="s">
        <v>37</v>
      </c>
      <c r="L260" s="512" t="s">
        <v>3443</v>
      </c>
      <c r="M260" s="213" t="s">
        <v>44</v>
      </c>
      <c r="N260" s="213" t="s">
        <v>45</v>
      </c>
      <c r="O260" s="213" t="s">
        <v>310</v>
      </c>
      <c r="P260" s="213" t="s">
        <v>84</v>
      </c>
      <c r="R260" s="483">
        <v>261</v>
      </c>
      <c r="S260" s="487">
        <v>44244</v>
      </c>
      <c r="T260" s="483" t="s">
        <v>85</v>
      </c>
      <c r="U260" s="427">
        <v>43792000</v>
      </c>
      <c r="V260" s="407"/>
      <c r="W260" s="400"/>
      <c r="X260" s="480">
        <v>166</v>
      </c>
      <c r="Y260" s="481">
        <v>44246</v>
      </c>
      <c r="Z260" s="481">
        <v>44249</v>
      </c>
      <c r="AA260" s="481">
        <v>44307</v>
      </c>
      <c r="AB260" s="482" t="s">
        <v>2913</v>
      </c>
      <c r="AC260" s="480">
        <v>332</v>
      </c>
      <c r="AD260" s="482">
        <v>901105939</v>
      </c>
      <c r="AE260" s="483" t="s">
        <v>3540</v>
      </c>
      <c r="AF260" s="485">
        <v>43792000</v>
      </c>
      <c r="AG260" s="473">
        <f t="shared" si="4"/>
        <v>0</v>
      </c>
      <c r="AH260" s="427"/>
      <c r="AL260" s="474">
        <v>21896000</v>
      </c>
      <c r="AM260" s="213"/>
    </row>
    <row r="261" spans="1:50" ht="15" hidden="1" customHeight="1" x14ac:dyDescent="0.25">
      <c r="A261" s="475" t="s">
        <v>2571</v>
      </c>
      <c r="B261" s="476">
        <v>250000000</v>
      </c>
      <c r="C261" s="213" t="s">
        <v>3541</v>
      </c>
      <c r="D261" s="312">
        <v>256</v>
      </c>
      <c r="E261" s="310">
        <v>20211400008903</v>
      </c>
      <c r="F261" s="477">
        <v>44245</v>
      </c>
      <c r="G261" s="312" t="s">
        <v>2910</v>
      </c>
      <c r="H261" s="213" t="s">
        <v>2911</v>
      </c>
      <c r="I261" s="213" t="s">
        <v>184</v>
      </c>
      <c r="J261" s="474">
        <v>250000000</v>
      </c>
      <c r="K261" s="213" t="s">
        <v>138</v>
      </c>
      <c r="L261" s="213" t="s">
        <v>2915</v>
      </c>
      <c r="M261" s="213" t="s">
        <v>44</v>
      </c>
      <c r="N261" s="213" t="s">
        <v>45</v>
      </c>
      <c r="O261" s="213" t="s">
        <v>194</v>
      </c>
      <c r="P261" s="213" t="s">
        <v>43</v>
      </c>
      <c r="R261" s="483">
        <v>270</v>
      </c>
      <c r="S261" s="487">
        <v>44246</v>
      </c>
      <c r="T261" s="483" t="s">
        <v>3542</v>
      </c>
      <c r="U261" s="474">
        <f>250000000-1190992</f>
        <v>248809008</v>
      </c>
      <c r="V261" s="407">
        <v>1190992</v>
      </c>
      <c r="W261" s="363" t="s">
        <v>1757</v>
      </c>
      <c r="X261" s="480" t="s">
        <v>3543</v>
      </c>
      <c r="Y261" s="481">
        <v>44291</v>
      </c>
      <c r="Z261" s="481">
        <v>44291</v>
      </c>
      <c r="AA261" s="481">
        <v>44561</v>
      </c>
      <c r="AB261" s="482" t="s">
        <v>3544</v>
      </c>
      <c r="AC261" s="480" t="s">
        <v>3545</v>
      </c>
      <c r="AD261" s="482" t="s">
        <v>3546</v>
      </c>
      <c r="AE261" s="483" t="s">
        <v>3106</v>
      </c>
      <c r="AF261" s="472">
        <v>248809008</v>
      </c>
      <c r="AG261" s="473">
        <f t="shared" si="4"/>
        <v>0</v>
      </c>
      <c r="AM261" s="213"/>
    </row>
    <row r="262" spans="1:50" ht="15" hidden="1" customHeight="1" x14ac:dyDescent="0.25">
      <c r="A262" s="475" t="s">
        <v>2703</v>
      </c>
      <c r="B262" s="476">
        <v>65000000</v>
      </c>
      <c r="C262" s="213" t="s">
        <v>2909</v>
      </c>
      <c r="D262" s="312">
        <v>257</v>
      </c>
      <c r="E262" s="310">
        <v>20211200012143</v>
      </c>
      <c r="F262" s="477">
        <v>44259</v>
      </c>
      <c r="G262" s="312" t="s">
        <v>2910</v>
      </c>
      <c r="H262" s="213" t="s">
        <v>2911</v>
      </c>
      <c r="I262" s="213" t="s">
        <v>143</v>
      </c>
      <c r="J262" s="474">
        <v>19800000</v>
      </c>
      <c r="K262" s="213" t="s">
        <v>138</v>
      </c>
      <c r="L262" s="213" t="s">
        <v>139</v>
      </c>
      <c r="M262" s="213" t="s">
        <v>44</v>
      </c>
      <c r="N262" s="213" t="s">
        <v>45</v>
      </c>
      <c r="O262" s="213" t="s">
        <v>142</v>
      </c>
      <c r="P262" s="213" t="s">
        <v>43</v>
      </c>
      <c r="R262" s="213">
        <v>330</v>
      </c>
      <c r="S262" s="487">
        <v>44259</v>
      </c>
      <c r="T262" s="483" t="s">
        <v>3277</v>
      </c>
      <c r="U262" s="474">
        <v>19800000</v>
      </c>
      <c r="V262" s="407"/>
      <c r="W262" s="363"/>
      <c r="X262" s="309">
        <v>259</v>
      </c>
      <c r="Y262" s="481">
        <v>44265</v>
      </c>
      <c r="Z262" s="481">
        <v>44265</v>
      </c>
      <c r="AA262" s="481">
        <v>44387</v>
      </c>
      <c r="AB262" s="482" t="s">
        <v>2913</v>
      </c>
      <c r="AC262" s="212">
        <v>188</v>
      </c>
      <c r="AD262" s="482" t="s">
        <v>3547</v>
      </c>
      <c r="AE262" s="483" t="s">
        <v>3548</v>
      </c>
      <c r="AF262" s="472">
        <v>19800000</v>
      </c>
      <c r="AK262" s="474">
        <v>3300000</v>
      </c>
      <c r="AL262" s="474">
        <v>4950000</v>
      </c>
      <c r="AM262" s="307">
        <v>4950000</v>
      </c>
    </row>
    <row r="263" spans="1:50" ht="15" hidden="1" customHeight="1" x14ac:dyDescent="0.25">
      <c r="A263" s="475" t="s">
        <v>2160</v>
      </c>
      <c r="B263" s="476">
        <v>134074420</v>
      </c>
      <c r="C263" s="213" t="s">
        <v>2909</v>
      </c>
      <c r="D263" s="312">
        <v>258</v>
      </c>
      <c r="E263" s="310">
        <v>20212000008463</v>
      </c>
      <c r="F263" s="477">
        <v>44244</v>
      </c>
      <c r="G263" s="312" t="s">
        <v>2903</v>
      </c>
      <c r="H263" s="213" t="s">
        <v>2904</v>
      </c>
      <c r="I263" s="213" t="s">
        <v>391</v>
      </c>
      <c r="J263" s="474">
        <v>79530000</v>
      </c>
      <c r="K263" s="211" t="s">
        <v>2974</v>
      </c>
      <c r="L263" s="213" t="s">
        <v>2975</v>
      </c>
      <c r="M263" s="213" t="s">
        <v>44</v>
      </c>
      <c r="N263" s="213" t="s">
        <v>45</v>
      </c>
      <c r="O263" s="213" t="s">
        <v>63</v>
      </c>
      <c r="P263" s="213" t="s">
        <v>678</v>
      </c>
      <c r="R263" s="483">
        <v>262</v>
      </c>
      <c r="S263" s="487">
        <v>44244</v>
      </c>
      <c r="T263" s="483" t="s">
        <v>3549</v>
      </c>
      <c r="U263" s="474">
        <f>79534000-22724000</f>
        <v>56810000</v>
      </c>
      <c r="V263" s="412">
        <v>22724000</v>
      </c>
      <c r="W263" s="398"/>
      <c r="X263" s="309">
        <v>260</v>
      </c>
      <c r="Y263" s="481">
        <v>44265</v>
      </c>
      <c r="Z263" s="481">
        <v>44265</v>
      </c>
      <c r="AA263" s="481">
        <v>44418</v>
      </c>
      <c r="AB263" s="482" t="s">
        <v>2913</v>
      </c>
      <c r="AC263" s="212">
        <v>186</v>
      </c>
      <c r="AD263" s="482" t="s">
        <v>3550</v>
      </c>
      <c r="AE263" s="483" t="s">
        <v>3551</v>
      </c>
      <c r="AF263" s="472">
        <v>56810000</v>
      </c>
      <c r="AG263" s="473">
        <f>+U263-AF263</f>
        <v>0</v>
      </c>
      <c r="AK263" s="474">
        <v>7195933</v>
      </c>
      <c r="AM263" s="307">
        <v>11362000</v>
      </c>
    </row>
    <row r="264" spans="1:50" ht="15" hidden="1" customHeight="1" x14ac:dyDescent="0.25">
      <c r="A264" s="475" t="s">
        <v>2591</v>
      </c>
      <c r="B264" s="476">
        <v>37260000</v>
      </c>
      <c r="C264" s="213" t="s">
        <v>2909</v>
      </c>
      <c r="D264" s="312">
        <v>259</v>
      </c>
      <c r="E264" s="312">
        <v>20211400001553</v>
      </c>
      <c r="F264" s="477">
        <v>44214</v>
      </c>
      <c r="G264" s="312" t="s">
        <v>2910</v>
      </c>
      <c r="H264" s="213" t="s">
        <v>2911</v>
      </c>
      <c r="I264" s="213" t="s">
        <v>184</v>
      </c>
      <c r="J264" s="474">
        <v>37260000</v>
      </c>
      <c r="K264" s="213" t="s">
        <v>138</v>
      </c>
      <c r="L264" s="213" t="s">
        <v>2915</v>
      </c>
      <c r="M264" s="213" t="s">
        <v>44</v>
      </c>
      <c r="N264" s="213" t="s">
        <v>45</v>
      </c>
      <c r="O264" s="213" t="s">
        <v>142</v>
      </c>
      <c r="P264" s="213" t="s">
        <v>43</v>
      </c>
      <c r="R264" s="213">
        <v>67</v>
      </c>
      <c r="S264" s="477">
        <v>44214</v>
      </c>
      <c r="T264" s="213" t="s">
        <v>3552</v>
      </c>
      <c r="U264" s="474">
        <f>37260000-1260000</f>
        <v>36000000</v>
      </c>
      <c r="V264" s="407">
        <v>1260000</v>
      </c>
      <c r="W264" s="363" t="s">
        <v>1757</v>
      </c>
      <c r="X264" s="309">
        <v>261</v>
      </c>
      <c r="Y264" s="481">
        <v>44266</v>
      </c>
      <c r="Z264" s="481">
        <v>44266</v>
      </c>
      <c r="AA264" s="481">
        <v>44511</v>
      </c>
      <c r="AB264" s="482" t="s">
        <v>2913</v>
      </c>
      <c r="AC264" s="212">
        <v>187</v>
      </c>
      <c r="AD264" s="482" t="s">
        <v>3553</v>
      </c>
      <c r="AE264" s="483" t="s">
        <v>3554</v>
      </c>
      <c r="AF264" s="472">
        <v>36000000</v>
      </c>
      <c r="AG264" s="473">
        <f>+U264-AF264</f>
        <v>0</v>
      </c>
      <c r="AK264" s="474">
        <v>3000000</v>
      </c>
      <c r="AL264" s="474">
        <v>4500000</v>
      </c>
      <c r="AM264" s="307">
        <v>4500000</v>
      </c>
    </row>
    <row r="265" spans="1:50" s="313" customFormat="1" ht="15" hidden="1" customHeight="1" x14ac:dyDescent="0.25">
      <c r="A265" s="362" t="s">
        <v>3555</v>
      </c>
      <c r="B265" s="418">
        <v>58300000</v>
      </c>
      <c r="C265" s="313" t="s">
        <v>2909</v>
      </c>
      <c r="D265" s="326">
        <v>260</v>
      </c>
      <c r="E265" s="326">
        <v>20215000008973</v>
      </c>
      <c r="F265" s="316">
        <v>44245</v>
      </c>
      <c r="G265" s="326" t="s">
        <v>2903</v>
      </c>
      <c r="H265" s="313" t="s">
        <v>2904</v>
      </c>
      <c r="I265" s="313" t="s">
        <v>228</v>
      </c>
      <c r="J265" s="406">
        <v>58300000</v>
      </c>
      <c r="K265" s="313" t="s">
        <v>223</v>
      </c>
      <c r="L265" s="313" t="s">
        <v>3021</v>
      </c>
      <c r="M265" s="313" t="s">
        <v>44</v>
      </c>
      <c r="N265" s="313" t="s">
        <v>45</v>
      </c>
      <c r="O265" s="313" t="s">
        <v>63</v>
      </c>
      <c r="P265" s="313" t="s">
        <v>678</v>
      </c>
      <c r="R265" s="361">
        <v>273</v>
      </c>
      <c r="S265" s="364">
        <v>44246</v>
      </c>
      <c r="T265" s="361" t="s">
        <v>3556</v>
      </c>
      <c r="U265" s="406">
        <f>58300000-58300000</f>
        <v>0</v>
      </c>
      <c r="V265" s="412">
        <v>58300000</v>
      </c>
      <c r="W265" s="398"/>
      <c r="X265" s="315"/>
      <c r="Y265" s="359"/>
      <c r="Z265" s="359"/>
      <c r="AA265" s="359"/>
      <c r="AB265" s="318"/>
      <c r="AC265" s="317"/>
      <c r="AD265" s="318"/>
      <c r="AF265" s="411"/>
      <c r="AG265" s="319">
        <f>+U265-AF265</f>
        <v>0</v>
      </c>
      <c r="AH265" s="406"/>
      <c r="AI265" s="406"/>
      <c r="AJ265" s="406"/>
      <c r="AK265" s="406"/>
      <c r="AL265" s="406"/>
      <c r="AM265" s="213"/>
    </row>
    <row r="266" spans="1:50" ht="15" hidden="1" customHeight="1" x14ac:dyDescent="0.25">
      <c r="A266" s="475" t="s">
        <v>2849</v>
      </c>
      <c r="B266" s="476">
        <v>22400000</v>
      </c>
      <c r="C266" s="213" t="s">
        <v>2909</v>
      </c>
      <c r="D266" s="312">
        <v>261</v>
      </c>
      <c r="E266" s="310">
        <v>20213000009213</v>
      </c>
      <c r="F266" s="477">
        <v>44252</v>
      </c>
      <c r="G266" s="312" t="s">
        <v>2903</v>
      </c>
      <c r="H266" s="213" t="s">
        <v>2904</v>
      </c>
      <c r="I266" s="213" t="s">
        <v>432</v>
      </c>
      <c r="J266" s="474">
        <v>22400000</v>
      </c>
      <c r="K266" s="213" t="s">
        <v>342</v>
      </c>
      <c r="L266" s="213" t="s">
        <v>351</v>
      </c>
      <c r="M266" s="213" t="s">
        <v>44</v>
      </c>
      <c r="N266" s="213" t="s">
        <v>45</v>
      </c>
      <c r="O266" s="213" t="s">
        <v>63</v>
      </c>
      <c r="P266" s="213" t="s">
        <v>678</v>
      </c>
      <c r="R266" s="483">
        <v>300</v>
      </c>
      <c r="S266" s="487">
        <v>44252</v>
      </c>
      <c r="T266" s="483" t="s">
        <v>3557</v>
      </c>
      <c r="U266" s="474">
        <v>22400000</v>
      </c>
      <c r="V266" s="407"/>
      <c r="W266" s="363"/>
      <c r="X266" s="309">
        <v>262</v>
      </c>
      <c r="Y266" s="481">
        <v>44266</v>
      </c>
      <c r="Z266" s="481">
        <v>44266</v>
      </c>
      <c r="AA266" s="481">
        <v>44511</v>
      </c>
      <c r="AB266" s="482" t="s">
        <v>2913</v>
      </c>
      <c r="AC266" s="212">
        <v>185</v>
      </c>
      <c r="AD266" s="482" t="s">
        <v>3558</v>
      </c>
      <c r="AE266" s="483" t="s">
        <v>3281</v>
      </c>
      <c r="AF266" s="472">
        <v>22400000</v>
      </c>
      <c r="AG266" s="473">
        <f>+U266-AF266</f>
        <v>0</v>
      </c>
      <c r="AK266" s="474">
        <v>1773333</v>
      </c>
      <c r="AL266" s="474">
        <v>2800000</v>
      </c>
      <c r="AM266" s="307">
        <v>2053333</v>
      </c>
    </row>
    <row r="267" spans="1:50" s="313" customFormat="1" ht="15" hidden="1" customHeight="1" x14ac:dyDescent="0.25">
      <c r="A267" s="362" t="s">
        <v>2520</v>
      </c>
      <c r="B267" s="418">
        <v>60000000</v>
      </c>
      <c r="C267" s="313" t="s">
        <v>3025</v>
      </c>
      <c r="D267" s="326">
        <v>262</v>
      </c>
      <c r="E267" s="326">
        <v>20217000009273</v>
      </c>
      <c r="F267" s="316">
        <v>44246</v>
      </c>
      <c r="G267" s="326" t="s">
        <v>2910</v>
      </c>
      <c r="H267" s="313" t="s">
        <v>2911</v>
      </c>
      <c r="I267" s="313" t="s">
        <v>164</v>
      </c>
      <c r="J267" s="406">
        <v>58145664</v>
      </c>
      <c r="K267" s="313" t="s">
        <v>138</v>
      </c>
      <c r="L267" s="313" t="s">
        <v>139</v>
      </c>
      <c r="M267" s="313" t="s">
        <v>44</v>
      </c>
      <c r="N267" s="313" t="s">
        <v>45</v>
      </c>
      <c r="O267" s="313" t="s">
        <v>142</v>
      </c>
      <c r="P267" s="313" t="s">
        <v>43</v>
      </c>
      <c r="R267" s="361">
        <v>277</v>
      </c>
      <c r="S267" s="364">
        <v>44246</v>
      </c>
      <c r="T267" s="361" t="s">
        <v>3458</v>
      </c>
      <c r="U267" s="406">
        <f>58145664-58145664</f>
        <v>0</v>
      </c>
      <c r="V267" s="407">
        <v>58145664</v>
      </c>
      <c r="W267" s="363"/>
      <c r="X267" s="315"/>
      <c r="Y267" s="359"/>
      <c r="Z267" s="359"/>
      <c r="AA267" s="359"/>
      <c r="AB267" s="318"/>
      <c r="AC267" s="317"/>
      <c r="AD267" s="318"/>
      <c r="AF267" s="411"/>
      <c r="AG267" s="319">
        <f>+U267-AF267</f>
        <v>0</v>
      </c>
      <c r="AH267" s="406"/>
      <c r="AI267" s="406"/>
      <c r="AJ267" s="406"/>
      <c r="AK267" s="406"/>
      <c r="AL267" s="406"/>
      <c r="AM267" s="213"/>
    </row>
    <row r="268" spans="1:50" ht="15" hidden="1" customHeight="1" x14ac:dyDescent="0.25">
      <c r="A268" s="475" t="s">
        <v>2682</v>
      </c>
      <c r="B268" s="476">
        <v>44064000</v>
      </c>
      <c r="C268" s="213" t="s">
        <v>2909</v>
      </c>
      <c r="D268" s="312">
        <v>263</v>
      </c>
      <c r="E268" s="310">
        <v>20212000011393</v>
      </c>
      <c r="F268" s="477">
        <v>44258</v>
      </c>
      <c r="G268" s="312" t="s">
        <v>2903</v>
      </c>
      <c r="H268" s="213" t="s">
        <v>2904</v>
      </c>
      <c r="I268" s="213" t="s">
        <v>391</v>
      </c>
      <c r="J268" s="474">
        <v>28560000</v>
      </c>
      <c r="K268" s="211" t="s">
        <v>2974</v>
      </c>
      <c r="L268" s="213" t="s">
        <v>2975</v>
      </c>
      <c r="M268" s="213" t="s">
        <v>44</v>
      </c>
      <c r="N268" s="213" t="s">
        <v>45</v>
      </c>
      <c r="O268" s="213" t="s">
        <v>63</v>
      </c>
      <c r="P268" s="213" t="s">
        <v>678</v>
      </c>
      <c r="R268" s="213">
        <v>326</v>
      </c>
      <c r="S268" s="487">
        <v>44258</v>
      </c>
      <c r="T268" s="483" t="s">
        <v>3559</v>
      </c>
      <c r="U268" s="474">
        <v>28560000</v>
      </c>
      <c r="V268" s="407"/>
      <c r="W268" s="363"/>
      <c r="X268" s="309">
        <v>263</v>
      </c>
      <c r="Y268" s="481">
        <v>44267</v>
      </c>
      <c r="Z268" s="481">
        <v>44267</v>
      </c>
      <c r="AA268" s="481">
        <v>44389</v>
      </c>
      <c r="AB268" s="482" t="s">
        <v>2913</v>
      </c>
      <c r="AC268" s="212">
        <v>189</v>
      </c>
      <c r="AD268" s="482" t="s">
        <v>3560</v>
      </c>
      <c r="AE268" s="483" t="s">
        <v>3561</v>
      </c>
      <c r="AF268" s="472">
        <v>28560000</v>
      </c>
      <c r="AK268" s="474">
        <v>3570000</v>
      </c>
      <c r="AL268" s="474">
        <v>7140000</v>
      </c>
      <c r="AM268" s="307">
        <v>7140000</v>
      </c>
    </row>
    <row r="269" spans="1:50" s="313" customFormat="1" ht="15.75" hidden="1" customHeight="1" x14ac:dyDescent="0.25">
      <c r="A269" s="475"/>
      <c r="B269" s="498" t="s">
        <v>2946</v>
      </c>
      <c r="C269" s="507" t="s">
        <v>3562</v>
      </c>
      <c r="D269" s="326">
        <v>264</v>
      </c>
      <c r="E269" s="326">
        <v>20215000009113</v>
      </c>
      <c r="F269" s="316">
        <v>44249</v>
      </c>
      <c r="G269" s="326" t="s">
        <v>2903</v>
      </c>
      <c r="H269" s="313" t="s">
        <v>2904</v>
      </c>
      <c r="I269" s="313" t="s">
        <v>228</v>
      </c>
      <c r="J269" s="406">
        <v>114229680</v>
      </c>
      <c r="K269" s="313" t="s">
        <v>223</v>
      </c>
      <c r="L269" s="313" t="s">
        <v>236</v>
      </c>
      <c r="M269" s="313" t="s">
        <v>44</v>
      </c>
      <c r="N269" s="313" t="s">
        <v>45</v>
      </c>
      <c r="O269" s="313" t="s">
        <v>265</v>
      </c>
      <c r="P269" s="313" t="s">
        <v>678</v>
      </c>
      <c r="Q269" s="313" t="s">
        <v>3563</v>
      </c>
      <c r="S269" s="316"/>
      <c r="U269" s="474"/>
      <c r="V269" s="407"/>
      <c r="W269" s="363"/>
      <c r="X269" s="315"/>
      <c r="Y269" s="359"/>
      <c r="Z269" s="359"/>
      <c r="AA269" s="359"/>
      <c r="AB269" s="318"/>
      <c r="AC269" s="317"/>
      <c r="AD269" s="318"/>
      <c r="AF269" s="472"/>
      <c r="AG269" s="473">
        <f>+U269-AF269</f>
        <v>0</v>
      </c>
      <c r="AH269" s="406"/>
      <c r="AI269" s="406"/>
      <c r="AJ269" s="474"/>
      <c r="AK269" s="474"/>
      <c r="AL269" s="474"/>
      <c r="AM269" s="213"/>
    </row>
    <row r="270" spans="1:50" s="211" customFormat="1" ht="15.75" hidden="1" customHeight="1" x14ac:dyDescent="0.25">
      <c r="A270" s="475"/>
      <c r="B270" s="498" t="s">
        <v>2946</v>
      </c>
      <c r="C270" s="514" t="s">
        <v>3564</v>
      </c>
      <c r="D270" s="310">
        <v>265</v>
      </c>
      <c r="E270" s="312">
        <v>20211200013063</v>
      </c>
      <c r="F270" s="477">
        <v>44264</v>
      </c>
      <c r="G270" s="312" t="s">
        <v>2910</v>
      </c>
      <c r="H270" s="213" t="s">
        <v>2911</v>
      </c>
      <c r="I270" s="213" t="s">
        <v>143</v>
      </c>
      <c r="J270" s="474">
        <v>11401390</v>
      </c>
      <c r="K270" s="213" t="s">
        <v>138</v>
      </c>
      <c r="L270" s="213" t="s">
        <v>139</v>
      </c>
      <c r="M270" s="213" t="s">
        <v>44</v>
      </c>
      <c r="N270" s="213" t="s">
        <v>45</v>
      </c>
      <c r="O270" s="213" t="s">
        <v>142</v>
      </c>
      <c r="P270" s="213" t="s">
        <v>43</v>
      </c>
      <c r="Q270" s="213"/>
      <c r="R270" s="213">
        <v>347</v>
      </c>
      <c r="S270" s="487">
        <v>44264</v>
      </c>
      <c r="T270" s="483" t="s">
        <v>3565</v>
      </c>
      <c r="U270" s="474">
        <v>11401390</v>
      </c>
      <c r="V270" s="407"/>
      <c r="W270" s="363"/>
      <c r="X270" s="309">
        <v>264</v>
      </c>
      <c r="Y270" s="481">
        <v>44267</v>
      </c>
      <c r="Z270" s="481">
        <v>44269</v>
      </c>
      <c r="AA270" s="481">
        <v>44334</v>
      </c>
      <c r="AB270" s="482" t="s">
        <v>2913</v>
      </c>
      <c r="AC270" s="212">
        <v>492</v>
      </c>
      <c r="AD270" s="482" t="s">
        <v>3566</v>
      </c>
      <c r="AE270" s="483" t="s">
        <v>3567</v>
      </c>
      <c r="AF270" s="472">
        <v>11401390</v>
      </c>
      <c r="AG270" s="213"/>
      <c r="AH270" s="474"/>
      <c r="AI270" s="474"/>
      <c r="AJ270" s="474"/>
      <c r="AK270" s="474">
        <v>5262180</v>
      </c>
      <c r="AL270" s="474">
        <v>5262180</v>
      </c>
      <c r="AM270" s="213"/>
      <c r="AN270" s="213"/>
      <c r="AO270" s="213"/>
      <c r="AP270" s="213"/>
      <c r="AQ270" s="213"/>
      <c r="AR270" s="213"/>
      <c r="AS270" s="213"/>
      <c r="AT270" s="213"/>
      <c r="AU270" s="213"/>
      <c r="AV270" s="213"/>
      <c r="AW270" s="213"/>
      <c r="AX270" s="213"/>
    </row>
    <row r="271" spans="1:50" s="211" customFormat="1" ht="15.75" hidden="1" customHeight="1" x14ac:dyDescent="0.25">
      <c r="A271" s="475"/>
      <c r="B271" s="498" t="s">
        <v>2946</v>
      </c>
      <c r="C271" s="515" t="s">
        <v>3568</v>
      </c>
      <c r="D271" s="310">
        <v>266</v>
      </c>
      <c r="E271" s="310">
        <v>20212000009583</v>
      </c>
      <c r="F271" s="311">
        <v>44249</v>
      </c>
      <c r="G271" s="310" t="s">
        <v>2903</v>
      </c>
      <c r="H271" s="211" t="s">
        <v>2904</v>
      </c>
      <c r="I271" s="213" t="s">
        <v>391</v>
      </c>
      <c r="J271" s="408">
        <v>2304653299</v>
      </c>
      <c r="K271" s="211" t="s">
        <v>2974</v>
      </c>
      <c r="L271" s="211" t="s">
        <v>3569</v>
      </c>
      <c r="M271" s="211" t="s">
        <v>44</v>
      </c>
      <c r="N271" s="211" t="s">
        <v>45</v>
      </c>
      <c r="O271" s="213" t="s">
        <v>46</v>
      </c>
      <c r="P271" s="211" t="s">
        <v>678</v>
      </c>
      <c r="R271" s="483">
        <v>281</v>
      </c>
      <c r="S271" s="487">
        <v>44249</v>
      </c>
      <c r="T271" s="483" t="s">
        <v>3570</v>
      </c>
      <c r="U271" s="474">
        <v>2304653299</v>
      </c>
      <c r="V271" s="407"/>
      <c r="W271" s="363"/>
      <c r="X271" s="480">
        <v>196</v>
      </c>
      <c r="Y271" s="481">
        <v>44253</v>
      </c>
      <c r="Z271" s="481">
        <v>44256</v>
      </c>
      <c r="AA271" s="481">
        <v>44561</v>
      </c>
      <c r="AB271" s="482" t="s">
        <v>3100</v>
      </c>
      <c r="AC271" s="480">
        <v>460</v>
      </c>
      <c r="AD271" s="482">
        <v>901272929</v>
      </c>
      <c r="AE271" s="483" t="s">
        <v>3571</v>
      </c>
      <c r="AF271" s="472">
        <v>2304653299</v>
      </c>
      <c r="AG271" s="473">
        <f>+U271-AF271</f>
        <v>0</v>
      </c>
      <c r="AH271" s="408"/>
      <c r="AI271" s="408"/>
      <c r="AJ271" s="474"/>
      <c r="AK271" s="474"/>
      <c r="AL271" s="474"/>
      <c r="AM271" s="213"/>
    </row>
    <row r="272" spans="1:50" s="211" customFormat="1" ht="15" hidden="1" customHeight="1" x14ac:dyDescent="0.25">
      <c r="A272" s="475" t="s">
        <v>2783</v>
      </c>
      <c r="B272" s="476">
        <v>72000000</v>
      </c>
      <c r="C272" s="213" t="s">
        <v>2909</v>
      </c>
      <c r="D272" s="310">
        <v>267</v>
      </c>
      <c r="E272" s="310">
        <v>20213000008953</v>
      </c>
      <c r="F272" s="477">
        <v>44245</v>
      </c>
      <c r="G272" s="312" t="s">
        <v>2903</v>
      </c>
      <c r="H272" s="213" t="s">
        <v>2904</v>
      </c>
      <c r="I272" s="213" t="s">
        <v>432</v>
      </c>
      <c r="J272" s="474">
        <v>72000000</v>
      </c>
      <c r="K272" s="213" t="s">
        <v>358</v>
      </c>
      <c r="L272" s="213" t="s">
        <v>3054</v>
      </c>
      <c r="M272" s="213" t="s">
        <v>44</v>
      </c>
      <c r="N272" s="213" t="s">
        <v>45</v>
      </c>
      <c r="O272" s="213" t="s">
        <v>63</v>
      </c>
      <c r="P272" s="213" t="s">
        <v>678</v>
      </c>
      <c r="Q272" s="213"/>
      <c r="R272" s="483">
        <v>272</v>
      </c>
      <c r="S272" s="487">
        <v>44246</v>
      </c>
      <c r="T272" s="483" t="s">
        <v>3572</v>
      </c>
      <c r="U272" s="474">
        <v>72000000</v>
      </c>
      <c r="V272" s="407"/>
      <c r="W272" s="363"/>
      <c r="X272" s="309">
        <v>265</v>
      </c>
      <c r="Y272" s="481">
        <v>44270</v>
      </c>
      <c r="Z272" s="481">
        <v>44270</v>
      </c>
      <c r="AA272" s="481">
        <v>44515</v>
      </c>
      <c r="AB272" s="482" t="s">
        <v>2913</v>
      </c>
      <c r="AC272" s="212">
        <v>191</v>
      </c>
      <c r="AD272" s="482" t="s">
        <v>3573</v>
      </c>
      <c r="AE272" s="483" t="s">
        <v>3574</v>
      </c>
      <c r="AF272" s="472">
        <v>72000000</v>
      </c>
      <c r="AG272" s="473">
        <f>+U272-AF272</f>
        <v>0</v>
      </c>
      <c r="AH272" s="474"/>
      <c r="AI272" s="474"/>
      <c r="AJ272" s="474"/>
      <c r="AK272" s="474">
        <v>4500000</v>
      </c>
      <c r="AL272" s="474">
        <v>9000000</v>
      </c>
      <c r="AM272" s="307">
        <v>9000000</v>
      </c>
      <c r="AN272" s="213"/>
      <c r="AO272" s="213"/>
      <c r="AP272" s="213"/>
      <c r="AQ272" s="213"/>
      <c r="AR272" s="213"/>
      <c r="AS272" s="213"/>
      <c r="AT272" s="213"/>
      <c r="AU272" s="213"/>
      <c r="AV272" s="213"/>
      <c r="AW272" s="213"/>
      <c r="AX272" s="213"/>
    </row>
    <row r="273" spans="1:39" s="313" customFormat="1" hidden="1" x14ac:dyDescent="0.25">
      <c r="A273" s="362" t="s">
        <v>3575</v>
      </c>
      <c r="B273" s="418">
        <v>36000000</v>
      </c>
      <c r="C273" s="313" t="s">
        <v>2909</v>
      </c>
      <c r="D273" s="326">
        <v>268</v>
      </c>
      <c r="E273" s="326">
        <v>20211400009723</v>
      </c>
      <c r="F273" s="316">
        <v>44250</v>
      </c>
      <c r="G273" s="326" t="s">
        <v>2910</v>
      </c>
      <c r="H273" s="313" t="s">
        <v>2911</v>
      </c>
      <c r="I273" s="313" t="s">
        <v>184</v>
      </c>
      <c r="J273" s="406">
        <v>36000000</v>
      </c>
      <c r="K273" s="313" t="s">
        <v>138</v>
      </c>
      <c r="L273" s="313" t="s">
        <v>2915</v>
      </c>
      <c r="M273" s="313" t="s">
        <v>44</v>
      </c>
      <c r="N273" s="313" t="s">
        <v>45</v>
      </c>
      <c r="O273" s="313" t="s">
        <v>142</v>
      </c>
      <c r="P273" s="313" t="s">
        <v>43</v>
      </c>
      <c r="R273" s="361">
        <v>283</v>
      </c>
      <c r="S273" s="364">
        <v>44250</v>
      </c>
      <c r="T273" s="361" t="s">
        <v>3576</v>
      </c>
      <c r="U273" s="406">
        <f>36000000-36000000</f>
        <v>0</v>
      </c>
      <c r="V273" s="407">
        <v>36000000</v>
      </c>
      <c r="W273" s="363"/>
      <c r="X273" s="315"/>
      <c r="Y273" s="359"/>
      <c r="Z273" s="359"/>
      <c r="AA273" s="359"/>
      <c r="AB273" s="318"/>
      <c r="AC273" s="317"/>
      <c r="AD273" s="318"/>
      <c r="AF273" s="411"/>
      <c r="AG273" s="319">
        <f>+U273-AF273</f>
        <v>0</v>
      </c>
      <c r="AH273" s="406"/>
      <c r="AI273" s="406"/>
      <c r="AJ273" s="406"/>
      <c r="AK273" s="406"/>
      <c r="AL273" s="406"/>
      <c r="AM273" s="213"/>
    </row>
    <row r="274" spans="1:39" s="313" customFormat="1" hidden="1" x14ac:dyDescent="0.25">
      <c r="A274" s="362" t="s">
        <v>2565</v>
      </c>
      <c r="B274" s="418">
        <v>32697000</v>
      </c>
      <c r="C274" s="313" t="s">
        <v>3577</v>
      </c>
      <c r="D274" s="326">
        <v>269</v>
      </c>
      <c r="E274" s="326">
        <v>20211400009713</v>
      </c>
      <c r="F274" s="316">
        <v>44250</v>
      </c>
      <c r="G274" s="326" t="s">
        <v>2910</v>
      </c>
      <c r="H274" s="313" t="s">
        <v>2911</v>
      </c>
      <c r="I274" s="313" t="s">
        <v>184</v>
      </c>
      <c r="J274" s="406">
        <v>32697000</v>
      </c>
      <c r="K274" s="313" t="s">
        <v>138</v>
      </c>
      <c r="L274" s="313" t="s">
        <v>2915</v>
      </c>
      <c r="M274" s="313" t="s">
        <v>3105</v>
      </c>
      <c r="N274" s="313" t="s">
        <v>157</v>
      </c>
      <c r="O274" s="313" t="s">
        <v>158</v>
      </c>
      <c r="P274" s="313" t="s">
        <v>43</v>
      </c>
      <c r="Q274" s="313" t="s">
        <v>3563</v>
      </c>
      <c r="R274" s="361"/>
      <c r="S274" s="364"/>
      <c r="T274" s="361"/>
      <c r="U274" s="406"/>
      <c r="V274" s="407"/>
      <c r="W274" s="363"/>
      <c r="X274" s="315"/>
      <c r="Y274" s="359"/>
      <c r="Z274" s="359"/>
      <c r="AA274" s="359"/>
      <c r="AB274" s="318"/>
      <c r="AC274" s="317"/>
      <c r="AD274" s="318"/>
      <c r="AF274" s="411"/>
      <c r="AG274" s="319">
        <f>+U274-AF274</f>
        <v>0</v>
      </c>
      <c r="AH274" s="406"/>
      <c r="AI274" s="406"/>
      <c r="AJ274" s="406"/>
      <c r="AK274" s="406"/>
      <c r="AL274" s="406"/>
      <c r="AM274" s="213"/>
    </row>
    <row r="275" spans="1:39" hidden="1" x14ac:dyDescent="0.25">
      <c r="B275" s="498" t="s">
        <v>3279</v>
      </c>
      <c r="C275" s="213" t="s">
        <v>3578</v>
      </c>
      <c r="D275" s="312">
        <v>270</v>
      </c>
      <c r="E275" s="312">
        <v>20214000013073</v>
      </c>
      <c r="F275" s="311">
        <v>44265</v>
      </c>
      <c r="G275" s="312" t="s">
        <v>2943</v>
      </c>
      <c r="H275" s="213" t="s">
        <v>2944</v>
      </c>
      <c r="I275" s="213" t="s">
        <v>47</v>
      </c>
      <c r="J275" s="474">
        <v>15565001</v>
      </c>
      <c r="K275" s="213" t="s">
        <v>37</v>
      </c>
      <c r="L275" s="213" t="s">
        <v>81</v>
      </c>
      <c r="M275" s="213" t="s">
        <v>44</v>
      </c>
      <c r="N275" s="213" t="s">
        <v>45</v>
      </c>
      <c r="O275" s="213" t="s">
        <v>310</v>
      </c>
      <c r="P275" s="211" t="s">
        <v>77</v>
      </c>
      <c r="R275" s="213">
        <v>369</v>
      </c>
      <c r="S275" s="487">
        <v>44265</v>
      </c>
      <c r="T275" s="483" t="s">
        <v>3579</v>
      </c>
      <c r="U275" s="474">
        <v>15565001</v>
      </c>
      <c r="V275" s="407"/>
      <c r="W275" s="363"/>
      <c r="X275" s="309">
        <v>266</v>
      </c>
      <c r="Y275" s="481">
        <v>44270</v>
      </c>
      <c r="Z275" s="481">
        <v>44270</v>
      </c>
      <c r="AA275" s="481">
        <v>44272</v>
      </c>
      <c r="AB275" s="482" t="s">
        <v>2933</v>
      </c>
      <c r="AC275" s="212">
        <v>689</v>
      </c>
      <c r="AD275" s="482" t="s">
        <v>3580</v>
      </c>
      <c r="AE275" s="483" t="s">
        <v>3581</v>
      </c>
      <c r="AF275" s="472">
        <v>15565001</v>
      </c>
      <c r="AL275" s="474">
        <v>14008499</v>
      </c>
      <c r="AM275" s="213"/>
    </row>
    <row r="276" spans="1:39" hidden="1" x14ac:dyDescent="0.25">
      <c r="A276" s="475" t="s">
        <v>2781</v>
      </c>
      <c r="B276" s="476">
        <v>60000000</v>
      </c>
      <c r="C276" s="213" t="s">
        <v>2909</v>
      </c>
      <c r="D276" s="312">
        <v>271</v>
      </c>
      <c r="E276" s="310">
        <v>20213000010793</v>
      </c>
      <c r="F276" s="477">
        <v>44253</v>
      </c>
      <c r="G276" s="312" t="s">
        <v>2903</v>
      </c>
      <c r="H276" s="213" t="s">
        <v>2904</v>
      </c>
      <c r="I276" s="213" t="s">
        <v>432</v>
      </c>
      <c r="J276" s="474">
        <v>60000000</v>
      </c>
      <c r="K276" s="213" t="s">
        <v>342</v>
      </c>
      <c r="L276" s="213" t="s">
        <v>351</v>
      </c>
      <c r="M276" s="213" t="s">
        <v>44</v>
      </c>
      <c r="N276" s="213" t="s">
        <v>45</v>
      </c>
      <c r="O276" s="213" t="s">
        <v>63</v>
      </c>
      <c r="P276" s="213" t="s">
        <v>678</v>
      </c>
      <c r="R276" s="213">
        <v>309</v>
      </c>
      <c r="S276" s="477">
        <v>44256</v>
      </c>
      <c r="T276" s="213" t="s">
        <v>3582</v>
      </c>
      <c r="U276" s="474">
        <v>60000000</v>
      </c>
      <c r="V276" s="407"/>
      <c r="W276" s="363"/>
      <c r="X276" s="480" t="s">
        <v>3583</v>
      </c>
      <c r="Y276" s="481">
        <v>44271</v>
      </c>
      <c r="Z276" s="481">
        <v>44271</v>
      </c>
      <c r="AA276" s="481">
        <v>44516</v>
      </c>
      <c r="AB276" s="482" t="s">
        <v>2913</v>
      </c>
      <c r="AC276" s="480" t="s">
        <v>3584</v>
      </c>
      <c r="AD276" s="482" t="s">
        <v>3585</v>
      </c>
      <c r="AE276" s="483" t="s">
        <v>3586</v>
      </c>
      <c r="AF276" s="472">
        <v>60000000</v>
      </c>
      <c r="AG276" s="473">
        <f>+U276-AF276</f>
        <v>0</v>
      </c>
      <c r="AK276" s="474">
        <v>3750000</v>
      </c>
      <c r="AL276" s="474">
        <v>7500000</v>
      </c>
      <c r="AM276" s="307">
        <v>7500000</v>
      </c>
    </row>
    <row r="277" spans="1:39" ht="15.75" hidden="1" x14ac:dyDescent="0.25">
      <c r="B277" s="498" t="s">
        <v>2946</v>
      </c>
      <c r="C277" s="512" t="s">
        <v>3587</v>
      </c>
      <c r="D277" s="312">
        <v>272</v>
      </c>
      <c r="E277" s="310">
        <v>20217000009783</v>
      </c>
      <c r="F277" s="311">
        <v>44250</v>
      </c>
      <c r="G277" s="312" t="s">
        <v>2910</v>
      </c>
      <c r="H277" s="213" t="s">
        <v>2911</v>
      </c>
      <c r="I277" s="213" t="s">
        <v>164</v>
      </c>
      <c r="J277" s="474">
        <v>6320181</v>
      </c>
      <c r="K277" s="213" t="s">
        <v>138</v>
      </c>
      <c r="L277" s="213" t="s">
        <v>139</v>
      </c>
      <c r="M277" s="213" t="s">
        <v>44</v>
      </c>
      <c r="N277" s="213" t="s">
        <v>45</v>
      </c>
      <c r="O277" s="213" t="s">
        <v>142</v>
      </c>
      <c r="P277" s="213" t="s">
        <v>43</v>
      </c>
      <c r="R277" s="483">
        <v>286</v>
      </c>
      <c r="S277" s="487">
        <v>44250</v>
      </c>
      <c r="T277" s="483" t="s">
        <v>3588</v>
      </c>
      <c r="U277" s="474">
        <v>6320181</v>
      </c>
      <c r="V277" s="407"/>
      <c r="W277" s="363"/>
      <c r="X277" s="480" t="s">
        <v>3589</v>
      </c>
      <c r="Y277" s="481">
        <v>44285</v>
      </c>
      <c r="Z277" s="481">
        <v>44286</v>
      </c>
      <c r="AA277" s="481">
        <v>44339</v>
      </c>
      <c r="AB277" s="482" t="s">
        <v>2913</v>
      </c>
      <c r="AC277" s="480" t="s">
        <v>3590</v>
      </c>
      <c r="AD277" s="482" t="s">
        <v>3591</v>
      </c>
      <c r="AE277" s="483" t="s">
        <v>3592</v>
      </c>
      <c r="AF277" s="472">
        <v>6320181</v>
      </c>
      <c r="AG277" s="473">
        <f>+U277-AF277</f>
        <v>0</v>
      </c>
      <c r="AL277" s="474">
        <v>3511212</v>
      </c>
      <c r="AM277" s="307">
        <v>2691929</v>
      </c>
    </row>
    <row r="278" spans="1:39" ht="15.75" hidden="1" x14ac:dyDescent="0.25">
      <c r="B278" s="498" t="s">
        <v>2946</v>
      </c>
      <c r="C278" s="512" t="s">
        <v>3593</v>
      </c>
      <c r="D278" s="312">
        <v>273</v>
      </c>
      <c r="E278" s="310">
        <v>20217000009843</v>
      </c>
      <c r="F278" s="311">
        <v>44250</v>
      </c>
      <c r="G278" s="312" t="s">
        <v>2910</v>
      </c>
      <c r="H278" s="213" t="s">
        <v>2911</v>
      </c>
      <c r="I278" s="213" t="s">
        <v>164</v>
      </c>
      <c r="J278" s="474">
        <v>9400000</v>
      </c>
      <c r="K278" s="213" t="s">
        <v>138</v>
      </c>
      <c r="L278" s="213" t="s">
        <v>139</v>
      </c>
      <c r="M278" s="213" t="s">
        <v>44</v>
      </c>
      <c r="N278" s="213" t="s">
        <v>45</v>
      </c>
      <c r="O278" s="213" t="s">
        <v>142</v>
      </c>
      <c r="P278" s="213" t="s">
        <v>43</v>
      </c>
      <c r="R278" s="483">
        <v>287</v>
      </c>
      <c r="S278" s="487">
        <v>44250</v>
      </c>
      <c r="T278" s="483" t="s">
        <v>3594</v>
      </c>
      <c r="U278" s="474">
        <v>9400000</v>
      </c>
      <c r="V278" s="407"/>
      <c r="W278" s="363"/>
      <c r="X278" s="480">
        <v>204</v>
      </c>
      <c r="Y278" s="481">
        <v>44253</v>
      </c>
      <c r="Z278" s="481">
        <v>44256</v>
      </c>
      <c r="AA278" s="481">
        <v>44316</v>
      </c>
      <c r="AB278" s="482" t="s">
        <v>2913</v>
      </c>
      <c r="AC278" s="480">
        <v>485</v>
      </c>
      <c r="AD278" s="482">
        <v>80021844</v>
      </c>
      <c r="AE278" s="483" t="s">
        <v>3595</v>
      </c>
      <c r="AF278" s="472">
        <v>9400000</v>
      </c>
      <c r="AG278" s="473">
        <f>+U278-AF278</f>
        <v>0</v>
      </c>
      <c r="AK278" s="474">
        <v>4700000</v>
      </c>
      <c r="AL278" s="474">
        <v>4700000</v>
      </c>
      <c r="AM278" s="213"/>
    </row>
    <row r="279" spans="1:39" ht="15.75" hidden="1" x14ac:dyDescent="0.25">
      <c r="B279" s="498" t="s">
        <v>3279</v>
      </c>
      <c r="C279" s="512" t="s">
        <v>3596</v>
      </c>
      <c r="D279" s="312">
        <v>274</v>
      </c>
      <c r="E279" s="310">
        <v>20211200009973</v>
      </c>
      <c r="F279" s="477">
        <v>44251</v>
      </c>
      <c r="G279" s="312" t="s">
        <v>2910</v>
      </c>
      <c r="H279" s="213" t="s">
        <v>2911</v>
      </c>
      <c r="I279" s="213" t="s">
        <v>143</v>
      </c>
      <c r="J279" s="474">
        <v>4500000</v>
      </c>
      <c r="K279" s="213" t="s">
        <v>138</v>
      </c>
      <c r="L279" s="213" t="s">
        <v>139</v>
      </c>
      <c r="M279" s="213" t="s">
        <v>44</v>
      </c>
      <c r="N279" s="213" t="s">
        <v>45</v>
      </c>
      <c r="O279" s="213" t="s">
        <v>142</v>
      </c>
      <c r="P279" s="213" t="s">
        <v>43</v>
      </c>
      <c r="R279" s="483">
        <v>291</v>
      </c>
      <c r="S279" s="487">
        <v>44251</v>
      </c>
      <c r="T279" s="483" t="s">
        <v>3597</v>
      </c>
      <c r="U279" s="474">
        <v>4500000</v>
      </c>
      <c r="V279" s="407"/>
      <c r="W279" s="363"/>
      <c r="X279" s="480">
        <v>205</v>
      </c>
      <c r="Y279" s="481">
        <v>44253</v>
      </c>
      <c r="Z279" s="481">
        <v>44256</v>
      </c>
      <c r="AA279" s="481">
        <v>44286</v>
      </c>
      <c r="AB279" s="482" t="s">
        <v>2913</v>
      </c>
      <c r="AC279" s="480">
        <v>768</v>
      </c>
      <c r="AD279" s="482">
        <v>52833154</v>
      </c>
      <c r="AE279" s="483" t="s">
        <v>3598</v>
      </c>
      <c r="AF279" s="472">
        <v>4500000</v>
      </c>
      <c r="AG279" s="473">
        <f>+U279-AF279</f>
        <v>0</v>
      </c>
      <c r="AK279" s="474">
        <v>4500000</v>
      </c>
      <c r="AM279" s="213"/>
    </row>
    <row r="280" spans="1:39" ht="15.75" hidden="1" x14ac:dyDescent="0.25">
      <c r="B280" s="498"/>
      <c r="C280" s="516" t="s">
        <v>3599</v>
      </c>
      <c r="D280" s="312">
        <v>275</v>
      </c>
      <c r="E280" s="312">
        <v>20212000012583</v>
      </c>
      <c r="F280" s="477">
        <v>44263</v>
      </c>
      <c r="G280" s="312" t="s">
        <v>2903</v>
      </c>
      <c r="H280" s="213" t="s">
        <v>2904</v>
      </c>
      <c r="I280" s="213" t="s">
        <v>391</v>
      </c>
      <c r="J280" s="474">
        <v>1120863564</v>
      </c>
      <c r="K280" s="213" t="s">
        <v>426</v>
      </c>
      <c r="L280" s="213" t="s">
        <v>427</v>
      </c>
      <c r="M280" s="213" t="s">
        <v>44</v>
      </c>
      <c r="N280" s="213" t="s">
        <v>45</v>
      </c>
      <c r="O280" s="213" t="s">
        <v>63</v>
      </c>
      <c r="P280" s="213" t="s">
        <v>678</v>
      </c>
      <c r="R280" s="213">
        <v>341</v>
      </c>
      <c r="S280" s="487">
        <v>44263</v>
      </c>
      <c r="T280" s="483" t="s">
        <v>3600</v>
      </c>
      <c r="U280" s="474">
        <v>1120863564</v>
      </c>
      <c r="V280" s="427"/>
      <c r="W280" s="517"/>
      <c r="X280" s="480" t="s">
        <v>3601</v>
      </c>
      <c r="Y280" s="481">
        <v>44271</v>
      </c>
      <c r="Z280" s="481">
        <v>44271</v>
      </c>
      <c r="AA280" s="481">
        <v>44561</v>
      </c>
      <c r="AB280" s="482" t="s">
        <v>3602</v>
      </c>
      <c r="AC280" s="480" t="s">
        <v>3603</v>
      </c>
      <c r="AD280" s="482" t="s">
        <v>3604</v>
      </c>
      <c r="AE280" s="483" t="s">
        <v>3605</v>
      </c>
      <c r="AF280" s="472">
        <v>1120863564</v>
      </c>
      <c r="AM280" s="213"/>
    </row>
    <row r="281" spans="1:39" ht="15.75" hidden="1" x14ac:dyDescent="0.25">
      <c r="B281" s="498" t="s">
        <v>3059</v>
      </c>
      <c r="C281" s="512" t="s">
        <v>3606</v>
      </c>
      <c r="D281" s="310">
        <v>276</v>
      </c>
      <c r="E281" s="310">
        <v>20214000009283</v>
      </c>
      <c r="F281" s="311">
        <v>44246</v>
      </c>
      <c r="G281" s="312" t="s">
        <v>2936</v>
      </c>
      <c r="H281" s="213" t="s">
        <v>2937</v>
      </c>
      <c r="I281" s="213" t="s">
        <v>117</v>
      </c>
      <c r="J281" s="474">
        <v>1410000000</v>
      </c>
      <c r="K281" s="213" t="s">
        <v>112</v>
      </c>
      <c r="L281" s="213" t="s">
        <v>113</v>
      </c>
      <c r="M281" s="213" t="s">
        <v>44</v>
      </c>
      <c r="N281" s="213" t="s">
        <v>45</v>
      </c>
      <c r="O281" s="213" t="s">
        <v>142</v>
      </c>
      <c r="P281" s="213" t="s">
        <v>43</v>
      </c>
      <c r="R281" s="483">
        <v>278</v>
      </c>
      <c r="S281" s="487">
        <v>44246</v>
      </c>
      <c r="T281" s="483" t="s">
        <v>3607</v>
      </c>
      <c r="U281" s="474">
        <v>1410000000</v>
      </c>
      <c r="V281" s="407"/>
      <c r="W281" s="363"/>
      <c r="X281" s="480">
        <v>271</v>
      </c>
      <c r="Y281" s="481">
        <v>44271</v>
      </c>
      <c r="Z281" s="481">
        <v>44287</v>
      </c>
      <c r="AA281" s="481">
        <v>44377</v>
      </c>
      <c r="AB281" s="482" t="s">
        <v>3100</v>
      </c>
      <c r="AC281" s="480" t="s">
        <v>3608</v>
      </c>
      <c r="AD281" s="482" t="s">
        <v>3609</v>
      </c>
      <c r="AE281" s="483" t="s">
        <v>3610</v>
      </c>
      <c r="AF281" s="472">
        <v>1410000000</v>
      </c>
      <c r="AG281" s="473">
        <f t="shared" ref="AG281:AG302" si="5">+U281-AF281</f>
        <v>0</v>
      </c>
      <c r="AM281" s="307">
        <v>470000000</v>
      </c>
    </row>
    <row r="282" spans="1:39" s="313" customFormat="1" hidden="1" x14ac:dyDescent="0.25">
      <c r="A282" s="362" t="s">
        <v>2246</v>
      </c>
      <c r="B282" s="418">
        <v>53148771</v>
      </c>
      <c r="C282" s="313" t="s">
        <v>2909</v>
      </c>
      <c r="D282" s="326">
        <v>277</v>
      </c>
      <c r="E282" s="326">
        <v>20217000010313</v>
      </c>
      <c r="F282" s="316">
        <v>44251</v>
      </c>
      <c r="G282" s="326" t="s">
        <v>2910</v>
      </c>
      <c r="H282" s="313" t="s">
        <v>2911</v>
      </c>
      <c r="I282" s="313" t="s">
        <v>164</v>
      </c>
      <c r="J282" s="406">
        <v>29072832</v>
      </c>
      <c r="K282" s="313" t="s">
        <v>138</v>
      </c>
      <c r="L282" s="313" t="s">
        <v>139</v>
      </c>
      <c r="M282" s="313" t="s">
        <v>44</v>
      </c>
      <c r="N282" s="313" t="s">
        <v>45</v>
      </c>
      <c r="O282" s="313" t="s">
        <v>142</v>
      </c>
      <c r="P282" s="313" t="s">
        <v>43</v>
      </c>
      <c r="R282" s="361">
        <v>294</v>
      </c>
      <c r="S282" s="364">
        <v>44251</v>
      </c>
      <c r="T282" s="361" t="s">
        <v>3611</v>
      </c>
      <c r="U282" s="406">
        <f>29072832-29072832</f>
        <v>0</v>
      </c>
      <c r="V282" s="407">
        <v>29072832</v>
      </c>
      <c r="W282" s="363"/>
      <c r="X282" s="315"/>
      <c r="Y282" s="359"/>
      <c r="Z282" s="359"/>
      <c r="AA282" s="359"/>
      <c r="AB282" s="318"/>
      <c r="AC282" s="317"/>
      <c r="AD282" s="318"/>
      <c r="AF282" s="411"/>
      <c r="AG282" s="319">
        <f t="shared" si="5"/>
        <v>0</v>
      </c>
      <c r="AH282" s="406"/>
      <c r="AI282" s="406"/>
      <c r="AJ282" s="406"/>
      <c r="AK282" s="406"/>
      <c r="AL282" s="406"/>
      <c r="AM282" s="213"/>
    </row>
    <row r="283" spans="1:39" hidden="1" x14ac:dyDescent="0.25">
      <c r="A283" s="475" t="s">
        <v>2280</v>
      </c>
      <c r="B283" s="476">
        <v>24530202</v>
      </c>
      <c r="C283" s="213" t="s">
        <v>2909</v>
      </c>
      <c r="D283" s="312">
        <v>278</v>
      </c>
      <c r="E283" s="310">
        <v>20217000010363</v>
      </c>
      <c r="F283" s="311">
        <v>44251</v>
      </c>
      <c r="G283" s="312" t="s">
        <v>2910</v>
      </c>
      <c r="H283" s="213" t="s">
        <v>2911</v>
      </c>
      <c r="I283" s="213" t="s">
        <v>164</v>
      </c>
      <c r="J283" s="474">
        <v>19079046</v>
      </c>
      <c r="K283" s="213" t="s">
        <v>138</v>
      </c>
      <c r="L283" s="213" t="s">
        <v>139</v>
      </c>
      <c r="M283" s="213" t="s">
        <v>44</v>
      </c>
      <c r="N283" s="213" t="s">
        <v>45</v>
      </c>
      <c r="O283" s="213" t="s">
        <v>142</v>
      </c>
      <c r="P283" s="213" t="s">
        <v>43</v>
      </c>
      <c r="R283" s="483">
        <v>296</v>
      </c>
      <c r="S283" s="487">
        <v>44251</v>
      </c>
      <c r="T283" s="483" t="s">
        <v>3612</v>
      </c>
      <c r="U283" s="474">
        <v>19079046</v>
      </c>
      <c r="V283" s="407"/>
      <c r="W283" s="363"/>
      <c r="X283" s="480" t="s">
        <v>3613</v>
      </c>
      <c r="Y283" s="481">
        <v>44286</v>
      </c>
      <c r="Z283" s="481">
        <v>44286</v>
      </c>
      <c r="AA283" s="481">
        <v>44500</v>
      </c>
      <c r="AB283" s="482" t="s">
        <v>2913</v>
      </c>
      <c r="AC283" s="480" t="s">
        <v>3583</v>
      </c>
      <c r="AD283" s="482" t="s">
        <v>3614</v>
      </c>
      <c r="AE283" s="483" t="s">
        <v>3615</v>
      </c>
      <c r="AF283" s="472">
        <v>19079046</v>
      </c>
      <c r="AG283" s="473">
        <f t="shared" si="5"/>
        <v>0</v>
      </c>
      <c r="AL283" s="474">
        <v>2362168</v>
      </c>
      <c r="AM283" s="307">
        <v>2725578</v>
      </c>
    </row>
    <row r="284" spans="1:39" hidden="1" x14ac:dyDescent="0.25">
      <c r="A284" s="475" t="s">
        <v>2242</v>
      </c>
      <c r="B284" s="476">
        <v>32706936</v>
      </c>
      <c r="C284" s="213" t="s">
        <v>2909</v>
      </c>
      <c r="D284" s="312">
        <v>279</v>
      </c>
      <c r="E284" s="310">
        <v>20217000010393</v>
      </c>
      <c r="F284" s="311">
        <v>44251</v>
      </c>
      <c r="G284" s="312" t="s">
        <v>2910</v>
      </c>
      <c r="H284" s="213" t="s">
        <v>2911</v>
      </c>
      <c r="I284" s="213" t="s">
        <v>164</v>
      </c>
      <c r="J284" s="474">
        <v>19079046</v>
      </c>
      <c r="K284" s="213" t="s">
        <v>138</v>
      </c>
      <c r="L284" s="213" t="s">
        <v>139</v>
      </c>
      <c r="M284" s="213" t="s">
        <v>44</v>
      </c>
      <c r="N284" s="213" t="s">
        <v>45</v>
      </c>
      <c r="O284" s="213" t="s">
        <v>142</v>
      </c>
      <c r="P284" s="213" t="s">
        <v>43</v>
      </c>
      <c r="R284" s="483">
        <v>298</v>
      </c>
      <c r="S284" s="487">
        <v>44251</v>
      </c>
      <c r="T284" s="483" t="s">
        <v>3616</v>
      </c>
      <c r="U284" s="474">
        <v>19079046</v>
      </c>
      <c r="V284" s="407"/>
      <c r="W284" s="363"/>
      <c r="X284" s="480" t="s">
        <v>3617</v>
      </c>
      <c r="Y284" s="481">
        <v>44292</v>
      </c>
      <c r="Z284" s="481">
        <v>44292</v>
      </c>
      <c r="AA284" s="481">
        <v>44506</v>
      </c>
      <c r="AB284" s="482" t="s">
        <v>2913</v>
      </c>
      <c r="AC284" s="480" t="s">
        <v>3618</v>
      </c>
      <c r="AD284" s="482" t="s">
        <v>3619</v>
      </c>
      <c r="AE284" s="483" t="s">
        <v>3620</v>
      </c>
      <c r="AF284" s="472">
        <v>19079046</v>
      </c>
      <c r="AG284" s="473">
        <f t="shared" si="5"/>
        <v>0</v>
      </c>
      <c r="AL284" s="474">
        <v>2271315</v>
      </c>
      <c r="AM284" s="307">
        <v>2725578</v>
      </c>
    </row>
    <row r="285" spans="1:39" hidden="1" x14ac:dyDescent="0.25">
      <c r="A285" s="475" t="s">
        <v>2266</v>
      </c>
      <c r="B285" s="476">
        <v>44972037</v>
      </c>
      <c r="C285" s="213" t="s">
        <v>2909</v>
      </c>
      <c r="D285" s="312">
        <v>280</v>
      </c>
      <c r="E285" s="310">
        <v>20217000010403</v>
      </c>
      <c r="F285" s="311">
        <v>44251</v>
      </c>
      <c r="G285" s="312" t="s">
        <v>2910</v>
      </c>
      <c r="H285" s="213" t="s">
        <v>2911</v>
      </c>
      <c r="I285" s="213" t="s">
        <v>164</v>
      </c>
      <c r="J285" s="474">
        <v>20441835</v>
      </c>
      <c r="K285" s="213" t="s">
        <v>138</v>
      </c>
      <c r="L285" s="213" t="s">
        <v>139</v>
      </c>
      <c r="M285" s="213" t="s">
        <v>44</v>
      </c>
      <c r="N285" s="213" t="s">
        <v>45</v>
      </c>
      <c r="O285" s="213" t="s">
        <v>142</v>
      </c>
      <c r="P285" s="213" t="s">
        <v>43</v>
      </c>
      <c r="R285" s="483">
        <v>299</v>
      </c>
      <c r="S285" s="487">
        <v>44251</v>
      </c>
      <c r="T285" s="483" t="s">
        <v>3621</v>
      </c>
      <c r="U285" s="474">
        <v>20441835</v>
      </c>
      <c r="V285" s="407"/>
      <c r="W285" s="363"/>
      <c r="X285" s="480" t="s">
        <v>3622</v>
      </c>
      <c r="Y285" s="481">
        <v>44292</v>
      </c>
      <c r="Z285" s="481">
        <v>44292</v>
      </c>
      <c r="AA285" s="481">
        <v>44445</v>
      </c>
      <c r="AB285" s="482" t="s">
        <v>2913</v>
      </c>
      <c r="AC285" s="480" t="s">
        <v>3623</v>
      </c>
      <c r="AD285" s="482" t="s">
        <v>3624</v>
      </c>
      <c r="AE285" s="483" t="s">
        <v>3080</v>
      </c>
      <c r="AF285" s="472">
        <v>20441835</v>
      </c>
      <c r="AG285" s="473">
        <f t="shared" si="5"/>
        <v>0</v>
      </c>
      <c r="AL285" s="474">
        <v>3270693</v>
      </c>
      <c r="AM285" s="307">
        <v>4088367</v>
      </c>
    </row>
    <row r="286" spans="1:39" hidden="1" x14ac:dyDescent="0.25">
      <c r="A286" s="475" t="s">
        <v>2638</v>
      </c>
      <c r="B286" s="476">
        <v>65413872</v>
      </c>
      <c r="C286" s="213" t="s">
        <v>2909</v>
      </c>
      <c r="D286" s="312">
        <v>281</v>
      </c>
      <c r="E286" s="310">
        <v>20217000010353</v>
      </c>
      <c r="F286" s="311">
        <v>44251</v>
      </c>
      <c r="G286" s="312" t="s">
        <v>2910</v>
      </c>
      <c r="H286" s="213" t="s">
        <v>2911</v>
      </c>
      <c r="I286" s="213" t="s">
        <v>164</v>
      </c>
      <c r="J286" s="474">
        <v>50877456</v>
      </c>
      <c r="K286" s="213" t="s">
        <v>138</v>
      </c>
      <c r="L286" s="213" t="s">
        <v>139</v>
      </c>
      <c r="M286" s="213" t="s">
        <v>44</v>
      </c>
      <c r="N286" s="213" t="s">
        <v>45</v>
      </c>
      <c r="O286" s="213" t="s">
        <v>142</v>
      </c>
      <c r="P286" s="213" t="s">
        <v>43</v>
      </c>
      <c r="R286" s="483">
        <v>295</v>
      </c>
      <c r="S286" s="487">
        <v>44251</v>
      </c>
      <c r="T286" s="483" t="s">
        <v>3625</v>
      </c>
      <c r="U286" s="474">
        <v>50877456</v>
      </c>
      <c r="V286" s="407"/>
      <c r="W286" s="363"/>
      <c r="X286" s="480" t="s">
        <v>3491</v>
      </c>
      <c r="Y286" s="481">
        <v>44286</v>
      </c>
      <c r="Z286" s="481">
        <v>44286</v>
      </c>
      <c r="AA286" s="481">
        <v>44500</v>
      </c>
      <c r="AB286" s="482" t="s">
        <v>2913</v>
      </c>
      <c r="AC286" s="480" t="s">
        <v>3601</v>
      </c>
      <c r="AD286" s="482" t="s">
        <v>3626</v>
      </c>
      <c r="AE286" s="483" t="s">
        <v>3627</v>
      </c>
      <c r="AF286" s="472">
        <v>50877456</v>
      </c>
      <c r="AG286" s="473">
        <f t="shared" si="5"/>
        <v>0</v>
      </c>
      <c r="AL286" s="474">
        <v>6299113</v>
      </c>
      <c r="AM286" s="307">
        <v>7268208</v>
      </c>
    </row>
    <row r="287" spans="1:39" hidden="1" x14ac:dyDescent="0.25">
      <c r="A287" s="475" t="s">
        <v>2279</v>
      </c>
      <c r="B287" s="476">
        <v>36795303</v>
      </c>
      <c r="C287" s="213" t="s">
        <v>2909</v>
      </c>
      <c r="D287" s="312">
        <v>282</v>
      </c>
      <c r="E287" s="310">
        <v>20217000010373</v>
      </c>
      <c r="F287" s="311">
        <v>44251</v>
      </c>
      <c r="G287" s="312" t="s">
        <v>2910</v>
      </c>
      <c r="H287" s="213" t="s">
        <v>2911</v>
      </c>
      <c r="I287" s="213" t="s">
        <v>164</v>
      </c>
      <c r="J287" s="474">
        <v>28618569</v>
      </c>
      <c r="K287" s="213" t="s">
        <v>138</v>
      </c>
      <c r="L287" s="213" t="s">
        <v>139</v>
      </c>
      <c r="M287" s="213" t="s">
        <v>44</v>
      </c>
      <c r="N287" s="213" t="s">
        <v>45</v>
      </c>
      <c r="O287" s="213" t="s">
        <v>142</v>
      </c>
      <c r="P287" s="213" t="s">
        <v>43</v>
      </c>
      <c r="R287" s="483">
        <v>297</v>
      </c>
      <c r="S287" s="487">
        <v>44251</v>
      </c>
      <c r="T287" s="483" t="s">
        <v>3628</v>
      </c>
      <c r="U287" s="474">
        <v>28618569</v>
      </c>
      <c r="V287" s="407"/>
      <c r="W287" s="363"/>
      <c r="X287" s="480" t="s">
        <v>3629</v>
      </c>
      <c r="Y287" s="481">
        <v>44292</v>
      </c>
      <c r="Z287" s="481">
        <v>44292</v>
      </c>
      <c r="AA287" s="481">
        <v>44506</v>
      </c>
      <c r="AB287" s="482" t="s">
        <v>2913</v>
      </c>
      <c r="AC287" s="480" t="s">
        <v>3630</v>
      </c>
      <c r="AD287" s="482" t="s">
        <v>3631</v>
      </c>
      <c r="AE287" s="483" t="s">
        <v>3632</v>
      </c>
      <c r="AF287" s="472">
        <v>28618569</v>
      </c>
      <c r="AG287" s="473">
        <f t="shared" si="5"/>
        <v>0</v>
      </c>
      <c r="AL287" s="474">
        <v>3406973</v>
      </c>
      <c r="AM287" s="307">
        <v>4088367</v>
      </c>
    </row>
    <row r="288" spans="1:39" hidden="1" x14ac:dyDescent="0.25">
      <c r="A288" s="475" t="s">
        <v>2565</v>
      </c>
      <c r="B288" s="476">
        <v>32697000</v>
      </c>
      <c r="C288" s="213" t="s">
        <v>3577</v>
      </c>
      <c r="D288" s="312">
        <v>283</v>
      </c>
      <c r="E288" s="310">
        <v>20211400009713</v>
      </c>
      <c r="F288" s="311">
        <v>44251</v>
      </c>
      <c r="G288" s="312" t="s">
        <v>2910</v>
      </c>
      <c r="H288" s="213" t="s">
        <v>2911</v>
      </c>
      <c r="I288" s="213" t="s">
        <v>184</v>
      </c>
      <c r="J288" s="474">
        <v>32697000</v>
      </c>
      <c r="K288" s="213" t="s">
        <v>138</v>
      </c>
      <c r="L288" s="213" t="s">
        <v>2915</v>
      </c>
      <c r="M288" s="213" t="s">
        <v>3105</v>
      </c>
      <c r="N288" s="213" t="s">
        <v>157</v>
      </c>
      <c r="O288" s="213" t="s">
        <v>158</v>
      </c>
      <c r="P288" s="213" t="s">
        <v>43</v>
      </c>
      <c r="R288" s="483">
        <v>292</v>
      </c>
      <c r="S288" s="487">
        <v>44251</v>
      </c>
      <c r="T288" s="483" t="s">
        <v>3633</v>
      </c>
      <c r="U288" s="474">
        <f>32697000-22886999</f>
        <v>9810001</v>
      </c>
      <c r="V288" s="407">
        <v>22886999</v>
      </c>
      <c r="W288" s="363" t="s">
        <v>1757</v>
      </c>
      <c r="X288" s="480" t="s">
        <v>3634</v>
      </c>
      <c r="Y288" s="481">
        <v>44294</v>
      </c>
      <c r="Z288" s="481">
        <v>44294</v>
      </c>
      <c r="AA288" s="481">
        <v>44561</v>
      </c>
      <c r="AB288" s="482" t="s">
        <v>2913</v>
      </c>
      <c r="AC288" s="480" t="s">
        <v>3635</v>
      </c>
      <c r="AD288" s="482" t="s">
        <v>3636</v>
      </c>
      <c r="AE288" s="483" t="s">
        <v>3637</v>
      </c>
      <c r="AF288" s="472">
        <v>9810001</v>
      </c>
      <c r="AG288" s="473">
        <f t="shared" si="5"/>
        <v>0</v>
      </c>
      <c r="AM288" s="213"/>
    </row>
    <row r="289" spans="1:39" hidden="1" x14ac:dyDescent="0.25">
      <c r="A289" s="475" t="s">
        <v>2162</v>
      </c>
      <c r="B289" s="476">
        <v>65836059</v>
      </c>
      <c r="C289" s="213" t="s">
        <v>3025</v>
      </c>
      <c r="D289" s="312">
        <v>284</v>
      </c>
      <c r="E289" s="310">
        <v>20212000009863</v>
      </c>
      <c r="F289" s="477">
        <v>44251</v>
      </c>
      <c r="G289" s="312" t="s">
        <v>2903</v>
      </c>
      <c r="H289" s="213" t="s">
        <v>2904</v>
      </c>
      <c r="I289" s="213" t="s">
        <v>391</v>
      </c>
      <c r="J289" s="474">
        <v>60170000</v>
      </c>
      <c r="K289" s="211" t="s">
        <v>2974</v>
      </c>
      <c r="L289" s="213" t="s">
        <v>2975</v>
      </c>
      <c r="M289" s="213" t="s">
        <v>44</v>
      </c>
      <c r="N289" s="213" t="s">
        <v>45</v>
      </c>
      <c r="O289" s="213" t="s">
        <v>63</v>
      </c>
      <c r="P289" s="213" t="s">
        <v>678</v>
      </c>
      <c r="R289" s="483">
        <v>290</v>
      </c>
      <c r="S289" s="487">
        <v>44251</v>
      </c>
      <c r="T289" s="483" t="s">
        <v>3638</v>
      </c>
      <c r="U289" s="474">
        <f>60170000-6017000</f>
        <v>54153000</v>
      </c>
      <c r="V289" s="412">
        <v>6017000</v>
      </c>
      <c r="W289" s="398"/>
      <c r="X289" s="480" t="s">
        <v>3639</v>
      </c>
      <c r="Y289" s="481">
        <v>44271</v>
      </c>
      <c r="Z289" s="481">
        <v>44271</v>
      </c>
      <c r="AA289" s="481">
        <v>44546</v>
      </c>
      <c r="AB289" s="482" t="s">
        <v>2913</v>
      </c>
      <c r="AC289" s="480" t="s">
        <v>3640</v>
      </c>
      <c r="AD289" s="482" t="s">
        <v>3641</v>
      </c>
      <c r="AE289" s="483" t="s">
        <v>3642</v>
      </c>
      <c r="AF289" s="472">
        <v>54153000</v>
      </c>
      <c r="AG289" s="473">
        <f t="shared" si="5"/>
        <v>0</v>
      </c>
      <c r="AK289" s="474">
        <v>3008500</v>
      </c>
      <c r="AL289" s="474">
        <v>6017000</v>
      </c>
      <c r="AM289" s="307">
        <v>6017000</v>
      </c>
    </row>
    <row r="290" spans="1:39" hidden="1" x14ac:dyDescent="0.25">
      <c r="A290" s="475" t="s">
        <v>2431</v>
      </c>
      <c r="B290" s="476">
        <v>44000000</v>
      </c>
      <c r="C290" s="213" t="s">
        <v>2909</v>
      </c>
      <c r="D290" s="312">
        <v>285</v>
      </c>
      <c r="E290" s="310">
        <v>20215000007233</v>
      </c>
      <c r="F290" s="477">
        <v>44243</v>
      </c>
      <c r="G290" s="310" t="s">
        <v>2903</v>
      </c>
      <c r="H290" s="211" t="s">
        <v>2904</v>
      </c>
      <c r="I290" s="211" t="s">
        <v>228</v>
      </c>
      <c r="J290" s="408">
        <v>44000000</v>
      </c>
      <c r="K290" s="213" t="s">
        <v>288</v>
      </c>
      <c r="L290" s="213" t="s">
        <v>2999</v>
      </c>
      <c r="M290" s="213" t="s">
        <v>44</v>
      </c>
      <c r="N290" s="213" t="s">
        <v>45</v>
      </c>
      <c r="O290" s="213" t="s">
        <v>63</v>
      </c>
      <c r="P290" s="213" t="s">
        <v>678</v>
      </c>
      <c r="R290" s="213">
        <v>251</v>
      </c>
      <c r="S290" s="477">
        <v>44243</v>
      </c>
      <c r="T290" s="213" t="s">
        <v>3643</v>
      </c>
      <c r="U290" s="474">
        <f>44000000-6000000</f>
        <v>38000000</v>
      </c>
      <c r="V290" s="443">
        <v>6000000</v>
      </c>
      <c r="W290" s="399"/>
      <c r="X290" s="480" t="s">
        <v>3644</v>
      </c>
      <c r="Y290" s="481">
        <v>44271</v>
      </c>
      <c r="Z290" s="481">
        <v>44271</v>
      </c>
      <c r="AA290" s="481">
        <v>44561</v>
      </c>
      <c r="AB290" s="482" t="s">
        <v>2913</v>
      </c>
      <c r="AC290" s="480" t="s">
        <v>3645</v>
      </c>
      <c r="AD290" s="482" t="s">
        <v>3646</v>
      </c>
      <c r="AE290" s="483" t="s">
        <v>3647</v>
      </c>
      <c r="AF290" s="472">
        <v>38000000</v>
      </c>
      <c r="AG290" s="473">
        <f t="shared" si="5"/>
        <v>0</v>
      </c>
      <c r="AK290" s="474">
        <v>2000000</v>
      </c>
      <c r="AL290" s="474">
        <v>4000000</v>
      </c>
      <c r="AM290" s="307">
        <v>4000000</v>
      </c>
    </row>
    <row r="291" spans="1:39" hidden="1" x14ac:dyDescent="0.25">
      <c r="A291" s="475" t="s">
        <v>2423</v>
      </c>
      <c r="B291" s="476">
        <v>64900000</v>
      </c>
      <c r="C291" s="213" t="s">
        <v>2909</v>
      </c>
      <c r="D291" s="312">
        <v>286</v>
      </c>
      <c r="E291" s="312">
        <v>20215000006443</v>
      </c>
      <c r="F291" s="477">
        <v>44235</v>
      </c>
      <c r="G291" s="312" t="s">
        <v>2903</v>
      </c>
      <c r="H291" s="213" t="s">
        <v>2904</v>
      </c>
      <c r="I291" s="213" t="s">
        <v>228</v>
      </c>
      <c r="J291" s="474">
        <v>64900000</v>
      </c>
      <c r="K291" s="213" t="s">
        <v>223</v>
      </c>
      <c r="L291" s="213" t="s">
        <v>3021</v>
      </c>
      <c r="M291" s="213" t="s">
        <v>44</v>
      </c>
      <c r="N291" s="213" t="s">
        <v>45</v>
      </c>
      <c r="O291" s="213" t="s">
        <v>63</v>
      </c>
      <c r="P291" s="213" t="s">
        <v>678</v>
      </c>
      <c r="R291" s="213">
        <v>217</v>
      </c>
      <c r="S291" s="477">
        <v>44236</v>
      </c>
      <c r="T291" s="213" t="s">
        <v>3648</v>
      </c>
      <c r="U291" s="474">
        <f>64900000-11800000</f>
        <v>53100000</v>
      </c>
      <c r="V291" s="443">
        <v>11800000</v>
      </c>
      <c r="W291" s="399"/>
      <c r="X291" s="480" t="s">
        <v>3649</v>
      </c>
      <c r="Y291" s="481">
        <v>44271</v>
      </c>
      <c r="Z291" s="481">
        <v>44271</v>
      </c>
      <c r="AA291" s="481">
        <v>44546</v>
      </c>
      <c r="AB291" s="482" t="s">
        <v>2913</v>
      </c>
      <c r="AC291" s="480" t="s">
        <v>3650</v>
      </c>
      <c r="AD291" s="482" t="s">
        <v>3651</v>
      </c>
      <c r="AE291" s="483" t="s">
        <v>3652</v>
      </c>
      <c r="AF291" s="472">
        <v>53100000</v>
      </c>
      <c r="AG291" s="473">
        <f t="shared" si="5"/>
        <v>0</v>
      </c>
      <c r="AK291" s="474">
        <v>2950000</v>
      </c>
      <c r="AL291" s="474">
        <v>5900000</v>
      </c>
      <c r="AM291" s="307">
        <v>5900000</v>
      </c>
    </row>
    <row r="292" spans="1:39" hidden="1" x14ac:dyDescent="0.25">
      <c r="A292" s="475" t="s">
        <v>2551</v>
      </c>
      <c r="B292" s="476">
        <v>23621677</v>
      </c>
      <c r="C292" s="213" t="s">
        <v>2909</v>
      </c>
      <c r="D292" s="312">
        <v>287</v>
      </c>
      <c r="E292" s="310">
        <v>20211300011033</v>
      </c>
      <c r="F292" s="477">
        <v>44253</v>
      </c>
      <c r="G292" s="312" t="s">
        <v>2910</v>
      </c>
      <c r="H292" s="213" t="s">
        <v>2911</v>
      </c>
      <c r="I292" s="213" t="s">
        <v>210</v>
      </c>
      <c r="J292" s="474">
        <v>23621677</v>
      </c>
      <c r="K292" s="213" t="s">
        <v>138</v>
      </c>
      <c r="L292" s="213" t="s">
        <v>139</v>
      </c>
      <c r="M292" s="213" t="s">
        <v>44</v>
      </c>
      <c r="N292" s="213" t="s">
        <v>45</v>
      </c>
      <c r="O292" s="213" t="s">
        <v>142</v>
      </c>
      <c r="P292" s="213" t="s">
        <v>43</v>
      </c>
      <c r="R292" s="213">
        <v>313</v>
      </c>
      <c r="S292" s="477">
        <v>44256</v>
      </c>
      <c r="T292" s="213" t="s">
        <v>3653</v>
      </c>
      <c r="U292" s="474">
        <v>23621677</v>
      </c>
      <c r="V292" s="407"/>
      <c r="W292" s="363"/>
      <c r="X292" s="480" t="s">
        <v>3654</v>
      </c>
      <c r="Y292" s="481">
        <v>44272</v>
      </c>
      <c r="Z292" s="481">
        <v>44272</v>
      </c>
      <c r="AA292" s="481">
        <v>44394</v>
      </c>
      <c r="AB292" s="482" t="s">
        <v>2913</v>
      </c>
      <c r="AC292" s="480" t="s">
        <v>3655</v>
      </c>
      <c r="AD292" s="482" t="s">
        <v>3656</v>
      </c>
      <c r="AE292" s="483" t="s">
        <v>3657</v>
      </c>
      <c r="AF292" s="472">
        <v>23621676</v>
      </c>
      <c r="AG292" s="473">
        <f t="shared" si="5"/>
        <v>1</v>
      </c>
      <c r="AK292" s="474">
        <v>2559015</v>
      </c>
      <c r="AL292" s="474">
        <v>5905419</v>
      </c>
      <c r="AM292" s="307">
        <v>5905419</v>
      </c>
    </row>
    <row r="293" spans="1:39" s="313" customFormat="1" hidden="1" x14ac:dyDescent="0.25">
      <c r="A293" s="362" t="s">
        <v>3658</v>
      </c>
      <c r="B293" s="418">
        <v>56000000</v>
      </c>
      <c r="C293" s="313" t="s">
        <v>3025</v>
      </c>
      <c r="D293" s="326">
        <v>288</v>
      </c>
      <c r="E293" s="326">
        <v>20213000009343</v>
      </c>
      <c r="F293" s="316">
        <v>44252</v>
      </c>
      <c r="G293" s="326" t="s">
        <v>2903</v>
      </c>
      <c r="H293" s="313" t="s">
        <v>2904</v>
      </c>
      <c r="I293" s="313" t="s">
        <v>432</v>
      </c>
      <c r="J293" s="406">
        <v>56000000</v>
      </c>
      <c r="K293" s="313" t="s">
        <v>342</v>
      </c>
      <c r="L293" s="313" t="s">
        <v>351</v>
      </c>
      <c r="M293" s="313" t="s">
        <v>44</v>
      </c>
      <c r="N293" s="313" t="s">
        <v>45</v>
      </c>
      <c r="O293" s="313" t="s">
        <v>63</v>
      </c>
      <c r="P293" s="313" t="s">
        <v>678</v>
      </c>
      <c r="R293" s="361">
        <v>302</v>
      </c>
      <c r="S293" s="364">
        <v>44252</v>
      </c>
      <c r="T293" s="361" t="s">
        <v>3659</v>
      </c>
      <c r="U293" s="406">
        <f>56000000-56000000</f>
        <v>0</v>
      </c>
      <c r="V293" s="412">
        <v>56000000</v>
      </c>
      <c r="W293" s="398"/>
      <c r="X293" s="315"/>
      <c r="Y293" s="359"/>
      <c r="Z293" s="359"/>
      <c r="AA293" s="359"/>
      <c r="AB293" s="318"/>
      <c r="AC293" s="317"/>
      <c r="AD293" s="318"/>
      <c r="AF293" s="411"/>
      <c r="AG293" s="319">
        <f t="shared" si="5"/>
        <v>0</v>
      </c>
      <c r="AH293" s="406"/>
      <c r="AI293" s="406"/>
      <c r="AJ293" s="406"/>
      <c r="AK293" s="406"/>
      <c r="AL293" s="406"/>
      <c r="AM293" s="213"/>
    </row>
    <row r="294" spans="1:39" ht="15.75" hidden="1" x14ac:dyDescent="0.25">
      <c r="A294" s="475" t="s">
        <v>3660</v>
      </c>
      <c r="B294" s="476">
        <v>1108626200</v>
      </c>
      <c r="C294" s="213" t="s">
        <v>3661</v>
      </c>
      <c r="D294" s="312">
        <v>289</v>
      </c>
      <c r="E294" s="310">
        <v>20215000010563</v>
      </c>
      <c r="F294" s="477">
        <v>44252</v>
      </c>
      <c r="G294" s="310" t="s">
        <v>2903</v>
      </c>
      <c r="H294" s="211" t="s">
        <v>2904</v>
      </c>
      <c r="I294" s="211" t="s">
        <v>228</v>
      </c>
      <c r="J294" s="474">
        <v>1108626200</v>
      </c>
      <c r="K294" s="213" t="s">
        <v>223</v>
      </c>
      <c r="L294" s="213" t="s">
        <v>224</v>
      </c>
      <c r="M294" s="211" t="s">
        <v>44</v>
      </c>
      <c r="N294" s="211" t="s">
        <v>3199</v>
      </c>
      <c r="O294" s="211" t="s">
        <v>132</v>
      </c>
      <c r="P294" s="512" t="s">
        <v>774</v>
      </c>
      <c r="Q294" s="211"/>
      <c r="R294" s="483">
        <v>305</v>
      </c>
      <c r="S294" s="487">
        <v>44252</v>
      </c>
      <c r="T294" s="483" t="s">
        <v>3662</v>
      </c>
      <c r="U294" s="474">
        <v>1108626200</v>
      </c>
      <c r="V294" s="407"/>
      <c r="W294" s="363"/>
      <c r="AG294" s="473">
        <f t="shared" si="5"/>
        <v>1108626200</v>
      </c>
      <c r="AM294" s="213"/>
    </row>
    <row r="295" spans="1:39" ht="15.75" hidden="1" x14ac:dyDescent="0.25">
      <c r="A295" s="475" t="s">
        <v>3663</v>
      </c>
      <c r="B295" s="476">
        <v>1044125440</v>
      </c>
      <c r="C295" s="213" t="s">
        <v>3664</v>
      </c>
      <c r="D295" s="312">
        <v>290</v>
      </c>
      <c r="E295" s="310">
        <v>20215000010603</v>
      </c>
      <c r="F295" s="477">
        <v>44252</v>
      </c>
      <c r="G295" s="310" t="s">
        <v>2903</v>
      </c>
      <c r="H295" s="211" t="s">
        <v>2904</v>
      </c>
      <c r="I295" s="211" t="s">
        <v>228</v>
      </c>
      <c r="J295" s="474">
        <v>1044125440</v>
      </c>
      <c r="K295" s="213" t="s">
        <v>223</v>
      </c>
      <c r="L295" s="213" t="s">
        <v>224</v>
      </c>
      <c r="M295" s="211" t="s">
        <v>44</v>
      </c>
      <c r="N295" s="211" t="s">
        <v>3199</v>
      </c>
      <c r="O295" s="211" t="s">
        <v>132</v>
      </c>
      <c r="P295" s="512" t="s">
        <v>774</v>
      </c>
      <c r="R295" s="483">
        <v>306</v>
      </c>
      <c r="S295" s="487">
        <v>44252</v>
      </c>
      <c r="T295" s="483" t="s">
        <v>3665</v>
      </c>
      <c r="U295" s="474">
        <v>1044125440</v>
      </c>
      <c r="V295" s="407"/>
      <c r="W295" s="363"/>
      <c r="AG295" s="473">
        <f t="shared" si="5"/>
        <v>1044125440</v>
      </c>
      <c r="AM295" s="213"/>
    </row>
    <row r="296" spans="1:39" ht="15.75" hidden="1" x14ac:dyDescent="0.25">
      <c r="A296" s="475" t="s">
        <v>3666</v>
      </c>
      <c r="B296" s="476">
        <v>810426760</v>
      </c>
      <c r="C296" s="213" t="s">
        <v>3667</v>
      </c>
      <c r="D296" s="312">
        <v>291</v>
      </c>
      <c r="E296" s="310">
        <v>20215000010613</v>
      </c>
      <c r="F296" s="477">
        <v>44252</v>
      </c>
      <c r="G296" s="310" t="s">
        <v>2903</v>
      </c>
      <c r="H296" s="211" t="s">
        <v>2904</v>
      </c>
      <c r="I296" s="211" t="s">
        <v>228</v>
      </c>
      <c r="J296" s="474">
        <v>810426760</v>
      </c>
      <c r="K296" s="213" t="s">
        <v>223</v>
      </c>
      <c r="L296" s="213" t="s">
        <v>224</v>
      </c>
      <c r="M296" s="211" t="s">
        <v>44</v>
      </c>
      <c r="N296" s="211" t="s">
        <v>3199</v>
      </c>
      <c r="O296" s="211" t="s">
        <v>132</v>
      </c>
      <c r="P296" s="512" t="s">
        <v>774</v>
      </c>
      <c r="R296" s="213">
        <v>307</v>
      </c>
      <c r="S296" s="477">
        <v>44256</v>
      </c>
      <c r="T296" s="213" t="s">
        <v>3668</v>
      </c>
      <c r="U296" s="474">
        <v>810426760</v>
      </c>
      <c r="V296" s="407"/>
      <c r="W296" s="363"/>
      <c r="AG296" s="473">
        <f t="shared" si="5"/>
        <v>810426760</v>
      </c>
      <c r="AM296" s="213"/>
    </row>
    <row r="297" spans="1:39" ht="15.75" hidden="1" x14ac:dyDescent="0.25">
      <c r="A297" s="475" t="s">
        <v>3669</v>
      </c>
      <c r="B297" s="476">
        <v>1091052420</v>
      </c>
      <c r="C297" s="213" t="s">
        <v>3670</v>
      </c>
      <c r="D297" s="312">
        <v>292</v>
      </c>
      <c r="E297" s="310">
        <v>20215000010623</v>
      </c>
      <c r="F297" s="477">
        <v>44252</v>
      </c>
      <c r="G297" s="310" t="s">
        <v>2903</v>
      </c>
      <c r="H297" s="211" t="s">
        <v>2904</v>
      </c>
      <c r="I297" s="211" t="s">
        <v>228</v>
      </c>
      <c r="J297" s="474">
        <v>1091052420</v>
      </c>
      <c r="K297" s="213" t="s">
        <v>223</v>
      </c>
      <c r="L297" s="213" t="s">
        <v>224</v>
      </c>
      <c r="M297" s="211" t="s">
        <v>44</v>
      </c>
      <c r="N297" s="211" t="s">
        <v>3199</v>
      </c>
      <c r="O297" s="211" t="s">
        <v>132</v>
      </c>
      <c r="P297" s="512" t="s">
        <v>774</v>
      </c>
      <c r="R297" s="213">
        <v>308</v>
      </c>
      <c r="S297" s="487">
        <v>44256</v>
      </c>
      <c r="T297" s="213" t="s">
        <v>3671</v>
      </c>
      <c r="U297" s="474">
        <v>1091052420</v>
      </c>
      <c r="V297" s="407"/>
      <c r="W297" s="363"/>
      <c r="AG297" s="473">
        <f t="shared" si="5"/>
        <v>1091052420</v>
      </c>
      <c r="AM297" s="213"/>
    </row>
    <row r="298" spans="1:39" s="313" customFormat="1" hidden="1" x14ac:dyDescent="0.25">
      <c r="A298" s="362" t="s">
        <v>3672</v>
      </c>
      <c r="B298" s="418">
        <v>34967856</v>
      </c>
      <c r="C298" s="313" t="s">
        <v>3025</v>
      </c>
      <c r="D298" s="326">
        <v>293</v>
      </c>
      <c r="E298" s="326">
        <v>20217000010983</v>
      </c>
      <c r="F298" s="316">
        <v>44253</v>
      </c>
      <c r="G298" s="326" t="s">
        <v>2910</v>
      </c>
      <c r="H298" s="313" t="s">
        <v>2911</v>
      </c>
      <c r="I298" s="313" t="s">
        <v>164</v>
      </c>
      <c r="J298" s="406">
        <v>13000000</v>
      </c>
      <c r="K298" s="313" t="s">
        <v>138</v>
      </c>
      <c r="L298" s="313" t="s">
        <v>139</v>
      </c>
      <c r="M298" s="313" t="s">
        <v>44</v>
      </c>
      <c r="N298" s="313" t="s">
        <v>45</v>
      </c>
      <c r="O298" s="313" t="s">
        <v>142</v>
      </c>
      <c r="P298" s="313" t="s">
        <v>43</v>
      </c>
      <c r="R298" s="313">
        <v>312</v>
      </c>
      <c r="S298" s="364">
        <v>44256</v>
      </c>
      <c r="T298" s="313" t="s">
        <v>3673</v>
      </c>
      <c r="U298" s="406">
        <f>13000000-13000000</f>
        <v>0</v>
      </c>
      <c r="V298" s="407">
        <v>13000000</v>
      </c>
      <c r="W298" s="363"/>
      <c r="X298" s="315"/>
      <c r="Y298" s="359"/>
      <c r="Z298" s="359"/>
      <c r="AA298" s="359"/>
      <c r="AB298" s="318"/>
      <c r="AC298" s="317"/>
      <c r="AD298" s="318"/>
      <c r="AF298" s="411"/>
      <c r="AG298" s="319">
        <f t="shared" si="5"/>
        <v>0</v>
      </c>
      <c r="AH298" s="406"/>
      <c r="AI298" s="406"/>
      <c r="AJ298" s="406"/>
      <c r="AK298" s="406"/>
      <c r="AL298" s="406"/>
      <c r="AM298" s="213"/>
    </row>
    <row r="299" spans="1:39" hidden="1" x14ac:dyDescent="0.25">
      <c r="A299" s="475" t="s">
        <v>2265</v>
      </c>
      <c r="B299" s="476">
        <v>19987572</v>
      </c>
      <c r="C299" s="213" t="s">
        <v>2909</v>
      </c>
      <c r="D299" s="312">
        <v>294</v>
      </c>
      <c r="E299" s="310">
        <v>20217000010973</v>
      </c>
      <c r="F299" s="477">
        <v>44253</v>
      </c>
      <c r="G299" s="312" t="s">
        <v>2910</v>
      </c>
      <c r="H299" s="213" t="s">
        <v>2911</v>
      </c>
      <c r="I299" s="213" t="s">
        <v>164</v>
      </c>
      <c r="J299" s="474">
        <v>7300000</v>
      </c>
      <c r="K299" s="213" t="s">
        <v>138</v>
      </c>
      <c r="L299" s="213" t="s">
        <v>139</v>
      </c>
      <c r="M299" s="213" t="s">
        <v>44</v>
      </c>
      <c r="N299" s="213" t="s">
        <v>45</v>
      </c>
      <c r="O299" s="213" t="s">
        <v>142</v>
      </c>
      <c r="P299" s="213" t="s">
        <v>43</v>
      </c>
      <c r="R299" s="213">
        <v>311</v>
      </c>
      <c r="S299" s="487">
        <v>44256</v>
      </c>
      <c r="T299" s="213" t="s">
        <v>3674</v>
      </c>
      <c r="U299" s="474">
        <v>7300000</v>
      </c>
      <c r="V299" s="407"/>
      <c r="W299" s="363"/>
      <c r="X299" s="480" t="s">
        <v>3675</v>
      </c>
      <c r="Y299" s="481">
        <v>44285</v>
      </c>
      <c r="Z299" s="481">
        <v>44285</v>
      </c>
      <c r="AA299" s="481">
        <v>44407</v>
      </c>
      <c r="AB299" s="482" t="s">
        <v>2913</v>
      </c>
      <c r="AC299" s="480" t="s">
        <v>3676</v>
      </c>
      <c r="AD299" s="482" t="s">
        <v>3677</v>
      </c>
      <c r="AE299" s="483" t="s">
        <v>3068</v>
      </c>
      <c r="AF299" s="472">
        <v>7268208</v>
      </c>
      <c r="AG299" s="473">
        <f t="shared" si="5"/>
        <v>31792</v>
      </c>
      <c r="AL299" s="474">
        <v>1877620</v>
      </c>
      <c r="AM299" s="307">
        <v>1817052</v>
      </c>
    </row>
    <row r="300" spans="1:39" hidden="1" x14ac:dyDescent="0.25">
      <c r="A300" s="475" t="s">
        <v>2272</v>
      </c>
      <c r="B300" s="476">
        <v>34978251</v>
      </c>
      <c r="C300" s="213" t="s">
        <v>2909</v>
      </c>
      <c r="D300" s="312">
        <v>295</v>
      </c>
      <c r="E300" s="310">
        <v>20217000010963</v>
      </c>
      <c r="F300" s="477">
        <v>44253</v>
      </c>
      <c r="G300" s="312" t="s">
        <v>2910</v>
      </c>
      <c r="H300" s="213" t="s">
        <v>2911</v>
      </c>
      <c r="I300" s="213" t="s">
        <v>164</v>
      </c>
      <c r="J300" s="474">
        <v>16000000</v>
      </c>
      <c r="K300" s="213" t="s">
        <v>138</v>
      </c>
      <c r="L300" s="213" t="s">
        <v>139</v>
      </c>
      <c r="M300" s="213" t="s">
        <v>44</v>
      </c>
      <c r="N300" s="213" t="s">
        <v>45</v>
      </c>
      <c r="O300" s="213" t="s">
        <v>142</v>
      </c>
      <c r="P300" s="213" t="s">
        <v>43</v>
      </c>
      <c r="R300" s="213">
        <v>314</v>
      </c>
      <c r="S300" s="477">
        <v>44256</v>
      </c>
      <c r="T300" s="213" t="s">
        <v>3678</v>
      </c>
      <c r="U300" s="474">
        <v>16000000</v>
      </c>
      <c r="V300" s="407"/>
      <c r="W300" s="363"/>
      <c r="X300" s="480" t="s">
        <v>3679</v>
      </c>
      <c r="Y300" s="481">
        <v>44295</v>
      </c>
      <c r="Z300" s="481">
        <v>44295</v>
      </c>
      <c r="AA300" s="481">
        <v>44448</v>
      </c>
      <c r="AB300" s="482" t="s">
        <v>2913</v>
      </c>
      <c r="AC300" s="480" t="s">
        <v>3680</v>
      </c>
      <c r="AD300" s="482" t="s">
        <v>3681</v>
      </c>
      <c r="AE300" s="483" t="s">
        <v>3103</v>
      </c>
      <c r="AF300" s="472">
        <v>15899205</v>
      </c>
      <c r="AG300" s="473">
        <f t="shared" si="5"/>
        <v>100795</v>
      </c>
      <c r="AL300" s="474">
        <v>2225888</v>
      </c>
      <c r="AM300" s="307">
        <v>3179841</v>
      </c>
    </row>
    <row r="301" spans="1:39" hidden="1" x14ac:dyDescent="0.25">
      <c r="A301" s="475" t="s">
        <v>2182</v>
      </c>
      <c r="B301" s="476">
        <v>54511560</v>
      </c>
      <c r="C301" s="213" t="s">
        <v>2909</v>
      </c>
      <c r="D301" s="312">
        <v>296</v>
      </c>
      <c r="E301" s="310">
        <v>20217000010543</v>
      </c>
      <c r="F301" s="477">
        <v>44252</v>
      </c>
      <c r="G301" s="312" t="s">
        <v>2910</v>
      </c>
      <c r="H301" s="213" t="s">
        <v>2911</v>
      </c>
      <c r="I301" s="213" t="s">
        <v>164</v>
      </c>
      <c r="J301" s="474">
        <v>27255780</v>
      </c>
      <c r="K301" s="213" t="s">
        <v>138</v>
      </c>
      <c r="L301" s="213" t="s">
        <v>139</v>
      </c>
      <c r="M301" s="213" t="s">
        <v>44</v>
      </c>
      <c r="N301" s="213" t="s">
        <v>45</v>
      </c>
      <c r="O301" s="213" t="s">
        <v>142</v>
      </c>
      <c r="P301" s="213" t="s">
        <v>43</v>
      </c>
      <c r="R301" s="483">
        <v>304</v>
      </c>
      <c r="S301" s="487">
        <v>44252</v>
      </c>
      <c r="T301" s="483" t="s">
        <v>3682</v>
      </c>
      <c r="U301" s="474">
        <v>27255780</v>
      </c>
      <c r="V301" s="407"/>
      <c r="W301" s="363"/>
      <c r="X301" s="480" t="s">
        <v>3683</v>
      </c>
      <c r="Y301" s="481">
        <v>44272</v>
      </c>
      <c r="Z301" s="481">
        <v>44272</v>
      </c>
      <c r="AA301" s="481">
        <v>44394</v>
      </c>
      <c r="AB301" s="482" t="s">
        <v>2913</v>
      </c>
      <c r="AC301" s="480" t="s">
        <v>3684</v>
      </c>
      <c r="AD301" s="482" t="s">
        <v>3685</v>
      </c>
      <c r="AE301" s="483" t="s">
        <v>3686</v>
      </c>
      <c r="AF301" s="472">
        <v>27255780</v>
      </c>
      <c r="AG301" s="473">
        <f t="shared" si="5"/>
        <v>0</v>
      </c>
      <c r="AL301" s="474">
        <v>9539523</v>
      </c>
      <c r="AM301" s="307">
        <v>6813945</v>
      </c>
    </row>
    <row r="302" spans="1:39" hidden="1" x14ac:dyDescent="0.25">
      <c r="A302" s="475" t="s">
        <v>2848</v>
      </c>
      <c r="B302" s="476">
        <v>52000000</v>
      </c>
      <c r="C302" s="213" t="s">
        <v>2909</v>
      </c>
      <c r="D302" s="312">
        <v>297</v>
      </c>
      <c r="E302" s="310">
        <v>20213000010803</v>
      </c>
      <c r="F302" s="477">
        <v>44253</v>
      </c>
      <c r="G302" s="312" t="s">
        <v>2903</v>
      </c>
      <c r="H302" s="213" t="s">
        <v>2904</v>
      </c>
      <c r="I302" s="213" t="s">
        <v>432</v>
      </c>
      <c r="J302" s="474">
        <v>52000000</v>
      </c>
      <c r="K302" s="213" t="s">
        <v>342</v>
      </c>
      <c r="L302" s="213" t="s">
        <v>351</v>
      </c>
      <c r="M302" s="213" t="s">
        <v>44</v>
      </c>
      <c r="N302" s="213" t="s">
        <v>45</v>
      </c>
      <c r="O302" s="213" t="s">
        <v>63</v>
      </c>
      <c r="P302" s="213" t="s">
        <v>678</v>
      </c>
      <c r="R302" s="213">
        <v>310</v>
      </c>
      <c r="S302" s="477">
        <v>44256</v>
      </c>
      <c r="T302" s="213" t="s">
        <v>3687</v>
      </c>
      <c r="U302" s="474">
        <v>52000000</v>
      </c>
      <c r="V302" s="407"/>
      <c r="W302" s="363"/>
      <c r="X302" s="480" t="s">
        <v>3688</v>
      </c>
      <c r="Y302" s="481">
        <v>44292</v>
      </c>
      <c r="Z302" s="481">
        <v>44292</v>
      </c>
      <c r="AA302" s="481">
        <v>44535</v>
      </c>
      <c r="AB302" s="482" t="s">
        <v>2913</v>
      </c>
      <c r="AC302" s="480" t="s">
        <v>3689</v>
      </c>
      <c r="AD302" s="482" t="s">
        <v>3690</v>
      </c>
      <c r="AE302" s="483" t="s">
        <v>3691</v>
      </c>
      <c r="AF302" s="472">
        <v>52000000</v>
      </c>
      <c r="AG302" s="473">
        <f t="shared" si="5"/>
        <v>0</v>
      </c>
      <c r="AM302" s="307">
        <f>6500000+5200000</f>
        <v>11700000</v>
      </c>
    </row>
    <row r="303" spans="1:39" hidden="1" x14ac:dyDescent="0.25">
      <c r="A303" s="475" t="s">
        <v>2164</v>
      </c>
      <c r="B303" s="476">
        <v>48144000</v>
      </c>
      <c r="C303" s="213" t="s">
        <v>2909</v>
      </c>
      <c r="D303" s="312">
        <v>298</v>
      </c>
      <c r="E303" s="310">
        <v>20212000011403</v>
      </c>
      <c r="F303" s="477">
        <v>44258</v>
      </c>
      <c r="G303" s="312" t="s">
        <v>2903</v>
      </c>
      <c r="H303" s="213" t="s">
        <v>2904</v>
      </c>
      <c r="I303" s="213" t="s">
        <v>391</v>
      </c>
      <c r="J303" s="474">
        <v>38950000</v>
      </c>
      <c r="K303" s="211" t="s">
        <v>2974</v>
      </c>
      <c r="L303" s="213" t="s">
        <v>2975</v>
      </c>
      <c r="M303" s="213" t="s">
        <v>44</v>
      </c>
      <c r="N303" s="213" t="s">
        <v>45</v>
      </c>
      <c r="O303" s="213" t="s">
        <v>63</v>
      </c>
      <c r="P303" s="213" t="s">
        <v>678</v>
      </c>
      <c r="R303" s="213">
        <v>327</v>
      </c>
      <c r="S303" s="487">
        <v>44258</v>
      </c>
      <c r="T303" s="483" t="s">
        <v>3692</v>
      </c>
      <c r="U303" s="474">
        <f>38950000-2050000</f>
        <v>36900000</v>
      </c>
      <c r="V303" s="412">
        <v>2050000</v>
      </c>
      <c r="W303" s="398"/>
      <c r="X303" s="480" t="s">
        <v>3623</v>
      </c>
      <c r="Y303" s="481">
        <v>44273</v>
      </c>
      <c r="Z303" s="481">
        <v>44273</v>
      </c>
      <c r="AA303" s="481">
        <v>44548</v>
      </c>
      <c r="AB303" s="482" t="s">
        <v>2913</v>
      </c>
      <c r="AC303" s="480" t="s">
        <v>3693</v>
      </c>
      <c r="AD303" s="482" t="s">
        <v>3694</v>
      </c>
      <c r="AE303" s="483" t="s">
        <v>3695</v>
      </c>
      <c r="AF303" s="472">
        <v>36900000</v>
      </c>
      <c r="AK303" s="474">
        <v>1776666</v>
      </c>
      <c r="AL303" s="474">
        <v>4100000</v>
      </c>
      <c r="AM303" s="307">
        <v>4100000</v>
      </c>
    </row>
    <row r="304" spans="1:39" hidden="1" x14ac:dyDescent="0.25">
      <c r="A304" s="475" t="s">
        <v>2329</v>
      </c>
      <c r="B304" s="476">
        <v>24530202</v>
      </c>
      <c r="C304" s="213" t="s">
        <v>2909</v>
      </c>
      <c r="D304" s="312">
        <v>299</v>
      </c>
      <c r="E304" s="310">
        <v>20217000011333</v>
      </c>
      <c r="F304" s="477">
        <v>44256</v>
      </c>
      <c r="G304" s="312" t="s">
        <v>2910</v>
      </c>
      <c r="H304" s="213" t="s">
        <v>2911</v>
      </c>
      <c r="I304" s="213" t="s">
        <v>164</v>
      </c>
      <c r="J304" s="474">
        <v>16353468</v>
      </c>
      <c r="K304" s="213" t="s">
        <v>138</v>
      </c>
      <c r="L304" s="213" t="s">
        <v>139</v>
      </c>
      <c r="M304" s="213" t="s">
        <v>44</v>
      </c>
      <c r="N304" s="213" t="s">
        <v>45</v>
      </c>
      <c r="O304" s="213" t="s">
        <v>142</v>
      </c>
      <c r="P304" s="213" t="s">
        <v>43</v>
      </c>
      <c r="R304" s="213">
        <v>318</v>
      </c>
      <c r="S304" s="477">
        <v>44256</v>
      </c>
      <c r="T304" s="213" t="s">
        <v>3696</v>
      </c>
      <c r="U304" s="474">
        <v>16353468</v>
      </c>
      <c r="V304" s="407"/>
      <c r="W304" s="363"/>
      <c r="X304" s="480" t="s">
        <v>3697</v>
      </c>
      <c r="Y304" s="481">
        <v>44292</v>
      </c>
      <c r="Z304" s="481">
        <v>44292</v>
      </c>
      <c r="AA304" s="481">
        <v>44475</v>
      </c>
      <c r="AB304" s="482" t="s">
        <v>2913</v>
      </c>
      <c r="AC304" s="480" t="s">
        <v>3698</v>
      </c>
      <c r="AD304" s="482" t="s">
        <v>3699</v>
      </c>
      <c r="AE304" s="483" t="s">
        <v>3700</v>
      </c>
      <c r="AF304" s="472">
        <v>16353468</v>
      </c>
      <c r="AL304" s="474">
        <v>2180462</v>
      </c>
      <c r="AM304" s="307">
        <v>2725578</v>
      </c>
    </row>
    <row r="305" spans="1:50" ht="15" hidden="1" customHeight="1" x14ac:dyDescent="0.25">
      <c r="A305" s="475" t="s">
        <v>2427</v>
      </c>
      <c r="B305" s="476">
        <v>64900000</v>
      </c>
      <c r="C305" s="213" t="s">
        <v>2909</v>
      </c>
      <c r="D305" s="312">
        <v>300</v>
      </c>
      <c r="E305" s="310">
        <v>20215000007193</v>
      </c>
      <c r="F305" s="477">
        <v>44243</v>
      </c>
      <c r="G305" s="310" t="s">
        <v>2903</v>
      </c>
      <c r="H305" s="211" t="s">
        <v>2904</v>
      </c>
      <c r="I305" s="211" t="s">
        <v>228</v>
      </c>
      <c r="J305" s="408">
        <v>64900000</v>
      </c>
      <c r="K305" s="213" t="s">
        <v>288</v>
      </c>
      <c r="L305" s="213" t="s">
        <v>2999</v>
      </c>
      <c r="M305" s="213" t="s">
        <v>44</v>
      </c>
      <c r="N305" s="213" t="s">
        <v>45</v>
      </c>
      <c r="O305" s="213" t="s">
        <v>63</v>
      </c>
      <c r="P305" s="213" t="s">
        <v>678</v>
      </c>
      <c r="R305" s="213">
        <v>248</v>
      </c>
      <c r="S305" s="477">
        <v>44243</v>
      </c>
      <c r="T305" s="213" t="s">
        <v>3701</v>
      </c>
      <c r="U305" s="474">
        <f>64900000-11800000</f>
        <v>53100000</v>
      </c>
      <c r="V305" s="443">
        <v>11800000</v>
      </c>
      <c r="W305" s="399"/>
      <c r="X305" s="480" t="s">
        <v>3618</v>
      </c>
      <c r="Y305" s="481">
        <v>44273</v>
      </c>
      <c r="Z305" s="481">
        <v>44273</v>
      </c>
      <c r="AA305" s="481">
        <v>44548</v>
      </c>
      <c r="AB305" s="482" t="s">
        <v>2913</v>
      </c>
      <c r="AC305" s="480" t="s">
        <v>3702</v>
      </c>
      <c r="AD305" s="482" t="s">
        <v>3703</v>
      </c>
      <c r="AE305" s="483" t="s">
        <v>3704</v>
      </c>
      <c r="AF305" s="472">
        <v>53100000</v>
      </c>
      <c r="AG305" s="473">
        <f>+U305-AF305</f>
        <v>0</v>
      </c>
      <c r="AK305" s="474">
        <v>2163333</v>
      </c>
      <c r="AL305" s="474">
        <v>5900000</v>
      </c>
      <c r="AM305" s="307">
        <v>5900000</v>
      </c>
    </row>
    <row r="306" spans="1:50" s="300" customFormat="1" ht="15" hidden="1" customHeight="1" x14ac:dyDescent="0.25">
      <c r="A306" s="475" t="s">
        <v>2671</v>
      </c>
      <c r="B306" s="476">
        <v>29981358</v>
      </c>
      <c r="C306" s="213" t="s">
        <v>2909</v>
      </c>
      <c r="D306" s="518">
        <v>301</v>
      </c>
      <c r="E306" s="327">
        <v>20217000011363</v>
      </c>
      <c r="F306" s="519">
        <v>44256</v>
      </c>
      <c r="G306" s="518" t="s">
        <v>2910</v>
      </c>
      <c r="H306" s="300" t="s">
        <v>2911</v>
      </c>
      <c r="I306" s="300" t="s">
        <v>164</v>
      </c>
      <c r="J306" s="478">
        <v>10902312</v>
      </c>
      <c r="K306" s="300" t="s">
        <v>138</v>
      </c>
      <c r="L306" s="300" t="s">
        <v>139</v>
      </c>
      <c r="M306" s="300" t="s">
        <v>44</v>
      </c>
      <c r="N306" s="300" t="s">
        <v>45</v>
      </c>
      <c r="O306" s="300" t="s">
        <v>142</v>
      </c>
      <c r="P306" s="300" t="s">
        <v>43</v>
      </c>
      <c r="R306" s="300">
        <v>320</v>
      </c>
      <c r="S306" s="520">
        <v>44256</v>
      </c>
      <c r="T306" s="497" t="s">
        <v>3705</v>
      </c>
      <c r="U306" s="474">
        <v>10902312</v>
      </c>
      <c r="V306" s="407"/>
      <c r="W306" s="401"/>
      <c r="X306" s="521">
        <v>267</v>
      </c>
      <c r="Y306" s="522">
        <v>44278</v>
      </c>
      <c r="Z306" s="494">
        <v>44270</v>
      </c>
      <c r="AA306" s="494">
        <v>44270</v>
      </c>
      <c r="AB306" s="495" t="s">
        <v>2913</v>
      </c>
      <c r="AC306" s="328">
        <v>192</v>
      </c>
      <c r="AD306" s="495" t="s">
        <v>3706</v>
      </c>
      <c r="AE306" s="497" t="s">
        <v>3084</v>
      </c>
      <c r="AF306" s="472">
        <v>10902312</v>
      </c>
      <c r="AH306" s="478"/>
      <c r="AI306" s="478"/>
      <c r="AJ306" s="474"/>
      <c r="AK306" s="474"/>
      <c r="AL306" s="474">
        <v>4088367</v>
      </c>
      <c r="AM306" s="307">
        <v>2725578</v>
      </c>
    </row>
    <row r="307" spans="1:50" ht="15" hidden="1" customHeight="1" x14ac:dyDescent="0.25">
      <c r="A307" s="475" t="s">
        <v>2332</v>
      </c>
      <c r="B307" s="476">
        <v>36795303</v>
      </c>
      <c r="C307" s="213" t="s">
        <v>2909</v>
      </c>
      <c r="D307" s="312">
        <v>302</v>
      </c>
      <c r="E307" s="310">
        <v>20217000011153</v>
      </c>
      <c r="F307" s="477">
        <v>44256</v>
      </c>
      <c r="G307" s="312" t="s">
        <v>2910</v>
      </c>
      <c r="H307" s="213" t="s">
        <v>2911</v>
      </c>
      <c r="I307" s="213" t="s">
        <v>164</v>
      </c>
      <c r="J307" s="474">
        <v>24600000</v>
      </c>
      <c r="K307" s="213" t="s">
        <v>138</v>
      </c>
      <c r="L307" s="213" t="s">
        <v>139</v>
      </c>
      <c r="M307" s="213" t="s">
        <v>44</v>
      </c>
      <c r="N307" s="213" t="s">
        <v>45</v>
      </c>
      <c r="O307" s="213" t="s">
        <v>142</v>
      </c>
      <c r="P307" s="213" t="s">
        <v>43</v>
      </c>
      <c r="R307" s="213">
        <v>316</v>
      </c>
      <c r="S307" s="487">
        <v>44256</v>
      </c>
      <c r="T307" s="483" t="s">
        <v>3707</v>
      </c>
      <c r="U307" s="474">
        <v>24600000</v>
      </c>
      <c r="V307" s="407"/>
      <c r="W307" s="363"/>
      <c r="X307" s="480" t="s">
        <v>3708</v>
      </c>
      <c r="Y307" s="481">
        <v>44292</v>
      </c>
      <c r="Z307" s="481">
        <v>44292</v>
      </c>
      <c r="AA307" s="481">
        <v>44474</v>
      </c>
      <c r="AB307" s="482" t="s">
        <v>2913</v>
      </c>
      <c r="AC307" s="480" t="s">
        <v>3654</v>
      </c>
      <c r="AD307" s="482" t="s">
        <v>3709</v>
      </c>
      <c r="AE307" s="483" t="s">
        <v>3710</v>
      </c>
      <c r="AF307" s="472">
        <v>24530202</v>
      </c>
      <c r="AL307" s="474">
        <v>3270694</v>
      </c>
      <c r="AM307" s="307">
        <v>4088367</v>
      </c>
    </row>
    <row r="308" spans="1:50" s="300" customFormat="1" ht="15" hidden="1" customHeight="1" x14ac:dyDescent="0.25">
      <c r="A308" s="475" t="s">
        <v>2277</v>
      </c>
      <c r="B308" s="476">
        <v>53148771</v>
      </c>
      <c r="C308" s="213" t="s">
        <v>2909</v>
      </c>
      <c r="D308" s="518">
        <v>303</v>
      </c>
      <c r="E308" s="327">
        <v>20217000011363</v>
      </c>
      <c r="F308" s="519">
        <v>44256</v>
      </c>
      <c r="G308" s="518" t="s">
        <v>2910</v>
      </c>
      <c r="H308" s="300" t="s">
        <v>2911</v>
      </c>
      <c r="I308" s="300" t="s">
        <v>164</v>
      </c>
      <c r="J308" s="478">
        <v>41400000</v>
      </c>
      <c r="K308" s="300" t="s">
        <v>138</v>
      </c>
      <c r="L308" s="300" t="s">
        <v>139</v>
      </c>
      <c r="M308" s="300" t="s">
        <v>44</v>
      </c>
      <c r="N308" s="300" t="s">
        <v>45</v>
      </c>
      <c r="O308" s="300" t="s">
        <v>142</v>
      </c>
      <c r="P308" s="300" t="s">
        <v>43</v>
      </c>
      <c r="R308" s="300">
        <v>315</v>
      </c>
      <c r="S308" s="520">
        <v>44256</v>
      </c>
      <c r="T308" s="497" t="s">
        <v>3711</v>
      </c>
      <c r="U308" s="474">
        <v>41400000</v>
      </c>
      <c r="V308" s="407"/>
      <c r="W308" s="401"/>
      <c r="X308" s="212" t="s">
        <v>3712</v>
      </c>
      <c r="Y308" s="471">
        <v>44300</v>
      </c>
      <c r="Z308" s="471">
        <v>44300</v>
      </c>
      <c r="AA308" s="471">
        <v>44514</v>
      </c>
      <c r="AB308" s="3" t="s">
        <v>2913</v>
      </c>
      <c r="AC308" s="212" t="s">
        <v>3713</v>
      </c>
      <c r="AD308" s="3" t="s">
        <v>3714</v>
      </c>
      <c r="AE308" s="213" t="s">
        <v>3715</v>
      </c>
      <c r="AF308" s="472">
        <v>41337933</v>
      </c>
      <c r="AH308" s="478"/>
      <c r="AI308" s="478"/>
      <c r="AJ308" s="474"/>
      <c r="AK308" s="474"/>
      <c r="AL308" s="474">
        <v>3149557</v>
      </c>
      <c r="AM308" s="307">
        <v>5905419</v>
      </c>
    </row>
    <row r="309" spans="1:50" ht="15" hidden="1" customHeight="1" x14ac:dyDescent="0.25">
      <c r="A309" s="475" t="s">
        <v>2044</v>
      </c>
      <c r="B309" s="476">
        <v>63000000</v>
      </c>
      <c r="C309" s="213" t="s">
        <v>2909</v>
      </c>
      <c r="D309" s="312">
        <v>304</v>
      </c>
      <c r="E309" s="312">
        <v>20216000013723</v>
      </c>
      <c r="F309" s="311">
        <v>44265</v>
      </c>
      <c r="G309" s="312" t="s">
        <v>2910</v>
      </c>
      <c r="H309" s="213" t="s">
        <v>2911</v>
      </c>
      <c r="I309" s="213" t="s">
        <v>214</v>
      </c>
      <c r="J309" s="474">
        <v>63000000</v>
      </c>
      <c r="K309" s="213" t="s">
        <v>138</v>
      </c>
      <c r="L309" s="213" t="s">
        <v>139</v>
      </c>
      <c r="M309" s="213" t="s">
        <v>44</v>
      </c>
      <c r="N309" s="213" t="s">
        <v>45</v>
      </c>
      <c r="O309" s="213" t="s">
        <v>142</v>
      </c>
      <c r="P309" s="213" t="s">
        <v>43</v>
      </c>
      <c r="R309" s="213">
        <v>385</v>
      </c>
      <c r="S309" s="487">
        <v>44266</v>
      </c>
      <c r="T309" s="483" t="s">
        <v>3716</v>
      </c>
      <c r="U309" s="474">
        <v>63000000</v>
      </c>
      <c r="V309" s="407"/>
      <c r="W309" s="363"/>
      <c r="X309" s="480" t="s">
        <v>3717</v>
      </c>
      <c r="Y309" s="481">
        <v>44273</v>
      </c>
      <c r="Z309" s="481">
        <v>44273</v>
      </c>
      <c r="AA309" s="481">
        <v>44548</v>
      </c>
      <c r="AB309" s="482" t="s">
        <v>2913</v>
      </c>
      <c r="AC309" s="480" t="s">
        <v>3718</v>
      </c>
      <c r="AD309" s="482" t="s">
        <v>3719</v>
      </c>
      <c r="AE309" s="483" t="s">
        <v>3720</v>
      </c>
      <c r="AF309" s="472">
        <v>63000000</v>
      </c>
      <c r="AK309" s="474">
        <v>2800000</v>
      </c>
      <c r="AL309" s="474">
        <v>7000000</v>
      </c>
      <c r="AM309" s="307">
        <v>7000000</v>
      </c>
    </row>
    <row r="310" spans="1:50" ht="15" hidden="1" customHeight="1" x14ac:dyDescent="0.25">
      <c r="B310" s="476" t="s">
        <v>97</v>
      </c>
      <c r="C310" s="213" t="s">
        <v>3721</v>
      </c>
      <c r="D310" s="312">
        <v>305</v>
      </c>
      <c r="E310" s="310">
        <v>20213000007933</v>
      </c>
      <c r="F310" s="477">
        <v>44256</v>
      </c>
      <c r="G310" s="312" t="s">
        <v>2903</v>
      </c>
      <c r="H310" s="213" t="s">
        <v>2904</v>
      </c>
      <c r="I310" s="213" t="s">
        <v>432</v>
      </c>
      <c r="J310" s="474">
        <v>138924000</v>
      </c>
      <c r="K310" s="213" t="s">
        <v>342</v>
      </c>
      <c r="L310" s="213" t="s">
        <v>343</v>
      </c>
      <c r="M310" s="213" t="s">
        <v>44</v>
      </c>
      <c r="N310" s="213" t="s">
        <v>45</v>
      </c>
      <c r="O310" s="213" t="s">
        <v>310</v>
      </c>
      <c r="P310" s="213" t="s">
        <v>678</v>
      </c>
      <c r="R310" s="213">
        <v>321</v>
      </c>
      <c r="S310" s="487">
        <v>44257</v>
      </c>
      <c r="T310" s="483" t="s">
        <v>3722</v>
      </c>
      <c r="U310" s="474">
        <v>138924000</v>
      </c>
      <c r="V310" s="407"/>
      <c r="W310" s="363"/>
      <c r="X310" s="480" t="s">
        <v>3723</v>
      </c>
      <c r="Y310" s="481">
        <v>44315</v>
      </c>
      <c r="Z310" s="481">
        <v>44315</v>
      </c>
      <c r="AA310" s="481">
        <v>44346</v>
      </c>
      <c r="AB310" s="482" t="s">
        <v>3369</v>
      </c>
      <c r="AC310" s="480" t="s">
        <v>3724</v>
      </c>
      <c r="AD310" s="482" t="s">
        <v>3725</v>
      </c>
      <c r="AE310" s="483" t="s">
        <v>3726</v>
      </c>
      <c r="AF310" s="472">
        <f>39760000+40952000+29106000+29106000</f>
        <v>138924000</v>
      </c>
      <c r="AG310" s="473">
        <f>+U310-AF310</f>
        <v>0</v>
      </c>
      <c r="AM310" s="307">
        <f>29106000+29106000+39760000+40952000</f>
        <v>138924000</v>
      </c>
    </row>
    <row r="311" spans="1:50" ht="15.75" hidden="1" customHeight="1" x14ac:dyDescent="0.25">
      <c r="B311" s="476" t="s">
        <v>97</v>
      </c>
      <c r="C311" s="512" t="s">
        <v>3727</v>
      </c>
      <c r="D311" s="312">
        <v>306</v>
      </c>
      <c r="E311" s="310">
        <v>20213000007953</v>
      </c>
      <c r="F311" s="477">
        <v>44256</v>
      </c>
      <c r="G311" s="312" t="s">
        <v>2903</v>
      </c>
      <c r="H311" s="213" t="s">
        <v>2904</v>
      </c>
      <c r="I311" s="213" t="s">
        <v>432</v>
      </c>
      <c r="J311" s="408">
        <v>32333000</v>
      </c>
      <c r="K311" s="213" t="s">
        <v>342</v>
      </c>
      <c r="L311" s="213" t="s">
        <v>343</v>
      </c>
      <c r="M311" s="213" t="s">
        <v>44</v>
      </c>
      <c r="N311" s="213" t="s">
        <v>45</v>
      </c>
      <c r="O311" s="213" t="s">
        <v>310</v>
      </c>
      <c r="P311" s="213" t="s">
        <v>678</v>
      </c>
      <c r="R311" s="213">
        <v>322</v>
      </c>
      <c r="S311" s="487">
        <v>44257</v>
      </c>
      <c r="T311" s="483" t="s">
        <v>3728</v>
      </c>
      <c r="U311" s="474">
        <v>32333000</v>
      </c>
      <c r="V311" s="407"/>
      <c r="W311" s="363"/>
      <c r="X311" s="480">
        <v>494</v>
      </c>
      <c r="Y311" s="481">
        <v>44312</v>
      </c>
      <c r="Z311" s="481">
        <v>44312</v>
      </c>
      <c r="AA311" s="481">
        <v>44346</v>
      </c>
      <c r="AB311" s="482" t="s">
        <v>3369</v>
      </c>
      <c r="AC311" s="480" t="s">
        <v>3729</v>
      </c>
      <c r="AD311" s="482" t="s">
        <v>3730</v>
      </c>
      <c r="AE311" s="483" t="s">
        <v>3731</v>
      </c>
      <c r="AF311" s="472">
        <f>15689000+16644000</f>
        <v>32333000</v>
      </c>
      <c r="AG311" s="473">
        <f>+U311-AF311</f>
        <v>0</v>
      </c>
      <c r="AL311" s="523">
        <v>32333000</v>
      </c>
      <c r="AM311" s="213"/>
    </row>
    <row r="312" spans="1:50" ht="15.75" hidden="1" customHeight="1" x14ac:dyDescent="0.25">
      <c r="B312" s="476" t="s">
        <v>97</v>
      </c>
      <c r="C312" s="512" t="s">
        <v>3732</v>
      </c>
      <c r="D312" s="312">
        <v>307</v>
      </c>
      <c r="E312" s="310">
        <v>20213000007983</v>
      </c>
      <c r="F312" s="477">
        <v>44256</v>
      </c>
      <c r="G312" s="312" t="s">
        <v>2903</v>
      </c>
      <c r="H312" s="213" t="s">
        <v>2904</v>
      </c>
      <c r="I312" s="213" t="s">
        <v>432</v>
      </c>
      <c r="J312" s="408">
        <v>30118000</v>
      </c>
      <c r="K312" s="213" t="s">
        <v>342</v>
      </c>
      <c r="L312" s="213" t="s">
        <v>343</v>
      </c>
      <c r="M312" s="213" t="s">
        <v>44</v>
      </c>
      <c r="N312" s="213" t="s">
        <v>45</v>
      </c>
      <c r="O312" s="213" t="s">
        <v>310</v>
      </c>
      <c r="P312" s="213" t="s">
        <v>678</v>
      </c>
      <c r="R312" s="213">
        <v>323</v>
      </c>
      <c r="S312" s="487">
        <v>44257</v>
      </c>
      <c r="T312" s="483" t="s">
        <v>3733</v>
      </c>
      <c r="U312" s="474">
        <v>30118000</v>
      </c>
      <c r="V312" s="407"/>
      <c r="W312" s="363"/>
      <c r="X312" s="480" t="s">
        <v>3734</v>
      </c>
      <c r="Y312" s="481">
        <v>44315</v>
      </c>
      <c r="Z312" s="481">
        <v>44315</v>
      </c>
      <c r="AA312" s="481">
        <v>44346</v>
      </c>
      <c r="AB312" s="482" t="s">
        <v>3369</v>
      </c>
      <c r="AC312" s="480" t="s">
        <v>3735</v>
      </c>
      <c r="AD312" s="482" t="s">
        <v>3725</v>
      </c>
      <c r="AE312" s="483" t="s">
        <v>3726</v>
      </c>
      <c r="AF312" s="472">
        <f>19815000+10303000</f>
        <v>30118000</v>
      </c>
      <c r="AG312" s="473">
        <f>+U312-AF312</f>
        <v>0</v>
      </c>
      <c r="AL312" s="474">
        <v>30118000</v>
      </c>
      <c r="AM312" s="213"/>
    </row>
    <row r="313" spans="1:50" ht="15" hidden="1" customHeight="1" x14ac:dyDescent="0.25">
      <c r="B313" s="476" t="s">
        <v>97</v>
      </c>
      <c r="C313" s="524" t="s">
        <v>3736</v>
      </c>
      <c r="D313" s="312">
        <v>308</v>
      </c>
      <c r="E313" s="310">
        <v>20213000007993</v>
      </c>
      <c r="F313" s="477">
        <v>44256</v>
      </c>
      <c r="G313" s="312" t="s">
        <v>2903</v>
      </c>
      <c r="H313" s="213" t="s">
        <v>2904</v>
      </c>
      <c r="I313" s="213" t="s">
        <v>432</v>
      </c>
      <c r="J313" s="408">
        <v>42874000</v>
      </c>
      <c r="K313" s="213" t="s">
        <v>342</v>
      </c>
      <c r="L313" s="213" t="s">
        <v>343</v>
      </c>
      <c r="M313" s="213" t="s">
        <v>44</v>
      </c>
      <c r="N313" s="213" t="s">
        <v>45</v>
      </c>
      <c r="O313" s="213" t="s">
        <v>310</v>
      </c>
      <c r="P313" s="213" t="s">
        <v>678</v>
      </c>
      <c r="R313" s="213">
        <v>324</v>
      </c>
      <c r="S313" s="487">
        <v>44257</v>
      </c>
      <c r="T313" s="483" t="s">
        <v>3737</v>
      </c>
      <c r="U313" s="474">
        <v>42874000</v>
      </c>
      <c r="V313" s="407"/>
      <c r="X313" s="480" t="s">
        <v>3738</v>
      </c>
      <c r="Y313" s="487">
        <v>44376</v>
      </c>
      <c r="Z313" s="481">
        <v>44376</v>
      </c>
      <c r="AA313" s="487">
        <v>44407</v>
      </c>
      <c r="AB313" s="483" t="s">
        <v>3369</v>
      </c>
      <c r="AC313" s="480" t="s">
        <v>3729</v>
      </c>
      <c r="AD313" s="483" t="s">
        <v>3730</v>
      </c>
      <c r="AE313" s="483" t="s">
        <v>3739</v>
      </c>
      <c r="AF313" s="689">
        <v>42874000</v>
      </c>
      <c r="AG313" s="473">
        <f>+U313-AF313</f>
        <v>0</v>
      </c>
      <c r="AM313" s="213"/>
    </row>
    <row r="314" spans="1:50" ht="15.75" hidden="1" customHeight="1" x14ac:dyDescent="0.25">
      <c r="A314" s="475" t="s">
        <v>3740</v>
      </c>
      <c r="B314" s="476">
        <v>301405000</v>
      </c>
      <c r="C314" s="512" t="s">
        <v>2446</v>
      </c>
      <c r="D314" s="312">
        <v>309</v>
      </c>
      <c r="E314" s="310">
        <v>20215000011503</v>
      </c>
      <c r="F314" s="477">
        <v>44258</v>
      </c>
      <c r="G314" s="312" t="s">
        <v>2903</v>
      </c>
      <c r="H314" s="213" t="s">
        <v>2904</v>
      </c>
      <c r="I314" s="213" t="s">
        <v>228</v>
      </c>
      <c r="J314" s="427">
        <v>301405000</v>
      </c>
      <c r="K314" s="213" t="s">
        <v>223</v>
      </c>
      <c r="L314" s="213" t="s">
        <v>269</v>
      </c>
      <c r="M314" s="213" t="s">
        <v>44</v>
      </c>
      <c r="N314" s="213" t="s">
        <v>3199</v>
      </c>
      <c r="O314" s="213" t="s">
        <v>255</v>
      </c>
      <c r="P314" s="213" t="s">
        <v>678</v>
      </c>
      <c r="R314" s="213">
        <v>328</v>
      </c>
      <c r="S314" s="487">
        <v>44258</v>
      </c>
      <c r="T314" s="483" t="s">
        <v>3741</v>
      </c>
      <c r="U314" s="474">
        <v>301405000</v>
      </c>
      <c r="V314" s="407"/>
      <c r="W314" s="363"/>
      <c r="AM314" s="213"/>
    </row>
    <row r="315" spans="1:50" ht="15.75" hidden="1" customHeight="1" x14ac:dyDescent="0.25">
      <c r="B315" s="498" t="s">
        <v>3279</v>
      </c>
      <c r="C315" s="213" t="s">
        <v>3742</v>
      </c>
      <c r="D315" s="312">
        <v>310</v>
      </c>
      <c r="E315" s="312">
        <v>20214000007803</v>
      </c>
      <c r="F315" s="477">
        <v>44239</v>
      </c>
      <c r="G315" s="312" t="s">
        <v>2943</v>
      </c>
      <c r="H315" s="213" t="s">
        <v>2944</v>
      </c>
      <c r="I315" s="213" t="s">
        <v>47</v>
      </c>
      <c r="J315" s="427">
        <v>19649997</v>
      </c>
      <c r="K315" s="213" t="s">
        <v>37</v>
      </c>
      <c r="L315" s="512" t="s">
        <v>3443</v>
      </c>
      <c r="M315" s="213" t="s">
        <v>44</v>
      </c>
      <c r="N315" s="213" t="s">
        <v>45</v>
      </c>
      <c r="O315" s="213" t="s">
        <v>310</v>
      </c>
      <c r="P315" s="213" t="s">
        <v>43</v>
      </c>
      <c r="R315" s="213">
        <v>237</v>
      </c>
      <c r="S315" s="477">
        <v>44242</v>
      </c>
      <c r="T315" s="213" t="s">
        <v>3743</v>
      </c>
      <c r="U315" s="486">
        <v>19649997</v>
      </c>
      <c r="V315" s="407"/>
      <c r="W315" s="400"/>
      <c r="X315" s="480" t="s">
        <v>3744</v>
      </c>
      <c r="Y315" s="481">
        <v>44273</v>
      </c>
      <c r="Z315" s="481">
        <v>44274</v>
      </c>
      <c r="AA315" s="481">
        <v>44304</v>
      </c>
      <c r="AB315" s="482" t="s">
        <v>2933</v>
      </c>
      <c r="AC315" s="480" t="s">
        <v>3745</v>
      </c>
      <c r="AD315" s="482" t="s">
        <v>3746</v>
      </c>
      <c r="AE315" s="483" t="s">
        <v>3747</v>
      </c>
      <c r="AF315" s="485">
        <v>19649997</v>
      </c>
      <c r="AG315" s="473">
        <f>+U315-AF315</f>
        <v>0</v>
      </c>
      <c r="AH315" s="427"/>
      <c r="AM315" s="213"/>
    </row>
    <row r="316" spans="1:50" ht="15" hidden="1" customHeight="1" x14ac:dyDescent="0.25">
      <c r="B316" s="498"/>
      <c r="C316" s="516" t="s">
        <v>3748</v>
      </c>
      <c r="D316" s="312">
        <v>311</v>
      </c>
      <c r="E316" s="312">
        <v>20212000012553</v>
      </c>
      <c r="F316" s="477">
        <v>44263</v>
      </c>
      <c r="G316" s="312" t="s">
        <v>2903</v>
      </c>
      <c r="H316" s="213" t="s">
        <v>2904</v>
      </c>
      <c r="I316" s="213" t="s">
        <v>391</v>
      </c>
      <c r="J316" s="474">
        <v>4686499723</v>
      </c>
      <c r="K316" s="213" t="s">
        <v>426</v>
      </c>
      <c r="L316" s="213" t="s">
        <v>427</v>
      </c>
      <c r="M316" s="213" t="s">
        <v>44</v>
      </c>
      <c r="N316" s="213" t="s">
        <v>45</v>
      </c>
      <c r="O316" s="213" t="s">
        <v>63</v>
      </c>
      <c r="P316" s="213" t="s">
        <v>678</v>
      </c>
      <c r="R316" s="213">
        <v>339</v>
      </c>
      <c r="S316" s="487">
        <v>44263</v>
      </c>
      <c r="T316" s="483" t="s">
        <v>3749</v>
      </c>
      <c r="U316" s="474">
        <v>4686499723</v>
      </c>
      <c r="V316" s="427"/>
      <c r="W316" s="517"/>
      <c r="X316" s="480" t="s">
        <v>3750</v>
      </c>
      <c r="Y316" s="481">
        <v>44274</v>
      </c>
      <c r="Z316" s="481">
        <v>44274</v>
      </c>
      <c r="AA316" s="481">
        <v>44423</v>
      </c>
      <c r="AB316" s="482" t="s">
        <v>3602</v>
      </c>
      <c r="AC316" s="480" t="s">
        <v>3750</v>
      </c>
      <c r="AD316" s="482" t="s">
        <v>3751</v>
      </c>
      <c r="AE316" s="483" t="s">
        <v>3752</v>
      </c>
      <c r="AF316" s="472">
        <v>4686499723</v>
      </c>
      <c r="AM316" s="213"/>
    </row>
    <row r="317" spans="1:50" ht="15" hidden="1" customHeight="1" x14ac:dyDescent="0.25">
      <c r="A317" s="475" t="s">
        <v>2677</v>
      </c>
      <c r="B317" s="476">
        <v>79314319</v>
      </c>
      <c r="C317" s="213" t="s">
        <v>2909</v>
      </c>
      <c r="D317" s="312">
        <v>312</v>
      </c>
      <c r="E317" s="310">
        <v>20217000011923</v>
      </c>
      <c r="F317" s="477">
        <v>44258</v>
      </c>
      <c r="G317" s="312" t="s">
        <v>2910</v>
      </c>
      <c r="H317" s="213" t="s">
        <v>2911</v>
      </c>
      <c r="I317" s="213" t="s">
        <v>164</v>
      </c>
      <c r="J317" s="474">
        <v>52876212</v>
      </c>
      <c r="K317" s="213" t="s">
        <v>138</v>
      </c>
      <c r="L317" s="213" t="s">
        <v>139</v>
      </c>
      <c r="M317" s="213" t="s">
        <v>44</v>
      </c>
      <c r="N317" s="213" t="s">
        <v>45</v>
      </c>
      <c r="O317" s="213" t="s">
        <v>142</v>
      </c>
      <c r="P317" s="213" t="s">
        <v>43</v>
      </c>
      <c r="R317" s="213">
        <v>329</v>
      </c>
      <c r="S317" s="487">
        <v>44258</v>
      </c>
      <c r="T317" s="483" t="s">
        <v>3753</v>
      </c>
      <c r="U317" s="474">
        <v>52876212</v>
      </c>
      <c r="V317" s="407"/>
      <c r="W317" s="363"/>
      <c r="X317" s="480" t="s">
        <v>3209</v>
      </c>
      <c r="Y317" s="481">
        <v>44285</v>
      </c>
      <c r="Z317" s="481">
        <v>44285</v>
      </c>
      <c r="AA317" s="481">
        <v>44469</v>
      </c>
      <c r="AB317" s="482" t="s">
        <v>2913</v>
      </c>
      <c r="AC317" s="480" t="s">
        <v>3754</v>
      </c>
      <c r="AD317" s="482" t="s">
        <v>3755</v>
      </c>
      <c r="AE317" s="483" t="s">
        <v>2966</v>
      </c>
      <c r="AF317" s="472">
        <v>52876212</v>
      </c>
      <c r="AL317" s="474">
        <v>9106459</v>
      </c>
      <c r="AM317" s="307">
        <v>8812702</v>
      </c>
    </row>
    <row r="318" spans="1:50" ht="15.75" hidden="1" customHeight="1" x14ac:dyDescent="0.25">
      <c r="B318" s="498" t="s">
        <v>2946</v>
      </c>
      <c r="C318" s="515" t="s">
        <v>3562</v>
      </c>
      <c r="D318" s="213">
        <v>313</v>
      </c>
      <c r="E318" s="310">
        <v>20215000009113</v>
      </c>
      <c r="F318" s="311">
        <v>44250</v>
      </c>
      <c r="G318" s="310" t="s">
        <v>2903</v>
      </c>
      <c r="H318" s="211" t="s">
        <v>2904</v>
      </c>
      <c r="I318" s="211" t="s">
        <v>228</v>
      </c>
      <c r="J318" s="408">
        <v>114229680</v>
      </c>
      <c r="K318" s="213" t="s">
        <v>223</v>
      </c>
      <c r="L318" s="213" t="s">
        <v>224</v>
      </c>
      <c r="M318" s="211" t="s">
        <v>44</v>
      </c>
      <c r="N318" s="211" t="s">
        <v>45</v>
      </c>
      <c r="O318" s="211" t="s">
        <v>265</v>
      </c>
      <c r="P318" s="211" t="s">
        <v>678</v>
      </c>
      <c r="Q318" s="211"/>
      <c r="R318" s="483">
        <v>282</v>
      </c>
      <c r="S318" s="487">
        <v>44250</v>
      </c>
      <c r="T318" s="483" t="s">
        <v>3756</v>
      </c>
      <c r="U318" s="474">
        <v>114229680</v>
      </c>
      <c r="V318" s="407"/>
      <c r="W318" s="363"/>
      <c r="X318" s="480" t="s">
        <v>3689</v>
      </c>
      <c r="Y318" s="481">
        <v>44274</v>
      </c>
      <c r="Z318" s="481">
        <v>44268</v>
      </c>
      <c r="AA318" s="481">
        <v>44362</v>
      </c>
      <c r="AB318" s="482" t="s">
        <v>2913</v>
      </c>
      <c r="AC318" s="480" t="s">
        <v>3490</v>
      </c>
      <c r="AD318" s="482" t="s">
        <v>3757</v>
      </c>
      <c r="AE318" s="483" t="s">
        <v>3758</v>
      </c>
      <c r="AF318" s="472">
        <v>114229680</v>
      </c>
      <c r="AG318" s="473">
        <f>+U318-AF318</f>
        <v>0</v>
      </c>
      <c r="AH318" s="408"/>
      <c r="AI318" s="408"/>
      <c r="AK318" s="474">
        <v>47482639</v>
      </c>
      <c r="AM318" s="307">
        <v>43291343</v>
      </c>
      <c r="AN318" s="211"/>
      <c r="AO318" s="211"/>
      <c r="AP318" s="211"/>
      <c r="AQ318" s="211"/>
      <c r="AR318" s="211"/>
      <c r="AS318" s="211"/>
      <c r="AT318" s="211"/>
      <c r="AU318" s="211"/>
      <c r="AV318" s="211"/>
      <c r="AW318" s="211"/>
      <c r="AX318" s="211"/>
    </row>
    <row r="319" spans="1:50" ht="15" hidden="1" customHeight="1" x14ac:dyDescent="0.25">
      <c r="A319" s="475" t="s">
        <v>2639</v>
      </c>
      <c r="B319" s="476">
        <v>65413872</v>
      </c>
      <c r="C319" s="213" t="s">
        <v>2909</v>
      </c>
      <c r="D319" s="312">
        <v>314</v>
      </c>
      <c r="E319" s="310">
        <v>20217000012233</v>
      </c>
      <c r="F319" s="477">
        <v>44259</v>
      </c>
      <c r="G319" s="312" t="s">
        <v>2910</v>
      </c>
      <c r="H319" s="213" t="s">
        <v>2911</v>
      </c>
      <c r="I319" s="213" t="s">
        <v>164</v>
      </c>
      <c r="J319" s="474">
        <v>50877456</v>
      </c>
      <c r="K319" s="213" t="s">
        <v>138</v>
      </c>
      <c r="L319" s="213" t="s">
        <v>139</v>
      </c>
      <c r="M319" s="213" t="s">
        <v>44</v>
      </c>
      <c r="N319" s="213" t="s">
        <v>45</v>
      </c>
      <c r="O319" s="213" t="s">
        <v>142</v>
      </c>
      <c r="P319" s="213" t="s">
        <v>43</v>
      </c>
      <c r="R319" s="213">
        <v>331</v>
      </c>
      <c r="S319" s="487">
        <v>44259</v>
      </c>
      <c r="T319" s="483" t="s">
        <v>3759</v>
      </c>
      <c r="U319" s="474">
        <v>50877456</v>
      </c>
      <c r="V319" s="407"/>
      <c r="W319" s="363"/>
      <c r="X319" s="480" t="s">
        <v>3760</v>
      </c>
      <c r="Y319" s="481">
        <v>44286</v>
      </c>
      <c r="Z319" s="481">
        <v>44286</v>
      </c>
      <c r="AA319" s="481">
        <v>44500</v>
      </c>
      <c r="AB319" s="482" t="s">
        <v>2913</v>
      </c>
      <c r="AC319" s="480" t="s">
        <v>3761</v>
      </c>
      <c r="AD319" s="482" t="s">
        <v>3762</v>
      </c>
      <c r="AE319" s="483" t="s">
        <v>3763</v>
      </c>
      <c r="AF319" s="472">
        <v>50877456</v>
      </c>
      <c r="AL319" s="474">
        <v>6299114</v>
      </c>
      <c r="AM319" s="307">
        <v>7268208</v>
      </c>
    </row>
    <row r="320" spans="1:50" s="313" customFormat="1" ht="15.75" hidden="1" customHeight="1" x14ac:dyDescent="0.25">
      <c r="A320" s="362" t="s">
        <v>2491</v>
      </c>
      <c r="B320" s="418" t="s">
        <v>3764</v>
      </c>
      <c r="C320" s="313" t="s">
        <v>3765</v>
      </c>
      <c r="D320" s="326">
        <v>315</v>
      </c>
      <c r="E320" s="326">
        <v>20214000011953</v>
      </c>
      <c r="F320" s="316">
        <v>44260</v>
      </c>
      <c r="G320" s="326" t="s">
        <v>2943</v>
      </c>
      <c r="H320" s="313" t="s">
        <v>2944</v>
      </c>
      <c r="I320" s="313" t="s">
        <v>47</v>
      </c>
      <c r="J320" s="407">
        <v>281078765</v>
      </c>
      <c r="K320" s="313" t="s">
        <v>37</v>
      </c>
      <c r="L320" s="507" t="s">
        <v>3443</v>
      </c>
      <c r="M320" s="313" t="s">
        <v>44</v>
      </c>
      <c r="N320" s="313" t="s">
        <v>45</v>
      </c>
      <c r="O320" s="213" t="s">
        <v>310</v>
      </c>
      <c r="P320" s="313" t="s">
        <v>84</v>
      </c>
      <c r="R320" s="313">
        <v>344</v>
      </c>
      <c r="S320" s="364">
        <v>44263</v>
      </c>
      <c r="T320" s="361" t="s">
        <v>3766</v>
      </c>
      <c r="U320" s="407">
        <f>281078765-281078765</f>
        <v>0</v>
      </c>
      <c r="V320" s="443">
        <v>281078765</v>
      </c>
      <c r="W320" s="399"/>
      <c r="X320" s="315"/>
      <c r="Y320" s="359"/>
      <c r="Z320" s="359"/>
      <c r="AA320" s="359"/>
      <c r="AB320" s="318"/>
      <c r="AC320" s="317"/>
      <c r="AD320" s="318"/>
      <c r="AF320" s="412"/>
      <c r="AH320" s="407"/>
      <c r="AI320" s="407"/>
      <c r="AJ320" s="406"/>
      <c r="AK320" s="406"/>
      <c r="AL320" s="406"/>
      <c r="AM320" s="213"/>
    </row>
    <row r="321" spans="1:50" ht="15" hidden="1" customHeight="1" x14ac:dyDescent="0.25">
      <c r="A321" s="475" t="s">
        <v>2548</v>
      </c>
      <c r="B321" s="476">
        <v>51408000</v>
      </c>
      <c r="C321" s="213" t="s">
        <v>2909</v>
      </c>
      <c r="D321" s="312">
        <v>316</v>
      </c>
      <c r="E321" s="310">
        <v>20212000012393</v>
      </c>
      <c r="F321" s="477">
        <v>44263</v>
      </c>
      <c r="G321" s="312" t="s">
        <v>2903</v>
      </c>
      <c r="H321" s="213" t="s">
        <v>2904</v>
      </c>
      <c r="I321" s="213" t="s">
        <v>391</v>
      </c>
      <c r="J321" s="474">
        <v>45900000</v>
      </c>
      <c r="K321" s="213" t="s">
        <v>396</v>
      </c>
      <c r="L321" s="213" t="s">
        <v>397</v>
      </c>
      <c r="M321" s="213" t="s">
        <v>44</v>
      </c>
      <c r="N321" s="213" t="s">
        <v>45</v>
      </c>
      <c r="O321" s="213" t="s">
        <v>63</v>
      </c>
      <c r="P321" s="213" t="s">
        <v>678</v>
      </c>
      <c r="R321" s="213">
        <v>335</v>
      </c>
      <c r="S321" s="487">
        <v>44263</v>
      </c>
      <c r="T321" s="483" t="s">
        <v>3767</v>
      </c>
      <c r="U321" s="474">
        <v>45900000</v>
      </c>
      <c r="V321" s="407"/>
      <c r="W321" s="363"/>
      <c r="X321" s="480" t="s">
        <v>3768</v>
      </c>
      <c r="Y321" s="481">
        <v>44319</v>
      </c>
      <c r="Z321" s="481">
        <v>44319</v>
      </c>
      <c r="AA321" s="481">
        <v>44471</v>
      </c>
      <c r="AB321" s="483" t="s">
        <v>2913</v>
      </c>
      <c r="AC321" s="480" t="s">
        <v>3688</v>
      </c>
      <c r="AD321" s="483" t="s">
        <v>3769</v>
      </c>
      <c r="AE321" s="483" t="s">
        <v>3770</v>
      </c>
      <c r="AF321" s="472">
        <v>22950000</v>
      </c>
      <c r="AM321" s="307">
        <v>3978000</v>
      </c>
    </row>
    <row r="322" spans="1:50" ht="15" hidden="1" customHeight="1" x14ac:dyDescent="0.25">
      <c r="A322" s="465" t="s">
        <v>2549</v>
      </c>
      <c r="B322" s="466">
        <v>62832000</v>
      </c>
      <c r="C322" s="213" t="s">
        <v>2909</v>
      </c>
      <c r="D322" s="468">
        <v>317</v>
      </c>
      <c r="E322" s="468">
        <v>20212000012403</v>
      </c>
      <c r="F322" s="469">
        <v>44263</v>
      </c>
      <c r="G322" s="468" t="s">
        <v>2903</v>
      </c>
      <c r="H322" s="467" t="s">
        <v>2904</v>
      </c>
      <c r="I322" s="467" t="s">
        <v>391</v>
      </c>
      <c r="J322" s="470">
        <v>28050000</v>
      </c>
      <c r="K322" s="467" t="s">
        <v>396</v>
      </c>
      <c r="L322" s="467" t="s">
        <v>397</v>
      </c>
      <c r="M322" s="467" t="s">
        <v>44</v>
      </c>
      <c r="N322" s="467" t="s">
        <v>45</v>
      </c>
      <c r="O322" s="467" t="s">
        <v>63</v>
      </c>
      <c r="P322" s="213" t="s">
        <v>678</v>
      </c>
      <c r="Q322" s="467"/>
      <c r="R322" s="467">
        <v>336</v>
      </c>
      <c r="S322" s="525">
        <v>44263</v>
      </c>
      <c r="T322" s="526" t="s">
        <v>3771</v>
      </c>
      <c r="U322" s="470">
        <v>28050000</v>
      </c>
      <c r="V322" s="415"/>
      <c r="W322" s="380"/>
      <c r="X322" s="480" t="s">
        <v>3772</v>
      </c>
      <c r="Y322" s="481">
        <v>44285</v>
      </c>
      <c r="Z322" s="481">
        <v>44285</v>
      </c>
      <c r="AA322" s="481">
        <v>44438</v>
      </c>
      <c r="AB322" s="482" t="s">
        <v>2913</v>
      </c>
      <c r="AC322" s="480" t="s">
        <v>3773</v>
      </c>
      <c r="AD322" s="482" t="s">
        <v>3774</v>
      </c>
      <c r="AE322" s="483" t="s">
        <v>3775</v>
      </c>
      <c r="AF322" s="472">
        <v>28050000</v>
      </c>
      <c r="AI322" s="470"/>
      <c r="AJ322" s="470"/>
      <c r="AK322" s="470"/>
      <c r="AL322" s="470">
        <v>5797000</v>
      </c>
      <c r="AM322" s="307">
        <v>5610000</v>
      </c>
    </row>
    <row r="323" spans="1:50" ht="15" hidden="1" customHeight="1" x14ac:dyDescent="0.25">
      <c r="A323" s="475" t="s">
        <v>2161</v>
      </c>
      <c r="B323" s="476">
        <v>40290000</v>
      </c>
      <c r="C323" s="213" t="s">
        <v>2909</v>
      </c>
      <c r="D323" s="312">
        <v>318</v>
      </c>
      <c r="E323" s="312">
        <v>20212000012413</v>
      </c>
      <c r="F323" s="477">
        <v>44263</v>
      </c>
      <c r="G323" s="312" t="s">
        <v>2903</v>
      </c>
      <c r="H323" s="213" t="s">
        <v>2904</v>
      </c>
      <c r="I323" s="213" t="s">
        <v>391</v>
      </c>
      <c r="J323" s="474">
        <v>38836000</v>
      </c>
      <c r="K323" s="211" t="s">
        <v>2974</v>
      </c>
      <c r="L323" s="213" t="s">
        <v>2975</v>
      </c>
      <c r="M323" s="213" t="s">
        <v>44</v>
      </c>
      <c r="N323" s="213" t="s">
        <v>45</v>
      </c>
      <c r="O323" s="213" t="s">
        <v>63</v>
      </c>
      <c r="P323" s="213" t="s">
        <v>678</v>
      </c>
      <c r="R323" s="213">
        <v>337</v>
      </c>
      <c r="S323" s="487">
        <v>44263</v>
      </c>
      <c r="T323" s="483" t="s">
        <v>3776</v>
      </c>
      <c r="U323" s="474">
        <v>38836000</v>
      </c>
      <c r="V323" s="407"/>
      <c r="W323" s="363"/>
      <c r="X323" s="480" t="s">
        <v>3777</v>
      </c>
      <c r="Y323" s="481">
        <v>44299</v>
      </c>
      <c r="Z323" s="481">
        <v>44299</v>
      </c>
      <c r="AA323" s="481">
        <v>44561</v>
      </c>
      <c r="AB323" s="482" t="s">
        <v>2913</v>
      </c>
      <c r="AC323" s="480" t="s">
        <v>3778</v>
      </c>
      <c r="AD323" s="482" t="s">
        <v>3779</v>
      </c>
      <c r="AE323" s="483" t="s">
        <v>3780</v>
      </c>
      <c r="AF323" s="472">
        <v>34748000</v>
      </c>
      <c r="AL323" s="474">
        <v>2589066</v>
      </c>
      <c r="AM323" s="307">
        <v>4088000</v>
      </c>
    </row>
    <row r="324" spans="1:50" ht="15" hidden="1" customHeight="1" x14ac:dyDescent="0.25">
      <c r="A324" s="475" t="s">
        <v>2094</v>
      </c>
      <c r="B324" s="476">
        <v>46400000</v>
      </c>
      <c r="C324" s="213" t="s">
        <v>2909</v>
      </c>
      <c r="D324" s="312">
        <v>319</v>
      </c>
      <c r="E324" s="312">
        <v>20213000012263</v>
      </c>
      <c r="F324" s="477">
        <v>44263</v>
      </c>
      <c r="G324" s="312" t="s">
        <v>2903</v>
      </c>
      <c r="H324" s="213" t="s">
        <v>2904</v>
      </c>
      <c r="I324" s="213" t="s">
        <v>432</v>
      </c>
      <c r="J324" s="474">
        <v>46400000</v>
      </c>
      <c r="K324" s="213" t="s">
        <v>342</v>
      </c>
      <c r="L324" s="213" t="s">
        <v>351</v>
      </c>
      <c r="M324" s="213" t="s">
        <v>44</v>
      </c>
      <c r="N324" s="213" t="s">
        <v>45</v>
      </c>
      <c r="O324" s="213" t="s">
        <v>63</v>
      </c>
      <c r="P324" s="213" t="s">
        <v>678</v>
      </c>
      <c r="R324" s="213">
        <v>334</v>
      </c>
      <c r="S324" s="487">
        <v>44263</v>
      </c>
      <c r="T324" s="483" t="s">
        <v>3781</v>
      </c>
      <c r="U324" s="474">
        <f>46400000-6424856</f>
        <v>39975144</v>
      </c>
      <c r="V324" s="412">
        <v>6424856</v>
      </c>
      <c r="W324" s="398"/>
      <c r="X324" s="480" t="s">
        <v>3782</v>
      </c>
      <c r="Y324" s="481">
        <v>44285</v>
      </c>
      <c r="Z324" s="481">
        <v>44285</v>
      </c>
      <c r="AA324" s="481">
        <v>44530</v>
      </c>
      <c r="AB324" s="482" t="s">
        <v>2913</v>
      </c>
      <c r="AC324" s="480" t="s">
        <v>3783</v>
      </c>
      <c r="AD324" s="482" t="s">
        <v>3784</v>
      </c>
      <c r="AE324" s="483" t="s">
        <v>3062</v>
      </c>
      <c r="AF324" s="472">
        <v>39975144</v>
      </c>
      <c r="AL324" s="474">
        <v>4996893</v>
      </c>
      <c r="AM324" s="307">
        <v>4996893</v>
      </c>
    </row>
    <row r="325" spans="1:50" ht="16.5" hidden="1" customHeight="1" x14ac:dyDescent="0.3">
      <c r="C325" s="516" t="s">
        <v>3785</v>
      </c>
      <c r="D325" s="312">
        <v>320</v>
      </c>
      <c r="E325" s="312">
        <v>20212000012523</v>
      </c>
      <c r="F325" s="477">
        <v>44263</v>
      </c>
      <c r="G325" s="312" t="s">
        <v>2903</v>
      </c>
      <c r="H325" s="213" t="s">
        <v>2904</v>
      </c>
      <c r="I325" s="213" t="s">
        <v>391</v>
      </c>
      <c r="J325" s="474">
        <v>966711398</v>
      </c>
      <c r="K325" s="213" t="s">
        <v>426</v>
      </c>
      <c r="L325" s="213" t="s">
        <v>427</v>
      </c>
      <c r="M325" s="213" t="s">
        <v>44</v>
      </c>
      <c r="N325" s="213" t="s">
        <v>45</v>
      </c>
      <c r="O325" s="213" t="s">
        <v>63</v>
      </c>
      <c r="P325" s="213" t="s">
        <v>678</v>
      </c>
      <c r="R325" s="213">
        <v>338</v>
      </c>
      <c r="S325" s="487">
        <v>44263</v>
      </c>
      <c r="T325" s="483" t="s">
        <v>3786</v>
      </c>
      <c r="U325" s="474">
        <v>966711398</v>
      </c>
      <c r="V325" s="427"/>
      <c r="W325" s="517"/>
      <c r="X325" s="480" t="s">
        <v>3787</v>
      </c>
      <c r="Y325" s="481">
        <v>44295</v>
      </c>
      <c r="Z325" s="481">
        <v>44295</v>
      </c>
      <c r="AA325" s="481">
        <v>44423</v>
      </c>
      <c r="AB325" s="482" t="s">
        <v>3602</v>
      </c>
      <c r="AC325" s="480" t="s">
        <v>3698</v>
      </c>
      <c r="AD325" s="482" t="s">
        <v>3788</v>
      </c>
      <c r="AE325" s="483" t="s">
        <v>2956</v>
      </c>
      <c r="AF325" s="472">
        <v>966711398</v>
      </c>
      <c r="AM325" s="213"/>
    </row>
    <row r="326" spans="1:50" ht="15" hidden="1" customHeight="1" x14ac:dyDescent="0.25">
      <c r="A326" s="475" t="s">
        <v>2216</v>
      </c>
      <c r="B326" s="476">
        <v>69750000</v>
      </c>
      <c r="C326" s="213" t="s">
        <v>2909</v>
      </c>
      <c r="D326" s="312">
        <v>321</v>
      </c>
      <c r="E326" s="312">
        <v>20216000013623</v>
      </c>
      <c r="F326" s="311">
        <v>44265</v>
      </c>
      <c r="G326" s="312" t="s">
        <v>2910</v>
      </c>
      <c r="H326" s="213" t="s">
        <v>2911</v>
      </c>
      <c r="I326" s="213" t="s">
        <v>214</v>
      </c>
      <c r="J326" s="474">
        <v>69750000</v>
      </c>
      <c r="K326" s="213" t="s">
        <v>138</v>
      </c>
      <c r="L326" s="213" t="s">
        <v>139</v>
      </c>
      <c r="M326" s="213" t="s">
        <v>44</v>
      </c>
      <c r="N326" s="213" t="s">
        <v>45</v>
      </c>
      <c r="O326" s="213" t="s">
        <v>142</v>
      </c>
      <c r="P326" s="213" t="s">
        <v>43</v>
      </c>
      <c r="R326" s="213">
        <v>380</v>
      </c>
      <c r="S326" s="487">
        <v>44266</v>
      </c>
      <c r="T326" s="483" t="s">
        <v>3789</v>
      </c>
      <c r="U326" s="474">
        <v>69750000</v>
      </c>
      <c r="V326" s="407"/>
      <c r="W326" s="363"/>
      <c r="X326" s="480" t="s">
        <v>3603</v>
      </c>
      <c r="Y326" s="481">
        <v>44274</v>
      </c>
      <c r="Z326" s="481">
        <v>44274</v>
      </c>
      <c r="AA326" s="481">
        <v>44549</v>
      </c>
      <c r="AB326" s="482" t="s">
        <v>2913</v>
      </c>
      <c r="AC326" s="480" t="s">
        <v>3790</v>
      </c>
      <c r="AD326" s="482" t="s">
        <v>3791</v>
      </c>
      <c r="AE326" s="483" t="s">
        <v>3792</v>
      </c>
      <c r="AF326" s="472">
        <v>69750000</v>
      </c>
      <c r="AK326" s="474">
        <v>3100000</v>
      </c>
      <c r="AL326" s="474">
        <v>7750000</v>
      </c>
      <c r="AM326" s="307">
        <v>7750000</v>
      </c>
    </row>
    <row r="327" spans="1:50" ht="15.75" hidden="1" customHeight="1" x14ac:dyDescent="0.25">
      <c r="C327" s="516" t="s">
        <v>3793</v>
      </c>
      <c r="D327" s="312">
        <v>322</v>
      </c>
      <c r="E327" s="312">
        <v>20212000012573</v>
      </c>
      <c r="F327" s="477">
        <v>44263</v>
      </c>
      <c r="G327" s="312" t="s">
        <v>2903</v>
      </c>
      <c r="H327" s="213" t="s">
        <v>2904</v>
      </c>
      <c r="I327" s="213" t="s">
        <v>391</v>
      </c>
      <c r="J327" s="474">
        <v>1838152627</v>
      </c>
      <c r="K327" s="213" t="s">
        <v>426</v>
      </c>
      <c r="L327" s="213" t="s">
        <v>427</v>
      </c>
      <c r="M327" s="213" t="s">
        <v>44</v>
      </c>
      <c r="N327" s="213" t="s">
        <v>45</v>
      </c>
      <c r="O327" s="213" t="s">
        <v>63</v>
      </c>
      <c r="P327" s="213" t="s">
        <v>678</v>
      </c>
      <c r="R327" s="213">
        <v>340</v>
      </c>
      <c r="S327" s="487">
        <v>44263</v>
      </c>
      <c r="T327" s="483" t="s">
        <v>3794</v>
      </c>
      <c r="U327" s="474">
        <v>1838152627</v>
      </c>
      <c r="V327" s="427"/>
      <c r="W327" s="517"/>
      <c r="X327" s="480" t="s">
        <v>3795</v>
      </c>
      <c r="Y327" s="481">
        <v>44292</v>
      </c>
      <c r="Z327" s="481">
        <v>44292</v>
      </c>
      <c r="AA327" s="481">
        <v>44423</v>
      </c>
      <c r="AB327" s="482" t="s">
        <v>3602</v>
      </c>
      <c r="AC327" s="480" t="s">
        <v>3689</v>
      </c>
      <c r="AD327" s="482" t="s">
        <v>3796</v>
      </c>
      <c r="AE327" s="483" t="s">
        <v>3797</v>
      </c>
      <c r="AF327" s="472">
        <v>1838152627</v>
      </c>
      <c r="AM327" s="213"/>
    </row>
    <row r="328" spans="1:50" ht="15" hidden="1" customHeight="1" x14ac:dyDescent="0.25">
      <c r="A328" s="475" t="s">
        <v>2471</v>
      </c>
      <c r="B328" s="476">
        <v>28619969</v>
      </c>
      <c r="C328" s="213" t="s">
        <v>2909</v>
      </c>
      <c r="D328" s="312">
        <v>323</v>
      </c>
      <c r="E328" s="312">
        <v>20211300013743</v>
      </c>
      <c r="F328" s="311">
        <v>44265</v>
      </c>
      <c r="G328" s="312" t="s">
        <v>2910</v>
      </c>
      <c r="H328" s="213" t="s">
        <v>2911</v>
      </c>
      <c r="I328" s="213" t="s">
        <v>210</v>
      </c>
      <c r="J328" s="474">
        <v>16353468</v>
      </c>
      <c r="K328" s="213" t="s">
        <v>138</v>
      </c>
      <c r="L328" s="213" t="s">
        <v>139</v>
      </c>
      <c r="M328" s="213" t="s">
        <v>44</v>
      </c>
      <c r="N328" s="213" t="s">
        <v>45</v>
      </c>
      <c r="O328" s="213" t="s">
        <v>142</v>
      </c>
      <c r="P328" s="213" t="s">
        <v>43</v>
      </c>
      <c r="R328" s="213">
        <v>386</v>
      </c>
      <c r="S328" s="487">
        <v>44266</v>
      </c>
      <c r="T328" s="483" t="s">
        <v>3798</v>
      </c>
      <c r="U328" s="474">
        <v>16353468</v>
      </c>
      <c r="V328" s="407"/>
      <c r="W328" s="363"/>
      <c r="X328" s="480" t="s">
        <v>2996</v>
      </c>
      <c r="Y328" s="481">
        <v>44274</v>
      </c>
      <c r="Z328" s="481">
        <v>44274</v>
      </c>
      <c r="AA328" s="481">
        <v>44396</v>
      </c>
      <c r="AB328" s="482" t="s">
        <v>2913</v>
      </c>
      <c r="AC328" s="480" t="s">
        <v>3799</v>
      </c>
      <c r="AD328" s="482" t="s">
        <v>3800</v>
      </c>
      <c r="AE328" s="483" t="s">
        <v>3801</v>
      </c>
      <c r="AF328" s="472">
        <v>16353468</v>
      </c>
      <c r="AK328" s="474">
        <v>1090231</v>
      </c>
      <c r="AL328" s="474">
        <v>4088367</v>
      </c>
      <c r="AM328" s="307">
        <v>4088367</v>
      </c>
    </row>
    <row r="329" spans="1:50" ht="15.75" hidden="1" customHeight="1" x14ac:dyDescent="0.25">
      <c r="B329" s="498"/>
      <c r="C329" s="516" t="s">
        <v>3802</v>
      </c>
      <c r="D329" s="312">
        <v>324</v>
      </c>
      <c r="E329" s="312">
        <v>20212000012603</v>
      </c>
      <c r="F329" s="477">
        <v>44263</v>
      </c>
      <c r="G329" s="312" t="s">
        <v>2903</v>
      </c>
      <c r="H329" s="213" t="s">
        <v>2904</v>
      </c>
      <c r="I329" s="213" t="s">
        <v>391</v>
      </c>
      <c r="J329" s="474">
        <v>1549286460</v>
      </c>
      <c r="K329" s="213" t="s">
        <v>426</v>
      </c>
      <c r="L329" s="213" t="s">
        <v>427</v>
      </c>
      <c r="M329" s="213" t="s">
        <v>44</v>
      </c>
      <c r="N329" s="213" t="s">
        <v>45</v>
      </c>
      <c r="O329" s="213" t="s">
        <v>63</v>
      </c>
      <c r="P329" s="213" t="s">
        <v>678</v>
      </c>
      <c r="R329" s="213">
        <v>342</v>
      </c>
      <c r="S329" s="487">
        <v>44263</v>
      </c>
      <c r="T329" s="483" t="s">
        <v>3803</v>
      </c>
      <c r="U329" s="474">
        <v>1549286460</v>
      </c>
      <c r="V329" s="427"/>
      <c r="W329" s="517"/>
      <c r="X329" s="480" t="s">
        <v>3804</v>
      </c>
      <c r="Y329" s="481">
        <v>44286</v>
      </c>
      <c r="Z329" s="481">
        <v>44286</v>
      </c>
      <c r="AA329" s="481">
        <v>44423</v>
      </c>
      <c r="AB329" s="482" t="s">
        <v>3602</v>
      </c>
      <c r="AC329" s="480" t="s">
        <v>3805</v>
      </c>
      <c r="AD329" s="482" t="s">
        <v>3806</v>
      </c>
      <c r="AE329" s="483" t="s">
        <v>3807</v>
      </c>
      <c r="AF329" s="472">
        <v>1549286460</v>
      </c>
      <c r="AM329" s="213"/>
    </row>
    <row r="330" spans="1:50" ht="15" hidden="1" customHeight="1" x14ac:dyDescent="0.25">
      <c r="B330" s="498"/>
      <c r="C330" s="516" t="s">
        <v>3808</v>
      </c>
      <c r="D330" s="312">
        <v>325</v>
      </c>
      <c r="E330" s="312">
        <v>20212000012613</v>
      </c>
      <c r="F330" s="477">
        <v>44263</v>
      </c>
      <c r="G330" s="312" t="s">
        <v>2903</v>
      </c>
      <c r="H330" s="213" t="s">
        <v>2904</v>
      </c>
      <c r="I330" s="213" t="s">
        <v>391</v>
      </c>
      <c r="J330" s="474">
        <v>933489693</v>
      </c>
      <c r="K330" s="213" t="s">
        <v>426</v>
      </c>
      <c r="L330" s="213" t="s">
        <v>427</v>
      </c>
      <c r="M330" s="213" t="s">
        <v>44</v>
      </c>
      <c r="N330" s="213" t="s">
        <v>45</v>
      </c>
      <c r="O330" s="213" t="s">
        <v>63</v>
      </c>
      <c r="P330" s="213" t="s">
        <v>678</v>
      </c>
      <c r="R330" s="213">
        <v>343</v>
      </c>
      <c r="S330" s="487">
        <v>44263</v>
      </c>
      <c r="T330" s="483" t="s">
        <v>3809</v>
      </c>
      <c r="U330" s="474">
        <v>933489693</v>
      </c>
      <c r="V330" s="427"/>
      <c r="W330" s="517"/>
      <c r="X330" s="480" t="s">
        <v>2106</v>
      </c>
      <c r="Y330" s="481">
        <v>44286</v>
      </c>
      <c r="Z330" s="481">
        <v>44286</v>
      </c>
      <c r="AA330" s="481">
        <v>44423</v>
      </c>
      <c r="AB330" s="482" t="s">
        <v>3100</v>
      </c>
      <c r="AC330" s="480" t="s">
        <v>3810</v>
      </c>
      <c r="AD330" s="482" t="s">
        <v>3811</v>
      </c>
      <c r="AE330" s="483" t="s">
        <v>3812</v>
      </c>
      <c r="AF330" s="472">
        <v>933489693</v>
      </c>
      <c r="AM330" s="213"/>
    </row>
    <row r="331" spans="1:50" ht="15.75" hidden="1" customHeight="1" x14ac:dyDescent="0.25">
      <c r="A331" s="475" t="s">
        <v>2491</v>
      </c>
      <c r="B331" s="476">
        <v>281078765</v>
      </c>
      <c r="C331" s="512" t="s">
        <v>3813</v>
      </c>
      <c r="D331" s="312">
        <v>326</v>
      </c>
      <c r="E331" s="310">
        <v>20214000011953</v>
      </c>
      <c r="F331" s="477">
        <v>44263</v>
      </c>
      <c r="G331" s="312" t="s">
        <v>2943</v>
      </c>
      <c r="H331" s="213" t="s">
        <v>2944</v>
      </c>
      <c r="I331" s="213" t="s">
        <v>47</v>
      </c>
      <c r="J331" s="427">
        <v>281078765</v>
      </c>
      <c r="K331" s="213" t="s">
        <v>37</v>
      </c>
      <c r="L331" s="213" t="s">
        <v>81</v>
      </c>
      <c r="M331" s="213" t="s">
        <v>44</v>
      </c>
      <c r="N331" s="213" t="s">
        <v>45</v>
      </c>
      <c r="O331" s="213" t="s">
        <v>310</v>
      </c>
      <c r="P331" s="213" t="s">
        <v>87</v>
      </c>
      <c r="R331" s="213">
        <v>344</v>
      </c>
      <c r="S331" s="487">
        <v>44263</v>
      </c>
      <c r="T331" s="483" t="s">
        <v>3766</v>
      </c>
      <c r="U331" s="427">
        <v>281078765</v>
      </c>
      <c r="V331" s="407"/>
      <c r="W331" s="400"/>
      <c r="X331" s="480" t="s">
        <v>3814</v>
      </c>
      <c r="Y331" s="481">
        <v>44326</v>
      </c>
      <c r="Z331" s="481">
        <v>44326</v>
      </c>
      <c r="AA331" s="481">
        <v>44448</v>
      </c>
      <c r="AB331" s="483" t="s">
        <v>3815</v>
      </c>
      <c r="AC331" s="480" t="s">
        <v>3816</v>
      </c>
      <c r="AD331" s="483" t="s">
        <v>3817</v>
      </c>
      <c r="AE331" s="483" t="s">
        <v>3818</v>
      </c>
      <c r="AF331" s="472">
        <v>279541451</v>
      </c>
      <c r="AH331" s="427"/>
      <c r="AI331" s="427"/>
      <c r="AM331" s="213"/>
    </row>
    <row r="332" spans="1:50" ht="15" hidden="1" customHeight="1" x14ac:dyDescent="0.25">
      <c r="A332" s="465" t="s">
        <v>2238</v>
      </c>
      <c r="B332" s="466">
        <v>22713150</v>
      </c>
      <c r="C332" s="213" t="s">
        <v>2909</v>
      </c>
      <c r="D332" s="468">
        <v>327</v>
      </c>
      <c r="E332" s="468">
        <v>20217000012923</v>
      </c>
      <c r="F332" s="469">
        <v>44264</v>
      </c>
      <c r="G332" s="468" t="s">
        <v>2910</v>
      </c>
      <c r="H332" s="467" t="s">
        <v>2911</v>
      </c>
      <c r="I332" s="467" t="s">
        <v>164</v>
      </c>
      <c r="J332" s="470">
        <v>22713150</v>
      </c>
      <c r="K332" s="467" t="s">
        <v>138</v>
      </c>
      <c r="L332" s="467" t="s">
        <v>139</v>
      </c>
      <c r="M332" s="467" t="s">
        <v>44</v>
      </c>
      <c r="N332" s="467" t="s">
        <v>45</v>
      </c>
      <c r="O332" s="467" t="s">
        <v>142</v>
      </c>
      <c r="P332" s="467" t="s">
        <v>43</v>
      </c>
      <c r="Q332" s="467"/>
      <c r="R332" s="467">
        <v>345</v>
      </c>
      <c r="S332" s="525">
        <v>44264</v>
      </c>
      <c r="T332" s="526" t="s">
        <v>3819</v>
      </c>
      <c r="U332" s="470">
        <v>22713150</v>
      </c>
      <c r="V332" s="415"/>
      <c r="W332" s="380"/>
      <c r="X332" s="480" t="s">
        <v>3820</v>
      </c>
      <c r="Y332" s="481">
        <v>44293</v>
      </c>
      <c r="Z332" s="481">
        <v>44293</v>
      </c>
      <c r="AA332" s="481">
        <v>44476</v>
      </c>
      <c r="AB332" s="482" t="s">
        <v>2913</v>
      </c>
      <c r="AC332" s="480" t="s">
        <v>3603</v>
      </c>
      <c r="AD332" s="482" t="s">
        <v>3821</v>
      </c>
      <c r="AE332" s="483" t="s">
        <v>3822</v>
      </c>
      <c r="AF332" s="472">
        <v>13627890</v>
      </c>
      <c r="AI332" s="470"/>
      <c r="AJ332" s="470"/>
      <c r="AK332" s="470"/>
      <c r="AL332" s="470">
        <v>1741342</v>
      </c>
      <c r="AM332" s="307">
        <v>2271315</v>
      </c>
    </row>
    <row r="333" spans="1:50" ht="15" hidden="1" customHeight="1" x14ac:dyDescent="0.25">
      <c r="A333" s="475" t="s">
        <v>2273</v>
      </c>
      <c r="B333" s="476">
        <v>29981358</v>
      </c>
      <c r="C333" s="213" t="s">
        <v>2909</v>
      </c>
      <c r="D333" s="312">
        <v>328</v>
      </c>
      <c r="E333" s="312">
        <v>20217000012933</v>
      </c>
      <c r="F333" s="477">
        <v>44264</v>
      </c>
      <c r="G333" s="312" t="s">
        <v>2910</v>
      </c>
      <c r="H333" s="213" t="s">
        <v>2911</v>
      </c>
      <c r="I333" s="213" t="s">
        <v>164</v>
      </c>
      <c r="J333" s="474">
        <v>29981358</v>
      </c>
      <c r="K333" s="213" t="s">
        <v>138</v>
      </c>
      <c r="L333" s="213" t="s">
        <v>139</v>
      </c>
      <c r="M333" s="213" t="s">
        <v>44</v>
      </c>
      <c r="N333" s="213" t="s">
        <v>45</v>
      </c>
      <c r="O333" s="213" t="s">
        <v>142</v>
      </c>
      <c r="P333" s="213" t="s">
        <v>43</v>
      </c>
      <c r="R333" s="213">
        <v>346</v>
      </c>
      <c r="S333" s="487">
        <v>44264</v>
      </c>
      <c r="T333" s="483" t="s">
        <v>3823</v>
      </c>
      <c r="U333" s="474">
        <v>29981358</v>
      </c>
      <c r="V333" s="407"/>
      <c r="W333" s="363"/>
      <c r="X333" s="480" t="s">
        <v>3824</v>
      </c>
      <c r="Y333" s="481">
        <v>44299</v>
      </c>
      <c r="Z333" s="481">
        <v>44299</v>
      </c>
      <c r="AA333" s="481">
        <v>44482</v>
      </c>
      <c r="AB333" s="482" t="s">
        <v>2913</v>
      </c>
      <c r="AC333" s="480" t="s">
        <v>3825</v>
      </c>
      <c r="AD333" s="482" t="s">
        <v>3826</v>
      </c>
      <c r="AE333" s="483" t="s">
        <v>3064</v>
      </c>
      <c r="AF333" s="472">
        <v>16353468</v>
      </c>
      <c r="AL333" s="474">
        <v>1544494</v>
      </c>
      <c r="AM333" s="307">
        <v>2725578</v>
      </c>
    </row>
    <row r="334" spans="1:50" ht="15" hidden="1" customHeight="1" x14ac:dyDescent="0.25">
      <c r="A334" s="475" t="s">
        <v>2559</v>
      </c>
      <c r="B334" s="476">
        <v>32500000</v>
      </c>
      <c r="C334" s="213" t="s">
        <v>2909</v>
      </c>
      <c r="D334" s="312">
        <v>329</v>
      </c>
      <c r="E334" s="310">
        <v>20211100013443</v>
      </c>
      <c r="F334" s="311">
        <v>44265</v>
      </c>
      <c r="G334" s="310" t="s">
        <v>2910</v>
      </c>
      <c r="H334" s="211" t="s">
        <v>2911</v>
      </c>
      <c r="I334" s="211" t="s">
        <v>206</v>
      </c>
      <c r="J334" s="408">
        <v>32500000</v>
      </c>
      <c r="K334" s="211" t="s">
        <v>138</v>
      </c>
      <c r="L334" s="211" t="s">
        <v>139</v>
      </c>
      <c r="M334" s="211" t="s">
        <v>44</v>
      </c>
      <c r="N334" s="211" t="s">
        <v>45</v>
      </c>
      <c r="O334" s="211" t="s">
        <v>142</v>
      </c>
      <c r="P334" s="211" t="s">
        <v>43</v>
      </c>
      <c r="Q334" s="211"/>
      <c r="R334" s="211">
        <v>370</v>
      </c>
      <c r="S334" s="487">
        <v>44265</v>
      </c>
      <c r="T334" s="483" t="s">
        <v>3827</v>
      </c>
      <c r="U334" s="474">
        <v>32500000</v>
      </c>
      <c r="V334" s="416"/>
      <c r="W334" s="402"/>
      <c r="X334" s="480" t="s">
        <v>3828</v>
      </c>
      <c r="Y334" s="481">
        <v>44278</v>
      </c>
      <c r="Z334" s="481">
        <v>44278</v>
      </c>
      <c r="AA334" s="481">
        <v>44421</v>
      </c>
      <c r="AB334" s="482" t="s">
        <v>2913</v>
      </c>
      <c r="AC334" s="480" t="s">
        <v>3829</v>
      </c>
      <c r="AD334" s="482" t="s">
        <v>3830</v>
      </c>
      <c r="AE334" s="483" t="s">
        <v>3831</v>
      </c>
      <c r="AF334" s="472">
        <v>32500000</v>
      </c>
      <c r="AG334" s="211"/>
      <c r="AH334" s="408"/>
      <c r="AI334" s="408"/>
      <c r="AL334" s="474">
        <v>8233334</v>
      </c>
      <c r="AM334" s="307">
        <v>6500000</v>
      </c>
      <c r="AN334" s="211"/>
      <c r="AO334" s="211"/>
      <c r="AP334" s="211"/>
      <c r="AQ334" s="211"/>
      <c r="AR334" s="211"/>
      <c r="AS334" s="211"/>
      <c r="AT334" s="211"/>
      <c r="AU334" s="211"/>
      <c r="AV334" s="211"/>
      <c r="AW334" s="211"/>
      <c r="AX334" s="211"/>
    </row>
    <row r="335" spans="1:50" ht="15" hidden="1" customHeight="1" x14ac:dyDescent="0.25">
      <c r="A335" s="475" t="s">
        <v>2229</v>
      </c>
      <c r="B335" s="476">
        <v>53148771</v>
      </c>
      <c r="C335" s="213" t="s">
        <v>2909</v>
      </c>
      <c r="D335" s="312">
        <v>330</v>
      </c>
      <c r="E335" s="312">
        <v>20216000014143</v>
      </c>
      <c r="F335" s="311">
        <v>44265</v>
      </c>
      <c r="G335" s="312" t="s">
        <v>2910</v>
      </c>
      <c r="H335" s="213" t="s">
        <v>2911</v>
      </c>
      <c r="I335" s="213" t="s">
        <v>214</v>
      </c>
      <c r="J335" s="474">
        <v>53148771</v>
      </c>
      <c r="K335" s="213" t="s">
        <v>138</v>
      </c>
      <c r="L335" s="213" t="s">
        <v>139</v>
      </c>
      <c r="M335" s="213" t="s">
        <v>44</v>
      </c>
      <c r="N335" s="213" t="s">
        <v>45</v>
      </c>
      <c r="O335" s="213" t="s">
        <v>142</v>
      </c>
      <c r="P335" s="213" t="s">
        <v>43</v>
      </c>
      <c r="R335" s="213">
        <v>406</v>
      </c>
      <c r="S335" s="487">
        <v>44266</v>
      </c>
      <c r="T335" s="483" t="s">
        <v>3832</v>
      </c>
      <c r="U335" s="474">
        <v>53148771</v>
      </c>
      <c r="V335" s="407"/>
      <c r="W335" s="363"/>
      <c r="X335" s="480" t="s">
        <v>3635</v>
      </c>
      <c r="Y335" s="481">
        <v>44278</v>
      </c>
      <c r="Z335" s="481">
        <v>44278</v>
      </c>
      <c r="AA335" s="481">
        <v>44553</v>
      </c>
      <c r="AB335" s="482" t="s">
        <v>2913</v>
      </c>
      <c r="AC335" s="480" t="s">
        <v>3833</v>
      </c>
      <c r="AD335" s="482" t="s">
        <v>3834</v>
      </c>
      <c r="AE335" s="483" t="s">
        <v>3835</v>
      </c>
      <c r="AF335" s="472">
        <v>53148771</v>
      </c>
      <c r="AK335" s="474">
        <v>1181084</v>
      </c>
      <c r="AL335" s="474">
        <v>5905419</v>
      </c>
      <c r="AM335" s="307">
        <v>5905419</v>
      </c>
    </row>
    <row r="336" spans="1:50" ht="15" hidden="1" customHeight="1" x14ac:dyDescent="0.25">
      <c r="A336" s="475" t="s">
        <v>2255</v>
      </c>
      <c r="B336" s="476">
        <v>44574000</v>
      </c>
      <c r="C336" s="213" t="s">
        <v>2909</v>
      </c>
      <c r="D336" s="312">
        <v>331</v>
      </c>
      <c r="E336" s="312">
        <v>20212000014723</v>
      </c>
      <c r="F336" s="477">
        <v>44271</v>
      </c>
      <c r="G336" s="312" t="s">
        <v>2903</v>
      </c>
      <c r="H336" s="213" t="s">
        <v>2904</v>
      </c>
      <c r="I336" s="213" t="s">
        <v>391</v>
      </c>
      <c r="J336" s="474">
        <v>42228000</v>
      </c>
      <c r="K336" s="211" t="s">
        <v>2974</v>
      </c>
      <c r="L336" s="213" t="s">
        <v>2975</v>
      </c>
      <c r="M336" s="213" t="s">
        <v>44</v>
      </c>
      <c r="N336" s="213" t="s">
        <v>45</v>
      </c>
      <c r="O336" s="213" t="s">
        <v>63</v>
      </c>
      <c r="P336" s="213" t="s">
        <v>678</v>
      </c>
      <c r="R336" s="483">
        <v>438</v>
      </c>
      <c r="S336" s="487">
        <v>44272</v>
      </c>
      <c r="T336" s="483" t="s">
        <v>3836</v>
      </c>
      <c r="U336" s="474">
        <v>42228000</v>
      </c>
      <c r="V336" s="407"/>
      <c r="W336" s="363"/>
      <c r="X336" s="480" t="s">
        <v>3837</v>
      </c>
      <c r="Y336" s="481">
        <v>44278</v>
      </c>
      <c r="Z336" s="481">
        <v>44278</v>
      </c>
      <c r="AA336" s="481">
        <v>44553</v>
      </c>
      <c r="AB336" s="482" t="s">
        <v>2913</v>
      </c>
      <c r="AC336" s="480" t="s">
        <v>3838</v>
      </c>
      <c r="AD336" s="482" t="s">
        <v>3839</v>
      </c>
      <c r="AE336" s="483" t="s">
        <v>3840</v>
      </c>
      <c r="AF336" s="472">
        <v>42228000</v>
      </c>
      <c r="AL336" s="474">
        <v>5786800</v>
      </c>
      <c r="AM336" s="307">
        <v>4692000</v>
      </c>
    </row>
    <row r="337" spans="1:39" hidden="1" x14ac:dyDescent="0.25">
      <c r="A337" s="475" t="s">
        <v>2426</v>
      </c>
      <c r="B337" s="476">
        <v>36000000</v>
      </c>
      <c r="C337" s="213" t="s">
        <v>2909</v>
      </c>
      <c r="D337" s="312">
        <v>332</v>
      </c>
      <c r="E337" s="312">
        <v>20215000012663</v>
      </c>
      <c r="F337" s="477">
        <v>44264</v>
      </c>
      <c r="G337" s="312" t="s">
        <v>2903</v>
      </c>
      <c r="H337" s="213" t="s">
        <v>2904</v>
      </c>
      <c r="I337" s="213" t="s">
        <v>228</v>
      </c>
      <c r="J337" s="474">
        <v>36000000</v>
      </c>
      <c r="K337" s="213" t="s">
        <v>223</v>
      </c>
      <c r="L337" s="213" t="s">
        <v>3021</v>
      </c>
      <c r="M337" s="213" t="s">
        <v>44</v>
      </c>
      <c r="N337" s="213" t="s">
        <v>45</v>
      </c>
      <c r="O337" s="213" t="s">
        <v>63</v>
      </c>
      <c r="P337" s="213" t="s">
        <v>678</v>
      </c>
      <c r="R337" s="213">
        <v>351</v>
      </c>
      <c r="S337" s="487">
        <v>44264</v>
      </c>
      <c r="T337" s="483" t="s">
        <v>3841</v>
      </c>
      <c r="U337" s="474">
        <f>36000000-9000000</f>
        <v>27000000</v>
      </c>
      <c r="V337" s="407">
        <v>9000000</v>
      </c>
      <c r="W337" s="363"/>
      <c r="X337" s="309" t="s">
        <v>3842</v>
      </c>
      <c r="Y337" s="471">
        <v>44286</v>
      </c>
      <c r="Z337" s="471">
        <v>44286</v>
      </c>
      <c r="AA337" s="471">
        <v>44561</v>
      </c>
      <c r="AB337" s="3" t="s">
        <v>2913</v>
      </c>
      <c r="AC337" s="212" t="s">
        <v>3843</v>
      </c>
      <c r="AD337" s="3" t="s">
        <v>3844</v>
      </c>
      <c r="AE337" s="213" t="s">
        <v>3845</v>
      </c>
      <c r="AF337" s="472">
        <v>27000000</v>
      </c>
      <c r="AL337" s="474">
        <v>3000000</v>
      </c>
      <c r="AM337" s="307">
        <v>3000000</v>
      </c>
    </row>
    <row r="338" spans="1:39" hidden="1" x14ac:dyDescent="0.25">
      <c r="A338" s="475" t="s">
        <v>2691</v>
      </c>
      <c r="B338" s="476">
        <v>42500000</v>
      </c>
      <c r="C338" s="213" t="s">
        <v>2909</v>
      </c>
      <c r="D338" s="312">
        <v>333</v>
      </c>
      <c r="E338" s="312">
        <v>20215000012783</v>
      </c>
      <c r="F338" s="477">
        <v>44264</v>
      </c>
      <c r="G338" s="312" t="s">
        <v>2903</v>
      </c>
      <c r="H338" s="213" t="s">
        <v>2904</v>
      </c>
      <c r="I338" s="213" t="s">
        <v>228</v>
      </c>
      <c r="J338" s="474">
        <v>42500000</v>
      </c>
      <c r="K338" s="213" t="s">
        <v>223</v>
      </c>
      <c r="L338" s="213" t="s">
        <v>236</v>
      </c>
      <c r="M338" s="213" t="s">
        <v>44</v>
      </c>
      <c r="N338" s="213" t="s">
        <v>45</v>
      </c>
      <c r="O338" s="213" t="s">
        <v>63</v>
      </c>
      <c r="P338" s="213" t="s">
        <v>678</v>
      </c>
      <c r="R338" s="213">
        <v>360</v>
      </c>
      <c r="S338" s="487">
        <v>44264</v>
      </c>
      <c r="T338" s="483" t="s">
        <v>3846</v>
      </c>
      <c r="U338" s="474">
        <f>42500000-850000</f>
        <v>41650000</v>
      </c>
      <c r="V338" s="407">
        <v>850000</v>
      </c>
      <c r="W338" s="363"/>
      <c r="X338" s="480" t="s">
        <v>3847</v>
      </c>
      <c r="Y338" s="481">
        <v>44298</v>
      </c>
      <c r="Z338" s="481">
        <v>44298</v>
      </c>
      <c r="AA338" s="481">
        <v>44561</v>
      </c>
      <c r="AB338" s="482" t="s">
        <v>2913</v>
      </c>
      <c r="AC338" s="480" t="s">
        <v>3848</v>
      </c>
      <c r="AD338" s="482" t="s">
        <v>3849</v>
      </c>
      <c r="AE338" s="483" t="s">
        <v>3850</v>
      </c>
      <c r="AF338" s="472">
        <v>41650000</v>
      </c>
      <c r="AL338" s="474">
        <v>3103333</v>
      </c>
      <c r="AM338" s="307">
        <v>4900000</v>
      </c>
    </row>
    <row r="339" spans="1:39" hidden="1" x14ac:dyDescent="0.25">
      <c r="A339" s="475" t="s">
        <v>2692</v>
      </c>
      <c r="B339" s="476">
        <v>42500000</v>
      </c>
      <c r="C339" s="213" t="s">
        <v>2909</v>
      </c>
      <c r="D339" s="312">
        <v>334</v>
      </c>
      <c r="E339" s="312">
        <v>20215000012793</v>
      </c>
      <c r="F339" s="477">
        <v>44264</v>
      </c>
      <c r="G339" s="312" t="s">
        <v>2903</v>
      </c>
      <c r="H339" s="213" t="s">
        <v>2904</v>
      </c>
      <c r="I339" s="213" t="s">
        <v>228</v>
      </c>
      <c r="J339" s="474">
        <v>42500000</v>
      </c>
      <c r="K339" s="213" t="s">
        <v>223</v>
      </c>
      <c r="L339" s="213" t="s">
        <v>236</v>
      </c>
      <c r="M339" s="213" t="s">
        <v>44</v>
      </c>
      <c r="N339" s="213" t="s">
        <v>45</v>
      </c>
      <c r="O339" s="213" t="s">
        <v>63</v>
      </c>
      <c r="P339" s="213" t="s">
        <v>678</v>
      </c>
      <c r="R339" s="213">
        <v>361</v>
      </c>
      <c r="S339" s="487">
        <v>44264</v>
      </c>
      <c r="T339" s="483" t="s">
        <v>3851</v>
      </c>
      <c r="U339" s="474">
        <f>42500000-100000</f>
        <v>42400000</v>
      </c>
      <c r="V339" s="407">
        <v>100000</v>
      </c>
      <c r="W339" s="363"/>
      <c r="X339" s="480" t="s">
        <v>3852</v>
      </c>
      <c r="Y339" s="481">
        <v>44306</v>
      </c>
      <c r="Z339" s="481">
        <v>44306</v>
      </c>
      <c r="AA339" s="481">
        <v>44550</v>
      </c>
      <c r="AB339" s="482" t="s">
        <v>2913</v>
      </c>
      <c r="AC339" s="480" t="s">
        <v>3853</v>
      </c>
      <c r="AD339" s="482" t="s">
        <v>3854</v>
      </c>
      <c r="AE339" s="483" t="s">
        <v>3855</v>
      </c>
      <c r="AF339" s="472">
        <v>42400000</v>
      </c>
      <c r="AL339" s="474">
        <v>1943333</v>
      </c>
      <c r="AM339" s="307">
        <v>5300000</v>
      </c>
    </row>
    <row r="340" spans="1:39" hidden="1" x14ac:dyDescent="0.25">
      <c r="A340" s="475" t="s">
        <v>2180</v>
      </c>
      <c r="B340" s="476">
        <v>42500000</v>
      </c>
      <c r="C340" s="213" t="s">
        <v>2909</v>
      </c>
      <c r="D340" s="312">
        <v>335</v>
      </c>
      <c r="E340" s="312">
        <v>20215000012803</v>
      </c>
      <c r="F340" s="477">
        <v>44264</v>
      </c>
      <c r="G340" s="312" t="s">
        <v>2903</v>
      </c>
      <c r="H340" s="213" t="s">
        <v>2904</v>
      </c>
      <c r="I340" s="213" t="s">
        <v>228</v>
      </c>
      <c r="J340" s="474">
        <v>42500000</v>
      </c>
      <c r="K340" s="213" t="s">
        <v>223</v>
      </c>
      <c r="L340" s="213" t="s">
        <v>236</v>
      </c>
      <c r="M340" s="213" t="s">
        <v>44</v>
      </c>
      <c r="N340" s="213" t="s">
        <v>45</v>
      </c>
      <c r="O340" s="213" t="s">
        <v>63</v>
      </c>
      <c r="P340" s="213" t="s">
        <v>678</v>
      </c>
      <c r="R340" s="213">
        <v>362</v>
      </c>
      <c r="S340" s="487">
        <v>44264</v>
      </c>
      <c r="T340" s="483" t="s">
        <v>3856</v>
      </c>
      <c r="U340" s="474">
        <f>42500000-100000</f>
        <v>42400000</v>
      </c>
      <c r="V340" s="407">
        <v>100000</v>
      </c>
      <c r="W340" s="363"/>
      <c r="X340" s="480" t="s">
        <v>3857</v>
      </c>
      <c r="Y340" s="481">
        <v>44299</v>
      </c>
      <c r="Z340" s="481">
        <v>44299</v>
      </c>
      <c r="AA340" s="481">
        <v>44543</v>
      </c>
      <c r="AB340" s="482" t="s">
        <v>2913</v>
      </c>
      <c r="AC340" s="480" t="s">
        <v>3858</v>
      </c>
      <c r="AD340" s="482" t="s">
        <v>3859</v>
      </c>
      <c r="AE340" s="483" t="s">
        <v>3860</v>
      </c>
      <c r="AF340" s="472">
        <v>42400000</v>
      </c>
      <c r="AL340" s="474">
        <v>3180000</v>
      </c>
      <c r="AM340" s="307">
        <v>5300000</v>
      </c>
    </row>
    <row r="341" spans="1:39" hidden="1" x14ac:dyDescent="0.25">
      <c r="A341" s="475" t="s">
        <v>2693</v>
      </c>
      <c r="B341" s="476">
        <v>28800000</v>
      </c>
      <c r="C341" s="213" t="s">
        <v>2909</v>
      </c>
      <c r="D341" s="312">
        <v>336</v>
      </c>
      <c r="E341" s="312">
        <v>20215000012853</v>
      </c>
      <c r="F341" s="477">
        <v>44264</v>
      </c>
      <c r="G341" s="312" t="s">
        <v>2903</v>
      </c>
      <c r="H341" s="213" t="s">
        <v>2904</v>
      </c>
      <c r="I341" s="213" t="s">
        <v>228</v>
      </c>
      <c r="J341" s="474">
        <v>28800000</v>
      </c>
      <c r="K341" s="213" t="s">
        <v>223</v>
      </c>
      <c r="L341" s="213" t="s">
        <v>283</v>
      </c>
      <c r="M341" s="213" t="s">
        <v>44</v>
      </c>
      <c r="N341" s="213" t="s">
        <v>45</v>
      </c>
      <c r="O341" s="213" t="s">
        <v>63</v>
      </c>
      <c r="P341" s="213" t="s">
        <v>678</v>
      </c>
      <c r="R341" s="213">
        <v>364</v>
      </c>
      <c r="S341" s="487">
        <v>44264</v>
      </c>
      <c r="T341" s="483" t="s">
        <v>3861</v>
      </c>
      <c r="U341" s="474">
        <v>28800000</v>
      </c>
      <c r="V341" s="407"/>
      <c r="W341" s="363"/>
      <c r="X341" s="480" t="s">
        <v>3862</v>
      </c>
      <c r="Y341" s="481">
        <v>44313</v>
      </c>
      <c r="Z341" s="481">
        <v>44313</v>
      </c>
      <c r="AA341" s="481">
        <v>44561</v>
      </c>
      <c r="AB341" s="482" t="s">
        <v>2913</v>
      </c>
      <c r="AC341" s="480" t="s">
        <v>3804</v>
      </c>
      <c r="AD341" s="482" t="s">
        <v>3863</v>
      </c>
      <c r="AE341" s="483" t="s">
        <v>3864</v>
      </c>
      <c r="AF341" s="472">
        <v>28800000</v>
      </c>
      <c r="AM341" s="213"/>
    </row>
    <row r="342" spans="1:39" hidden="1" x14ac:dyDescent="0.25">
      <c r="A342" s="475" t="s">
        <v>2695</v>
      </c>
      <c r="B342" s="476">
        <v>42400000</v>
      </c>
      <c r="C342" s="213" t="s">
        <v>2909</v>
      </c>
      <c r="D342" s="312">
        <v>337</v>
      </c>
      <c r="E342" s="312">
        <v>20215000012863</v>
      </c>
      <c r="F342" s="477">
        <v>44264</v>
      </c>
      <c r="G342" s="312" t="s">
        <v>2903</v>
      </c>
      <c r="H342" s="213" t="s">
        <v>2904</v>
      </c>
      <c r="I342" s="213" t="s">
        <v>228</v>
      </c>
      <c r="J342" s="474">
        <v>42400000</v>
      </c>
      <c r="K342" s="213" t="s">
        <v>223</v>
      </c>
      <c r="L342" s="213" t="s">
        <v>283</v>
      </c>
      <c r="M342" s="213" t="s">
        <v>44</v>
      </c>
      <c r="N342" s="213" t="s">
        <v>45</v>
      </c>
      <c r="O342" s="213" t="s">
        <v>63</v>
      </c>
      <c r="P342" s="213" t="s">
        <v>678</v>
      </c>
      <c r="R342" s="213">
        <v>365</v>
      </c>
      <c r="S342" s="487">
        <v>44264</v>
      </c>
      <c r="T342" s="483" t="s">
        <v>3865</v>
      </c>
      <c r="U342" s="474">
        <v>42400000</v>
      </c>
      <c r="V342" s="407"/>
      <c r="W342" s="363"/>
      <c r="X342" s="480" t="s">
        <v>3866</v>
      </c>
      <c r="Y342" s="481">
        <v>44306</v>
      </c>
      <c r="Z342" s="481">
        <v>44306</v>
      </c>
      <c r="AA342" s="481">
        <v>44549</v>
      </c>
      <c r="AB342" s="482" t="s">
        <v>2913</v>
      </c>
      <c r="AC342" s="480" t="s">
        <v>3867</v>
      </c>
      <c r="AD342" s="482" t="s">
        <v>3868</v>
      </c>
      <c r="AE342" s="483" t="s">
        <v>3869</v>
      </c>
      <c r="AF342" s="472">
        <v>42400000</v>
      </c>
      <c r="AL342" s="474">
        <v>1943333</v>
      </c>
      <c r="AM342" s="307">
        <v>5300000</v>
      </c>
    </row>
    <row r="343" spans="1:39" hidden="1" x14ac:dyDescent="0.25">
      <c r="A343" s="475" t="s">
        <v>2690</v>
      </c>
      <c r="B343" s="476">
        <v>50150000</v>
      </c>
      <c r="C343" s="213" t="s">
        <v>2909</v>
      </c>
      <c r="D343" s="312">
        <v>338</v>
      </c>
      <c r="E343" s="310">
        <v>20215000012683</v>
      </c>
      <c r="F343" s="477">
        <v>44264</v>
      </c>
      <c r="G343" s="310" t="s">
        <v>2903</v>
      </c>
      <c r="H343" s="211" t="s">
        <v>2904</v>
      </c>
      <c r="I343" s="211" t="s">
        <v>228</v>
      </c>
      <c r="J343" s="408">
        <v>50150000</v>
      </c>
      <c r="K343" s="213" t="s">
        <v>288</v>
      </c>
      <c r="L343" s="213" t="s">
        <v>2999</v>
      </c>
      <c r="M343" s="213" t="s">
        <v>44</v>
      </c>
      <c r="N343" s="213" t="s">
        <v>45</v>
      </c>
      <c r="O343" s="213" t="s">
        <v>63</v>
      </c>
      <c r="P343" s="213" t="s">
        <v>678</v>
      </c>
      <c r="R343" s="213">
        <v>352</v>
      </c>
      <c r="S343" s="487">
        <v>44264</v>
      </c>
      <c r="T343" s="483" t="s">
        <v>3870</v>
      </c>
      <c r="U343" s="474">
        <v>50150000</v>
      </c>
      <c r="V343" s="407"/>
      <c r="W343" s="363"/>
      <c r="X343" s="212" t="s">
        <v>3871</v>
      </c>
      <c r="Y343" s="471">
        <v>44300</v>
      </c>
      <c r="Z343" s="471">
        <v>44300</v>
      </c>
      <c r="AA343" s="471">
        <v>44561</v>
      </c>
      <c r="AB343" s="3" t="s">
        <v>2913</v>
      </c>
      <c r="AC343" s="212" t="s">
        <v>3872</v>
      </c>
      <c r="AD343" s="3" t="s">
        <v>3873</v>
      </c>
      <c r="AE343" s="213" t="s">
        <v>3874</v>
      </c>
      <c r="AF343" s="472">
        <v>50150000</v>
      </c>
      <c r="AL343" s="474">
        <v>3540000</v>
      </c>
      <c r="AM343" s="307">
        <v>5900000</v>
      </c>
    </row>
    <row r="344" spans="1:39" hidden="1" x14ac:dyDescent="0.25">
      <c r="A344" s="475" t="s">
        <v>2430</v>
      </c>
      <c r="B344" s="476">
        <v>50150000</v>
      </c>
      <c r="C344" s="213" t="s">
        <v>2909</v>
      </c>
      <c r="D344" s="312">
        <v>339</v>
      </c>
      <c r="E344" s="312">
        <v>20215000012693</v>
      </c>
      <c r="F344" s="477">
        <v>44264</v>
      </c>
      <c r="G344" s="310" t="s">
        <v>2903</v>
      </c>
      <c r="H344" s="211" t="s">
        <v>2904</v>
      </c>
      <c r="I344" s="211" t="s">
        <v>228</v>
      </c>
      <c r="J344" s="408">
        <v>50150000</v>
      </c>
      <c r="K344" s="213" t="s">
        <v>288</v>
      </c>
      <c r="L344" s="213" t="s">
        <v>2999</v>
      </c>
      <c r="M344" s="213" t="s">
        <v>44</v>
      </c>
      <c r="N344" s="213" t="s">
        <v>45</v>
      </c>
      <c r="O344" s="213" t="s">
        <v>63</v>
      </c>
      <c r="P344" s="213" t="s">
        <v>678</v>
      </c>
      <c r="R344" s="213">
        <v>353</v>
      </c>
      <c r="S344" s="487">
        <v>44264</v>
      </c>
      <c r="T344" s="483" t="s">
        <v>3875</v>
      </c>
      <c r="U344" s="474">
        <v>50150000</v>
      </c>
      <c r="V344" s="407"/>
      <c r="W344" s="363"/>
      <c r="X344" s="480" t="s">
        <v>3876</v>
      </c>
      <c r="Y344" s="481">
        <v>44298</v>
      </c>
      <c r="Z344" s="481">
        <v>44298</v>
      </c>
      <c r="AA344" s="481">
        <v>44561</v>
      </c>
      <c r="AB344" s="482" t="s">
        <v>2913</v>
      </c>
      <c r="AC344" s="480" t="s">
        <v>3877</v>
      </c>
      <c r="AD344" s="482" t="s">
        <v>3878</v>
      </c>
      <c r="AE344" s="483" t="s">
        <v>3879</v>
      </c>
      <c r="AF344" s="472">
        <v>50150000</v>
      </c>
      <c r="AL344" s="474">
        <v>3736667</v>
      </c>
      <c r="AM344" s="307">
        <v>5900000</v>
      </c>
    </row>
    <row r="345" spans="1:39" hidden="1" x14ac:dyDescent="0.25">
      <c r="A345" s="475" t="s">
        <v>2294</v>
      </c>
      <c r="B345" s="476">
        <v>50150000</v>
      </c>
      <c r="C345" s="213" t="s">
        <v>2909</v>
      </c>
      <c r="D345" s="312">
        <v>340</v>
      </c>
      <c r="E345" s="312">
        <v>20215000012703</v>
      </c>
      <c r="F345" s="477">
        <v>44264</v>
      </c>
      <c r="G345" s="310" t="s">
        <v>2903</v>
      </c>
      <c r="H345" s="211" t="s">
        <v>2904</v>
      </c>
      <c r="I345" s="211" t="s">
        <v>228</v>
      </c>
      <c r="J345" s="408">
        <v>50150000</v>
      </c>
      <c r="K345" s="213" t="s">
        <v>288</v>
      </c>
      <c r="L345" s="213" t="s">
        <v>2999</v>
      </c>
      <c r="M345" s="213" t="s">
        <v>44</v>
      </c>
      <c r="N345" s="213" t="s">
        <v>45</v>
      </c>
      <c r="O345" s="213" t="s">
        <v>63</v>
      </c>
      <c r="P345" s="213" t="s">
        <v>678</v>
      </c>
      <c r="R345" s="213">
        <v>354</v>
      </c>
      <c r="S345" s="487">
        <v>44264</v>
      </c>
      <c r="T345" s="483" t="s">
        <v>3880</v>
      </c>
      <c r="U345" s="474">
        <f>50150000-50150000</f>
        <v>0</v>
      </c>
      <c r="V345" s="407">
        <v>50150000</v>
      </c>
      <c r="W345" s="675" t="s">
        <v>1757</v>
      </c>
      <c r="AM345" s="213"/>
    </row>
    <row r="346" spans="1:39" hidden="1" x14ac:dyDescent="0.25">
      <c r="A346" s="475" t="s">
        <v>2090</v>
      </c>
      <c r="B346" s="476">
        <v>50150000</v>
      </c>
      <c r="C346" s="213" t="s">
        <v>2909</v>
      </c>
      <c r="D346" s="312">
        <v>341</v>
      </c>
      <c r="E346" s="312">
        <v>20215000012713</v>
      </c>
      <c r="F346" s="477">
        <v>44264</v>
      </c>
      <c r="G346" s="310" t="s">
        <v>2903</v>
      </c>
      <c r="H346" s="211" t="s">
        <v>2904</v>
      </c>
      <c r="I346" s="211" t="s">
        <v>228</v>
      </c>
      <c r="J346" s="408">
        <v>50150000</v>
      </c>
      <c r="K346" s="213" t="s">
        <v>288</v>
      </c>
      <c r="L346" s="213" t="s">
        <v>2999</v>
      </c>
      <c r="M346" s="213" t="s">
        <v>44</v>
      </c>
      <c r="N346" s="213" t="s">
        <v>45</v>
      </c>
      <c r="O346" s="213" t="s">
        <v>63</v>
      </c>
      <c r="P346" s="213" t="s">
        <v>678</v>
      </c>
      <c r="R346" s="213">
        <v>355</v>
      </c>
      <c r="S346" s="487">
        <v>44264</v>
      </c>
      <c r="T346" s="483" t="s">
        <v>3881</v>
      </c>
      <c r="U346" s="474">
        <v>50150000</v>
      </c>
      <c r="V346" s="407"/>
      <c r="W346" s="363"/>
      <c r="X346" s="480" t="s">
        <v>3882</v>
      </c>
      <c r="Y346" s="481">
        <v>44298</v>
      </c>
      <c r="Z346" s="481">
        <v>44298</v>
      </c>
      <c r="AA346" s="481">
        <v>44561</v>
      </c>
      <c r="AB346" s="482" t="s">
        <v>2913</v>
      </c>
      <c r="AC346" s="480" t="s">
        <v>3883</v>
      </c>
      <c r="AD346" s="482" t="s">
        <v>3884</v>
      </c>
      <c r="AE346" s="483" t="s">
        <v>3885</v>
      </c>
      <c r="AF346" s="472">
        <v>50150000</v>
      </c>
      <c r="AL346" s="474">
        <v>3736667</v>
      </c>
      <c r="AM346" s="307">
        <v>5900000</v>
      </c>
    </row>
    <row r="347" spans="1:39" hidden="1" x14ac:dyDescent="0.25">
      <c r="A347" s="475" t="s">
        <v>2700</v>
      </c>
      <c r="B347" s="476">
        <v>44000000</v>
      </c>
      <c r="C347" s="213" t="s">
        <v>2909</v>
      </c>
      <c r="D347" s="312">
        <v>342</v>
      </c>
      <c r="E347" s="312">
        <v>20215000012723</v>
      </c>
      <c r="F347" s="477">
        <v>44264</v>
      </c>
      <c r="G347" s="310" t="s">
        <v>2903</v>
      </c>
      <c r="H347" s="211" t="s">
        <v>2904</v>
      </c>
      <c r="I347" s="211" t="s">
        <v>228</v>
      </c>
      <c r="J347" s="408">
        <v>44000000</v>
      </c>
      <c r="K347" s="213" t="s">
        <v>288</v>
      </c>
      <c r="L347" s="213" t="s">
        <v>2999</v>
      </c>
      <c r="M347" s="213" t="s">
        <v>44</v>
      </c>
      <c r="N347" s="213" t="s">
        <v>45</v>
      </c>
      <c r="O347" s="213" t="s">
        <v>63</v>
      </c>
      <c r="P347" s="213" t="s">
        <v>678</v>
      </c>
      <c r="R347" s="213">
        <v>356</v>
      </c>
      <c r="S347" s="487">
        <v>44264</v>
      </c>
      <c r="T347" s="483" t="s">
        <v>3886</v>
      </c>
      <c r="U347" s="474">
        <f>44000000-12000000</f>
        <v>32000000</v>
      </c>
      <c r="V347" s="407">
        <v>12000000</v>
      </c>
      <c r="W347" s="363"/>
      <c r="X347" s="480" t="s">
        <v>3887</v>
      </c>
      <c r="Y347" s="481">
        <v>44299</v>
      </c>
      <c r="Z347" s="481">
        <v>44299</v>
      </c>
      <c r="AA347" s="481">
        <v>44543</v>
      </c>
      <c r="AB347" s="482" t="s">
        <v>2913</v>
      </c>
      <c r="AC347" s="480" t="s">
        <v>3888</v>
      </c>
      <c r="AD347" s="482" t="s">
        <v>3889</v>
      </c>
      <c r="AE347" s="483" t="s">
        <v>3890</v>
      </c>
      <c r="AF347" s="472">
        <v>32000000</v>
      </c>
      <c r="AL347" s="474">
        <v>2266667</v>
      </c>
      <c r="AM347" s="307">
        <v>4000000</v>
      </c>
    </row>
    <row r="348" spans="1:39" hidden="1" x14ac:dyDescent="0.25">
      <c r="A348" s="475" t="s">
        <v>2295</v>
      </c>
      <c r="B348" s="476">
        <v>34100000</v>
      </c>
      <c r="C348" s="213" t="s">
        <v>2909</v>
      </c>
      <c r="D348" s="312">
        <v>343</v>
      </c>
      <c r="E348" s="312">
        <v>20215000012753</v>
      </c>
      <c r="F348" s="477">
        <v>44264</v>
      </c>
      <c r="G348" s="310" t="s">
        <v>2903</v>
      </c>
      <c r="H348" s="211" t="s">
        <v>2904</v>
      </c>
      <c r="I348" s="211" t="s">
        <v>228</v>
      </c>
      <c r="J348" s="408">
        <v>34100000</v>
      </c>
      <c r="K348" s="213" t="s">
        <v>288</v>
      </c>
      <c r="L348" s="213" t="s">
        <v>2999</v>
      </c>
      <c r="M348" s="213" t="s">
        <v>44</v>
      </c>
      <c r="N348" s="213" t="s">
        <v>45</v>
      </c>
      <c r="O348" s="213" t="s">
        <v>63</v>
      </c>
      <c r="P348" s="213" t="s">
        <v>678</v>
      </c>
      <c r="R348" s="213">
        <v>357</v>
      </c>
      <c r="S348" s="487">
        <v>44264</v>
      </c>
      <c r="T348" s="483" t="s">
        <v>3891</v>
      </c>
      <c r="U348" s="474">
        <f>34100000-11150000</f>
        <v>22950000</v>
      </c>
      <c r="V348" s="407">
        <v>11150000</v>
      </c>
      <c r="W348" s="363"/>
      <c r="X348" s="480" t="s">
        <v>3892</v>
      </c>
      <c r="Y348" s="481">
        <v>44298</v>
      </c>
      <c r="Z348" s="481">
        <v>44298</v>
      </c>
      <c r="AA348" s="481">
        <v>44561</v>
      </c>
      <c r="AB348" s="482" t="s">
        <v>2913</v>
      </c>
      <c r="AC348" s="480" t="s">
        <v>3893</v>
      </c>
      <c r="AD348" s="482" t="s">
        <v>3894</v>
      </c>
      <c r="AE348" s="483" t="s">
        <v>3895</v>
      </c>
      <c r="AF348" s="472">
        <v>22950000</v>
      </c>
      <c r="AL348" s="474">
        <v>1710000</v>
      </c>
      <c r="AM348" s="307">
        <v>2700000</v>
      </c>
    </row>
    <row r="349" spans="1:39" hidden="1" x14ac:dyDescent="0.25">
      <c r="A349" s="475" t="s">
        <v>2297</v>
      </c>
      <c r="B349" s="476">
        <v>34100000</v>
      </c>
      <c r="C349" s="213" t="s">
        <v>2909</v>
      </c>
      <c r="D349" s="312">
        <v>344</v>
      </c>
      <c r="E349" s="312">
        <v>20215000012763</v>
      </c>
      <c r="F349" s="477">
        <v>44264</v>
      </c>
      <c r="G349" s="310" t="s">
        <v>2903</v>
      </c>
      <c r="H349" s="211" t="s">
        <v>2904</v>
      </c>
      <c r="I349" s="211" t="s">
        <v>228</v>
      </c>
      <c r="J349" s="408">
        <v>34100000</v>
      </c>
      <c r="K349" s="213" t="s">
        <v>288</v>
      </c>
      <c r="L349" s="213" t="s">
        <v>2999</v>
      </c>
      <c r="M349" s="213" t="s">
        <v>44</v>
      </c>
      <c r="N349" s="213" t="s">
        <v>45</v>
      </c>
      <c r="O349" s="213" t="s">
        <v>63</v>
      </c>
      <c r="P349" s="213" t="s">
        <v>678</v>
      </c>
      <c r="R349" s="213">
        <v>358</v>
      </c>
      <c r="S349" s="487">
        <v>44264</v>
      </c>
      <c r="T349" s="483" t="s">
        <v>3896</v>
      </c>
      <c r="U349" s="474">
        <f>34100000-3500000</f>
        <v>30600000</v>
      </c>
      <c r="V349" s="407">
        <v>3500000</v>
      </c>
      <c r="W349" s="363"/>
      <c r="X349" s="480" t="s">
        <v>3897</v>
      </c>
      <c r="Y349" s="481">
        <v>44298</v>
      </c>
      <c r="Z349" s="481">
        <v>44298</v>
      </c>
      <c r="AA349" s="481">
        <v>44561</v>
      </c>
      <c r="AB349" s="482" t="s">
        <v>2913</v>
      </c>
      <c r="AC349" s="480" t="s">
        <v>3898</v>
      </c>
      <c r="AD349" s="482" t="s">
        <v>3899</v>
      </c>
      <c r="AE349" s="483" t="s">
        <v>3900</v>
      </c>
      <c r="AF349" s="472">
        <v>30600000</v>
      </c>
      <c r="AL349" s="474">
        <v>2280000</v>
      </c>
      <c r="AM349" s="307">
        <v>3600000</v>
      </c>
    </row>
    <row r="350" spans="1:39" hidden="1" x14ac:dyDescent="0.25">
      <c r="A350" s="475" t="s">
        <v>2339</v>
      </c>
      <c r="B350" s="476">
        <v>34100000</v>
      </c>
      <c r="C350" s="213" t="s">
        <v>2909</v>
      </c>
      <c r="D350" s="312">
        <v>345</v>
      </c>
      <c r="E350" s="312">
        <v>20215000012773</v>
      </c>
      <c r="F350" s="477">
        <v>44264</v>
      </c>
      <c r="G350" s="310" t="s">
        <v>2903</v>
      </c>
      <c r="H350" s="211" t="s">
        <v>2904</v>
      </c>
      <c r="I350" s="211" t="s">
        <v>228</v>
      </c>
      <c r="J350" s="408">
        <v>34100000</v>
      </c>
      <c r="K350" s="213" t="s">
        <v>288</v>
      </c>
      <c r="L350" s="213" t="s">
        <v>2999</v>
      </c>
      <c r="M350" s="213" t="s">
        <v>44</v>
      </c>
      <c r="N350" s="213" t="s">
        <v>45</v>
      </c>
      <c r="O350" s="213" t="s">
        <v>63</v>
      </c>
      <c r="P350" s="213" t="s">
        <v>678</v>
      </c>
      <c r="R350" s="213">
        <v>359</v>
      </c>
      <c r="S350" s="487">
        <v>44264</v>
      </c>
      <c r="T350" s="483" t="s">
        <v>3901</v>
      </c>
      <c r="U350" s="474">
        <f>34100000-12500000</f>
        <v>21600000</v>
      </c>
      <c r="V350" s="407">
        <v>12500000</v>
      </c>
      <c r="W350" s="363"/>
      <c r="X350" s="480" t="s">
        <v>3902</v>
      </c>
      <c r="Y350" s="481">
        <v>44307</v>
      </c>
      <c r="Z350" s="481">
        <v>44307</v>
      </c>
      <c r="AA350" s="481">
        <v>44550</v>
      </c>
      <c r="AB350" s="482" t="s">
        <v>2913</v>
      </c>
      <c r="AC350" s="480" t="s">
        <v>3760</v>
      </c>
      <c r="AD350" s="482" t="s">
        <v>3903</v>
      </c>
      <c r="AE350" s="483" t="s">
        <v>3904</v>
      </c>
      <c r="AF350" s="472">
        <v>21600000</v>
      </c>
      <c r="AL350" s="474">
        <v>810000</v>
      </c>
      <c r="AM350" s="307">
        <v>2700000</v>
      </c>
    </row>
    <row r="351" spans="1:39" hidden="1" x14ac:dyDescent="0.25">
      <c r="A351" s="475" t="s">
        <v>2086</v>
      </c>
      <c r="B351" s="476">
        <v>34100000</v>
      </c>
      <c r="C351" s="213" t="s">
        <v>2909</v>
      </c>
      <c r="D351" s="312">
        <v>346</v>
      </c>
      <c r="E351" s="312">
        <v>20215000012843</v>
      </c>
      <c r="F351" s="477">
        <v>44264</v>
      </c>
      <c r="G351" s="310" t="s">
        <v>2903</v>
      </c>
      <c r="H351" s="211" t="s">
        <v>2904</v>
      </c>
      <c r="I351" s="211" t="s">
        <v>228</v>
      </c>
      <c r="J351" s="408">
        <v>34100000</v>
      </c>
      <c r="K351" s="213" t="s">
        <v>288</v>
      </c>
      <c r="L351" s="213" t="s">
        <v>2999</v>
      </c>
      <c r="M351" s="213" t="s">
        <v>44</v>
      </c>
      <c r="N351" s="213" t="s">
        <v>45</v>
      </c>
      <c r="O351" s="213" t="s">
        <v>63</v>
      </c>
      <c r="P351" s="213" t="s">
        <v>678</v>
      </c>
      <c r="R351" s="213">
        <v>363</v>
      </c>
      <c r="S351" s="487">
        <v>44264</v>
      </c>
      <c r="T351" s="483" t="s">
        <v>3905</v>
      </c>
      <c r="U351" s="474">
        <f>34100000-2100000</f>
        <v>32000000</v>
      </c>
      <c r="V351" s="407">
        <v>2100000</v>
      </c>
      <c r="W351" s="363"/>
      <c r="X351" s="480" t="s">
        <v>3906</v>
      </c>
      <c r="Y351" s="481">
        <v>44306</v>
      </c>
      <c r="Z351" s="481">
        <v>44306</v>
      </c>
      <c r="AA351" s="481">
        <v>44550</v>
      </c>
      <c r="AB351" s="482" t="s">
        <v>2913</v>
      </c>
      <c r="AC351" s="480" t="s">
        <v>3907</v>
      </c>
      <c r="AD351" s="482" t="s">
        <v>3908</v>
      </c>
      <c r="AE351" s="483" t="s">
        <v>3909</v>
      </c>
      <c r="AF351" s="472">
        <v>32000000</v>
      </c>
      <c r="AL351" s="474">
        <v>1466667</v>
      </c>
      <c r="AM351" s="307">
        <v>4000000</v>
      </c>
    </row>
    <row r="352" spans="1:39" hidden="1" x14ac:dyDescent="0.25">
      <c r="A352" s="475" t="s">
        <v>2095</v>
      </c>
      <c r="B352" s="476">
        <v>64000000</v>
      </c>
      <c r="C352" s="213" t="s">
        <v>2909</v>
      </c>
      <c r="D352" s="312">
        <v>347</v>
      </c>
      <c r="E352" s="312">
        <v>20213000013103</v>
      </c>
      <c r="F352" s="477">
        <v>44264</v>
      </c>
      <c r="G352" s="312" t="s">
        <v>2903</v>
      </c>
      <c r="H352" s="213" t="s">
        <v>2904</v>
      </c>
      <c r="I352" s="213" t="s">
        <v>432</v>
      </c>
      <c r="J352" s="474">
        <v>64000000</v>
      </c>
      <c r="K352" s="213" t="s">
        <v>342</v>
      </c>
      <c r="L352" s="213" t="s">
        <v>351</v>
      </c>
      <c r="M352" s="213" t="s">
        <v>44</v>
      </c>
      <c r="N352" s="213" t="s">
        <v>45</v>
      </c>
      <c r="O352" s="213" t="s">
        <v>63</v>
      </c>
      <c r="P352" s="213" t="s">
        <v>678</v>
      </c>
      <c r="R352" s="213">
        <v>366</v>
      </c>
      <c r="S352" s="487">
        <v>44264</v>
      </c>
      <c r="T352" s="483" t="s">
        <v>3910</v>
      </c>
      <c r="U352" s="474">
        <v>64000000</v>
      </c>
      <c r="V352" s="407"/>
      <c r="W352" s="363"/>
      <c r="X352" s="480" t="s">
        <v>3911</v>
      </c>
      <c r="Y352" s="481">
        <v>44285</v>
      </c>
      <c r="Z352" s="481">
        <v>44285</v>
      </c>
      <c r="AA352" s="481">
        <v>44530</v>
      </c>
      <c r="AB352" s="482" t="s">
        <v>2913</v>
      </c>
      <c r="AC352" s="480" t="s">
        <v>3912</v>
      </c>
      <c r="AD352" s="482" t="s">
        <v>3913</v>
      </c>
      <c r="AE352" s="483" t="s">
        <v>3092</v>
      </c>
      <c r="AF352" s="472">
        <v>64000000</v>
      </c>
      <c r="AK352" s="474">
        <v>266667</v>
      </c>
      <c r="AL352" s="474">
        <v>8000000</v>
      </c>
      <c r="AM352" s="307">
        <v>8000000</v>
      </c>
    </row>
    <row r="353" spans="1:50" ht="15" hidden="1" customHeight="1" x14ac:dyDescent="0.25">
      <c r="A353" s="475" t="s">
        <v>2843</v>
      </c>
      <c r="B353" s="476">
        <v>20000000</v>
      </c>
      <c r="C353" s="213" t="s">
        <v>2909</v>
      </c>
      <c r="D353" s="312">
        <v>348</v>
      </c>
      <c r="E353" s="310">
        <v>20214000008313</v>
      </c>
      <c r="F353" s="311">
        <v>44243</v>
      </c>
      <c r="G353" s="312" t="s">
        <v>2943</v>
      </c>
      <c r="H353" s="213" t="s">
        <v>2944</v>
      </c>
      <c r="I353" s="213" t="s">
        <v>47</v>
      </c>
      <c r="J353" s="474">
        <v>18000000</v>
      </c>
      <c r="K353" s="213" t="s">
        <v>37</v>
      </c>
      <c r="L353" s="213" t="s">
        <v>2945</v>
      </c>
      <c r="M353" s="213" t="s">
        <v>44</v>
      </c>
      <c r="N353" s="213" t="s">
        <v>45</v>
      </c>
      <c r="O353" s="213" t="s">
        <v>310</v>
      </c>
      <c r="P353" s="213" t="s">
        <v>43</v>
      </c>
      <c r="R353" s="213">
        <v>258</v>
      </c>
      <c r="S353" s="477">
        <v>44244</v>
      </c>
      <c r="T353" s="213" t="s">
        <v>3914</v>
      </c>
      <c r="U353" s="474">
        <v>18000000</v>
      </c>
      <c r="V353" s="407"/>
      <c r="W353" s="363"/>
      <c r="X353" s="480" t="s">
        <v>3915</v>
      </c>
      <c r="Y353" s="481">
        <v>44278</v>
      </c>
      <c r="Z353" s="481">
        <v>44278</v>
      </c>
      <c r="AA353" s="481">
        <v>44400</v>
      </c>
      <c r="AB353" s="482" t="s">
        <v>2913</v>
      </c>
      <c r="AC353" s="480" t="s">
        <v>3916</v>
      </c>
      <c r="AD353" s="482" t="s">
        <v>3917</v>
      </c>
      <c r="AE353" s="483" t="s">
        <v>3918</v>
      </c>
      <c r="AF353" s="472">
        <v>16352000</v>
      </c>
      <c r="AG353" s="473">
        <f t="shared" ref="AG353:AG416" si="6">+U353-AF353</f>
        <v>1648000</v>
      </c>
      <c r="AK353" s="474">
        <v>953867</v>
      </c>
      <c r="AL353" s="474">
        <v>4088000</v>
      </c>
      <c r="AM353" s="307">
        <v>4088000</v>
      </c>
    </row>
    <row r="354" spans="1:50" s="313" customFormat="1" ht="15" hidden="1" customHeight="1" x14ac:dyDescent="0.25">
      <c r="A354" s="362" t="s">
        <v>3919</v>
      </c>
      <c r="B354" s="418">
        <v>60000000</v>
      </c>
      <c r="C354" s="313" t="s">
        <v>3920</v>
      </c>
      <c r="D354" s="326">
        <v>349</v>
      </c>
      <c r="E354" s="326">
        <v>20215000013323</v>
      </c>
      <c r="F354" s="316">
        <v>44264</v>
      </c>
      <c r="G354" s="326" t="s">
        <v>2903</v>
      </c>
      <c r="H354" s="313" t="s">
        <v>2904</v>
      </c>
      <c r="I354" s="313" t="s">
        <v>228</v>
      </c>
      <c r="J354" s="407">
        <v>30000000</v>
      </c>
      <c r="K354" s="313" t="s">
        <v>223</v>
      </c>
      <c r="L354" s="313" t="s">
        <v>224</v>
      </c>
      <c r="M354" s="313" t="s">
        <v>44</v>
      </c>
      <c r="N354" s="313" t="s">
        <v>3199</v>
      </c>
      <c r="O354" s="313" t="s">
        <v>132</v>
      </c>
      <c r="P354" s="313" t="s">
        <v>678</v>
      </c>
      <c r="R354" s="313">
        <v>367</v>
      </c>
      <c r="S354" s="364">
        <v>44264</v>
      </c>
      <c r="T354" s="361" t="s">
        <v>3921</v>
      </c>
      <c r="U354" s="406">
        <f>30000000-30000000</f>
        <v>0</v>
      </c>
      <c r="V354" s="407">
        <v>30000000</v>
      </c>
      <c r="W354" s="363" t="s">
        <v>1757</v>
      </c>
      <c r="X354" s="315"/>
      <c r="Y354" s="359"/>
      <c r="Z354" s="359"/>
      <c r="AA354" s="359"/>
      <c r="AB354" s="318"/>
      <c r="AC354" s="317"/>
      <c r="AD354" s="318"/>
      <c r="AF354" s="411"/>
      <c r="AG354" s="319">
        <f t="shared" si="6"/>
        <v>0</v>
      </c>
      <c r="AH354" s="406"/>
      <c r="AI354" s="406"/>
      <c r="AJ354" s="406"/>
      <c r="AK354" s="406"/>
      <c r="AL354" s="406"/>
      <c r="AM354" s="213"/>
    </row>
    <row r="355" spans="1:50" s="211" customFormat="1" ht="15" hidden="1" customHeight="1" x14ac:dyDescent="0.25">
      <c r="A355" s="475" t="s">
        <v>2170</v>
      </c>
      <c r="B355" s="476">
        <v>80000000</v>
      </c>
      <c r="C355" s="213" t="s">
        <v>2909</v>
      </c>
      <c r="D355" s="310">
        <v>350</v>
      </c>
      <c r="E355" s="312">
        <v>20214000013573</v>
      </c>
      <c r="F355" s="311">
        <v>44265</v>
      </c>
      <c r="G355" s="312" t="s">
        <v>2943</v>
      </c>
      <c r="H355" s="213" t="s">
        <v>2944</v>
      </c>
      <c r="I355" s="213" t="s">
        <v>47</v>
      </c>
      <c r="J355" s="474">
        <v>48000000</v>
      </c>
      <c r="K355" s="213" t="s">
        <v>37</v>
      </c>
      <c r="L355" s="213" t="s">
        <v>2945</v>
      </c>
      <c r="M355" s="213" t="s">
        <v>44</v>
      </c>
      <c r="N355" s="213" t="s">
        <v>45</v>
      </c>
      <c r="O355" s="213" t="s">
        <v>310</v>
      </c>
      <c r="P355" s="213" t="s">
        <v>43</v>
      </c>
      <c r="Q355" s="213"/>
      <c r="R355" s="213">
        <v>375</v>
      </c>
      <c r="S355" s="487">
        <v>44265</v>
      </c>
      <c r="T355" s="483" t="s">
        <v>3922</v>
      </c>
      <c r="U355" s="474">
        <v>48000000</v>
      </c>
      <c r="V355" s="407"/>
      <c r="W355" s="363"/>
      <c r="X355" s="480" t="s">
        <v>3680</v>
      </c>
      <c r="Y355" s="481">
        <v>44278</v>
      </c>
      <c r="Z355" s="481">
        <v>44278</v>
      </c>
      <c r="AA355" s="481">
        <v>44462</v>
      </c>
      <c r="AB355" s="482" t="s">
        <v>2913</v>
      </c>
      <c r="AC355" s="480" t="s">
        <v>3923</v>
      </c>
      <c r="AD355" s="482" t="s">
        <v>3924</v>
      </c>
      <c r="AE355" s="483" t="s">
        <v>3925</v>
      </c>
      <c r="AF355" s="472">
        <v>48000000</v>
      </c>
      <c r="AG355" s="473">
        <f t="shared" si="6"/>
        <v>0</v>
      </c>
      <c r="AH355" s="474"/>
      <c r="AI355" s="474"/>
      <c r="AJ355" s="474"/>
      <c r="AK355" s="474">
        <v>1866666</v>
      </c>
      <c r="AL355" s="474">
        <v>8000000</v>
      </c>
      <c r="AM355" s="307">
        <v>8000000</v>
      </c>
      <c r="AN355" s="213"/>
      <c r="AO355" s="213"/>
      <c r="AP355" s="213"/>
      <c r="AQ355" s="213"/>
      <c r="AR355" s="213"/>
      <c r="AS355" s="213"/>
      <c r="AT355" s="213"/>
      <c r="AU355" s="213"/>
      <c r="AV355" s="213"/>
      <c r="AW355" s="213"/>
      <c r="AX355" s="213"/>
    </row>
    <row r="356" spans="1:50" s="313" customFormat="1" ht="15" hidden="1" customHeight="1" x14ac:dyDescent="0.25">
      <c r="A356" s="362" t="s">
        <v>3926</v>
      </c>
      <c r="B356" s="418">
        <v>35551026</v>
      </c>
      <c r="C356" s="313" t="s">
        <v>3025</v>
      </c>
      <c r="D356" s="326">
        <v>351</v>
      </c>
      <c r="E356" s="326">
        <v>20214000013493</v>
      </c>
      <c r="F356" s="316">
        <v>44265</v>
      </c>
      <c r="G356" s="326" t="s">
        <v>2943</v>
      </c>
      <c r="H356" s="313" t="s">
        <v>2944</v>
      </c>
      <c r="I356" s="313" t="s">
        <v>47</v>
      </c>
      <c r="J356" s="406">
        <v>23700000</v>
      </c>
      <c r="K356" s="313" t="s">
        <v>37</v>
      </c>
      <c r="L356" s="313" t="s">
        <v>2945</v>
      </c>
      <c r="M356" s="313" t="s">
        <v>44</v>
      </c>
      <c r="N356" s="313" t="s">
        <v>45</v>
      </c>
      <c r="O356" s="213" t="s">
        <v>310</v>
      </c>
      <c r="P356" s="313" t="s">
        <v>43</v>
      </c>
      <c r="R356" s="313">
        <v>371</v>
      </c>
      <c r="S356" s="364">
        <v>44265</v>
      </c>
      <c r="T356" s="361" t="s">
        <v>3927</v>
      </c>
      <c r="U356" s="406">
        <f>23700000-23700000</f>
        <v>0</v>
      </c>
      <c r="V356" s="407">
        <v>23700000</v>
      </c>
      <c r="W356" s="363"/>
      <c r="X356" s="315"/>
      <c r="Y356" s="359"/>
      <c r="Z356" s="359"/>
      <c r="AA356" s="359"/>
      <c r="AB356" s="318"/>
      <c r="AC356" s="317"/>
      <c r="AD356" s="318"/>
      <c r="AF356" s="411"/>
      <c r="AG356" s="319">
        <f t="shared" si="6"/>
        <v>0</v>
      </c>
      <c r="AH356" s="406"/>
      <c r="AI356" s="406"/>
      <c r="AJ356" s="406"/>
      <c r="AK356" s="406"/>
      <c r="AL356" s="406"/>
      <c r="AM356" s="213"/>
    </row>
    <row r="357" spans="1:50" ht="15" hidden="1" customHeight="1" x14ac:dyDescent="0.25">
      <c r="A357" s="475" t="s">
        <v>2845</v>
      </c>
      <c r="B357" s="476">
        <v>27000000</v>
      </c>
      <c r="C357" s="213" t="s">
        <v>2909</v>
      </c>
      <c r="D357" s="312">
        <v>352</v>
      </c>
      <c r="E357" s="312">
        <v>20214000013513</v>
      </c>
      <c r="F357" s="311">
        <v>44265</v>
      </c>
      <c r="G357" s="312" t="s">
        <v>2943</v>
      </c>
      <c r="H357" s="213" t="s">
        <v>2944</v>
      </c>
      <c r="I357" s="213" t="s">
        <v>47</v>
      </c>
      <c r="J357" s="474">
        <v>18000000</v>
      </c>
      <c r="K357" s="213" t="s">
        <v>37</v>
      </c>
      <c r="L357" s="213" t="s">
        <v>2945</v>
      </c>
      <c r="M357" s="213" t="s">
        <v>44</v>
      </c>
      <c r="N357" s="213" t="s">
        <v>45</v>
      </c>
      <c r="O357" s="213" t="s">
        <v>310</v>
      </c>
      <c r="P357" s="213" t="s">
        <v>43</v>
      </c>
      <c r="R357" s="213">
        <v>372</v>
      </c>
      <c r="S357" s="487">
        <v>44265</v>
      </c>
      <c r="T357" s="483" t="s">
        <v>3928</v>
      </c>
      <c r="U357" s="474">
        <v>18000000</v>
      </c>
      <c r="V357" s="407"/>
      <c r="W357" s="363"/>
      <c r="X357" s="480" t="s">
        <v>3929</v>
      </c>
      <c r="Y357" s="481">
        <v>44299</v>
      </c>
      <c r="Z357" s="481">
        <v>44299</v>
      </c>
      <c r="AA357" s="481">
        <v>44482</v>
      </c>
      <c r="AB357" s="482" t="s">
        <v>2913</v>
      </c>
      <c r="AC357" s="480" t="s">
        <v>3930</v>
      </c>
      <c r="AD357" s="482" t="s">
        <v>3931</v>
      </c>
      <c r="AE357" s="483" t="s">
        <v>3932</v>
      </c>
      <c r="AF357" s="472">
        <v>18000000</v>
      </c>
      <c r="AG357" s="473">
        <f t="shared" si="6"/>
        <v>0</v>
      </c>
      <c r="AL357" s="474">
        <v>1800000</v>
      </c>
      <c r="AM357" s="307">
        <v>3000000</v>
      </c>
    </row>
    <row r="358" spans="1:50" ht="15" hidden="1" customHeight="1" x14ac:dyDescent="0.25">
      <c r="A358" s="475" t="s">
        <v>2839</v>
      </c>
      <c r="B358" s="476">
        <v>67500000</v>
      </c>
      <c r="C358" s="213" t="s">
        <v>2909</v>
      </c>
      <c r="D358" s="312">
        <v>353</v>
      </c>
      <c r="E358" s="312">
        <v>20214000013523</v>
      </c>
      <c r="F358" s="311">
        <v>44265</v>
      </c>
      <c r="G358" s="312" t="s">
        <v>2943</v>
      </c>
      <c r="H358" s="213" t="s">
        <v>2944</v>
      </c>
      <c r="I358" s="213" t="s">
        <v>47</v>
      </c>
      <c r="J358" s="474">
        <v>45000000</v>
      </c>
      <c r="K358" s="213" t="s">
        <v>37</v>
      </c>
      <c r="L358" s="213" t="s">
        <v>2945</v>
      </c>
      <c r="M358" s="213" t="s">
        <v>44</v>
      </c>
      <c r="N358" s="213" t="s">
        <v>45</v>
      </c>
      <c r="O358" s="213" t="s">
        <v>310</v>
      </c>
      <c r="P358" s="213" t="s">
        <v>43</v>
      </c>
      <c r="R358" s="213">
        <v>373</v>
      </c>
      <c r="S358" s="487">
        <v>44265</v>
      </c>
      <c r="T358" s="483" t="s">
        <v>3933</v>
      </c>
      <c r="U358" s="474">
        <v>45000000</v>
      </c>
      <c r="V358" s="407"/>
      <c r="W358" s="363"/>
      <c r="X358" s="309">
        <v>397</v>
      </c>
      <c r="Y358" s="481">
        <v>44295</v>
      </c>
      <c r="Z358" s="481">
        <v>44295</v>
      </c>
      <c r="AA358" s="481">
        <v>44478</v>
      </c>
      <c r="AB358" s="482" t="s">
        <v>2913</v>
      </c>
      <c r="AC358" s="480" t="s">
        <v>3934</v>
      </c>
      <c r="AD358" s="482" t="s">
        <v>3935</v>
      </c>
      <c r="AE358" s="483" t="s">
        <v>3936</v>
      </c>
      <c r="AF358" s="472">
        <v>45000000</v>
      </c>
      <c r="AG358" s="473">
        <f t="shared" si="6"/>
        <v>0</v>
      </c>
      <c r="AL358" s="474">
        <v>5500000</v>
      </c>
      <c r="AM358" s="307">
        <v>7500000</v>
      </c>
    </row>
    <row r="359" spans="1:50" ht="15" hidden="1" customHeight="1" x14ac:dyDescent="0.25">
      <c r="A359" s="475" t="s">
        <v>2501</v>
      </c>
      <c r="B359" s="476">
        <v>73039148</v>
      </c>
      <c r="C359" s="213" t="s">
        <v>2909</v>
      </c>
      <c r="D359" s="312">
        <v>354</v>
      </c>
      <c r="E359" s="312">
        <v>20214000013533</v>
      </c>
      <c r="F359" s="311">
        <v>44265</v>
      </c>
      <c r="G359" s="312" t="s">
        <v>2936</v>
      </c>
      <c r="H359" s="213" t="s">
        <v>2937</v>
      </c>
      <c r="I359" s="213" t="s">
        <v>117</v>
      </c>
      <c r="J359" s="474">
        <v>48000000</v>
      </c>
      <c r="K359" s="213" t="s">
        <v>112</v>
      </c>
      <c r="L359" s="213" t="s">
        <v>2938</v>
      </c>
      <c r="M359" s="213" t="s">
        <v>44</v>
      </c>
      <c r="N359" s="213" t="s">
        <v>45</v>
      </c>
      <c r="O359" s="213" t="s">
        <v>63</v>
      </c>
      <c r="P359" s="213" t="s">
        <v>43</v>
      </c>
      <c r="R359" s="213">
        <v>374</v>
      </c>
      <c r="S359" s="487">
        <v>44265</v>
      </c>
      <c r="T359" s="483" t="s">
        <v>3937</v>
      </c>
      <c r="U359" s="474">
        <v>48000000</v>
      </c>
      <c r="V359" s="407"/>
      <c r="W359" s="363"/>
      <c r="X359" s="480" t="s">
        <v>3816</v>
      </c>
      <c r="Y359" s="481">
        <v>44292</v>
      </c>
      <c r="Z359" s="481">
        <v>44292</v>
      </c>
      <c r="AA359" s="481">
        <v>44475</v>
      </c>
      <c r="AB359" s="482" t="s">
        <v>2913</v>
      </c>
      <c r="AC359" s="480" t="s">
        <v>3683</v>
      </c>
      <c r="AD359" s="482" t="s">
        <v>3938</v>
      </c>
      <c r="AE359" s="483" t="s">
        <v>3939</v>
      </c>
      <c r="AF359" s="472">
        <v>48000000</v>
      </c>
      <c r="AG359" s="473">
        <f t="shared" si="6"/>
        <v>0</v>
      </c>
      <c r="AL359" s="474">
        <v>6666666</v>
      </c>
      <c r="AM359" s="307">
        <v>8000000</v>
      </c>
    </row>
    <row r="360" spans="1:50" ht="15" hidden="1" customHeight="1" x14ac:dyDescent="0.25">
      <c r="A360" s="475" t="s">
        <v>3940</v>
      </c>
      <c r="B360" s="476">
        <v>8000000</v>
      </c>
      <c r="C360" s="213" t="s">
        <v>3941</v>
      </c>
      <c r="D360" s="312">
        <v>355</v>
      </c>
      <c r="E360" s="312">
        <v>20211300002603</v>
      </c>
      <c r="F360" s="477">
        <v>44221</v>
      </c>
      <c r="G360" s="312" t="s">
        <v>2910</v>
      </c>
      <c r="H360" s="213" t="s">
        <v>2911</v>
      </c>
      <c r="I360" s="213" t="s">
        <v>210</v>
      </c>
      <c r="J360" s="474">
        <v>7979521</v>
      </c>
      <c r="K360" s="213" t="s">
        <v>138</v>
      </c>
      <c r="L360" s="213" t="s">
        <v>139</v>
      </c>
      <c r="M360" s="213" t="s">
        <v>44</v>
      </c>
      <c r="N360" s="213" t="s">
        <v>45</v>
      </c>
      <c r="O360" s="213" t="s">
        <v>142</v>
      </c>
      <c r="P360" s="213" t="s">
        <v>43</v>
      </c>
      <c r="R360" s="213">
        <v>88</v>
      </c>
      <c r="S360" s="477">
        <v>44221</v>
      </c>
      <c r="T360" s="213" t="s">
        <v>3940</v>
      </c>
      <c r="U360" s="474">
        <v>7979521</v>
      </c>
      <c r="V360" s="407"/>
      <c r="W360" s="363"/>
      <c r="X360" s="309">
        <v>296</v>
      </c>
      <c r="Y360" s="481">
        <v>44278</v>
      </c>
      <c r="Z360" s="481">
        <v>44278</v>
      </c>
      <c r="AA360" s="481">
        <v>44462</v>
      </c>
      <c r="AB360" s="482" t="s">
        <v>2913</v>
      </c>
      <c r="AC360" s="212">
        <v>207</v>
      </c>
      <c r="AD360" s="489" t="s">
        <v>3942</v>
      </c>
      <c r="AE360" s="490" t="s">
        <v>3943</v>
      </c>
      <c r="AF360" s="472">
        <v>7977760</v>
      </c>
      <c r="AG360" s="473">
        <f t="shared" si="6"/>
        <v>1761</v>
      </c>
      <c r="AM360" s="307">
        <v>7977760</v>
      </c>
    </row>
    <row r="361" spans="1:50" ht="15" hidden="1" customHeight="1" x14ac:dyDescent="0.25">
      <c r="A361" s="475" t="s">
        <v>2179</v>
      </c>
      <c r="B361" s="476">
        <v>33000000</v>
      </c>
      <c r="C361" s="213" t="s">
        <v>2909</v>
      </c>
      <c r="D361" s="312">
        <v>356</v>
      </c>
      <c r="E361" s="312">
        <v>20215000002873</v>
      </c>
      <c r="F361" s="477">
        <v>44225</v>
      </c>
      <c r="G361" s="312" t="s">
        <v>2903</v>
      </c>
      <c r="H361" s="213" t="s">
        <v>2904</v>
      </c>
      <c r="I361" s="213" t="s">
        <v>228</v>
      </c>
      <c r="J361" s="474">
        <v>33000000</v>
      </c>
      <c r="K361" s="213" t="s">
        <v>223</v>
      </c>
      <c r="L361" s="213" t="s">
        <v>236</v>
      </c>
      <c r="M361" s="213" t="s">
        <v>44</v>
      </c>
      <c r="N361" s="213" t="s">
        <v>45</v>
      </c>
      <c r="O361" s="213" t="s">
        <v>63</v>
      </c>
      <c r="P361" s="213" t="s">
        <v>678</v>
      </c>
      <c r="R361" s="213">
        <v>128</v>
      </c>
      <c r="S361" s="477">
        <v>44225</v>
      </c>
      <c r="T361" s="213" t="s">
        <v>3944</v>
      </c>
      <c r="U361" s="474">
        <f>33000000-13200000</f>
        <v>19800000</v>
      </c>
      <c r="V361" s="407">
        <v>13200000</v>
      </c>
      <c r="W361" s="363"/>
      <c r="X361" s="480" t="s">
        <v>3945</v>
      </c>
      <c r="Y361" s="481">
        <v>44278</v>
      </c>
      <c r="Z361" s="481">
        <v>44278</v>
      </c>
      <c r="AA361" s="481">
        <v>44553</v>
      </c>
      <c r="AB361" s="482" t="s">
        <v>2913</v>
      </c>
      <c r="AC361" s="480" t="s">
        <v>3946</v>
      </c>
      <c r="AD361" s="482" t="s">
        <v>3947</v>
      </c>
      <c r="AE361" s="483" t="s">
        <v>3948</v>
      </c>
      <c r="AF361" s="472">
        <v>19800000</v>
      </c>
      <c r="AG361" s="473">
        <f t="shared" si="6"/>
        <v>0</v>
      </c>
      <c r="AL361" s="474">
        <v>2273333</v>
      </c>
      <c r="AM361" s="307">
        <v>2200000</v>
      </c>
    </row>
    <row r="362" spans="1:50" ht="15" hidden="1" customHeight="1" x14ac:dyDescent="0.25">
      <c r="A362" s="475" t="s">
        <v>2504</v>
      </c>
      <c r="B362" s="476">
        <v>35550000</v>
      </c>
      <c r="C362" s="213" t="s">
        <v>2909</v>
      </c>
      <c r="D362" s="312">
        <v>357</v>
      </c>
      <c r="E362" s="312">
        <v>20214000013583</v>
      </c>
      <c r="F362" s="311">
        <v>44265</v>
      </c>
      <c r="G362" s="312" t="s">
        <v>2936</v>
      </c>
      <c r="H362" s="213" t="s">
        <v>2937</v>
      </c>
      <c r="I362" s="213" t="s">
        <v>117</v>
      </c>
      <c r="J362" s="474">
        <v>23700000</v>
      </c>
      <c r="K362" s="213" t="s">
        <v>112</v>
      </c>
      <c r="L362" s="213" t="s">
        <v>2938</v>
      </c>
      <c r="M362" s="213" t="s">
        <v>44</v>
      </c>
      <c r="N362" s="213" t="s">
        <v>45</v>
      </c>
      <c r="O362" s="213" t="s">
        <v>63</v>
      </c>
      <c r="P362" s="213" t="s">
        <v>43</v>
      </c>
      <c r="R362" s="213">
        <v>376</v>
      </c>
      <c r="S362" s="487">
        <v>44265</v>
      </c>
      <c r="T362" s="483" t="s">
        <v>3949</v>
      </c>
      <c r="U362" s="474">
        <v>23700000</v>
      </c>
      <c r="V362" s="407"/>
      <c r="W362" s="363"/>
      <c r="X362" s="480" t="s">
        <v>3528</v>
      </c>
      <c r="Y362" s="481">
        <v>44286</v>
      </c>
      <c r="Z362" s="481">
        <v>44286</v>
      </c>
      <c r="AA362" s="481">
        <v>44469</v>
      </c>
      <c r="AB362" s="482" t="s">
        <v>2913</v>
      </c>
      <c r="AC362" s="480" t="s">
        <v>3950</v>
      </c>
      <c r="AD362" s="482" t="s">
        <v>3951</v>
      </c>
      <c r="AE362" s="483" t="s">
        <v>3952</v>
      </c>
      <c r="AF362" s="472">
        <v>23700000</v>
      </c>
      <c r="AG362" s="473">
        <f t="shared" si="6"/>
        <v>0</v>
      </c>
      <c r="AL362" s="474">
        <v>3423333</v>
      </c>
      <c r="AM362" s="307">
        <v>3950000</v>
      </c>
    </row>
    <row r="363" spans="1:50" ht="15" hidden="1" customHeight="1" x14ac:dyDescent="0.25">
      <c r="A363" s="475" t="s">
        <v>2847</v>
      </c>
      <c r="B363" s="476">
        <v>72000000</v>
      </c>
      <c r="C363" s="213" t="s">
        <v>2909</v>
      </c>
      <c r="D363" s="312">
        <v>358</v>
      </c>
      <c r="E363" s="312">
        <v>20214000013593</v>
      </c>
      <c r="F363" s="311">
        <v>44265</v>
      </c>
      <c r="G363" s="312" t="s">
        <v>2943</v>
      </c>
      <c r="H363" s="213" t="s">
        <v>2944</v>
      </c>
      <c r="I363" s="213" t="s">
        <v>47</v>
      </c>
      <c r="J363" s="474">
        <v>48000000</v>
      </c>
      <c r="K363" s="213" t="s">
        <v>37</v>
      </c>
      <c r="L363" s="213" t="s">
        <v>2945</v>
      </c>
      <c r="M363" s="213" t="s">
        <v>44</v>
      </c>
      <c r="N363" s="213" t="s">
        <v>45</v>
      </c>
      <c r="O363" s="213" t="s">
        <v>310</v>
      </c>
      <c r="P363" s="213" t="s">
        <v>43</v>
      </c>
      <c r="R363" s="213">
        <v>377</v>
      </c>
      <c r="S363" s="487">
        <v>44265</v>
      </c>
      <c r="T363" s="483" t="s">
        <v>3953</v>
      </c>
      <c r="U363" s="474">
        <v>48000000</v>
      </c>
      <c r="V363" s="407"/>
      <c r="W363" s="363"/>
      <c r="X363" s="480" t="s">
        <v>3954</v>
      </c>
      <c r="Y363" s="481">
        <v>44286</v>
      </c>
      <c r="Z363" s="481">
        <v>44286</v>
      </c>
      <c r="AA363" s="481">
        <v>44469</v>
      </c>
      <c r="AB363" s="482" t="s">
        <v>2913</v>
      </c>
      <c r="AC363" s="480" t="s">
        <v>3639</v>
      </c>
      <c r="AD363" s="482" t="s">
        <v>3955</v>
      </c>
      <c r="AE363" s="483" t="s">
        <v>3956</v>
      </c>
      <c r="AF363" s="472">
        <v>48000000</v>
      </c>
      <c r="AG363" s="473">
        <f t="shared" si="6"/>
        <v>0</v>
      </c>
      <c r="AL363" s="474">
        <v>6933333</v>
      </c>
      <c r="AM363" s="307">
        <v>8000000</v>
      </c>
    </row>
    <row r="364" spans="1:50" ht="15" hidden="1" customHeight="1" x14ac:dyDescent="0.25">
      <c r="A364" s="475" t="s">
        <v>3957</v>
      </c>
      <c r="B364" s="476">
        <v>27000000</v>
      </c>
      <c r="C364" s="213" t="s">
        <v>2909</v>
      </c>
      <c r="D364" s="312">
        <v>359</v>
      </c>
      <c r="E364" s="312">
        <v>20214000013603</v>
      </c>
      <c r="F364" s="311">
        <v>44265</v>
      </c>
      <c r="G364" s="312" t="s">
        <v>2936</v>
      </c>
      <c r="H364" s="213" t="s">
        <v>2937</v>
      </c>
      <c r="I364" s="213" t="s">
        <v>117</v>
      </c>
      <c r="J364" s="474">
        <v>18000000</v>
      </c>
      <c r="K364" s="213" t="s">
        <v>112</v>
      </c>
      <c r="L364" s="213" t="s">
        <v>2938</v>
      </c>
      <c r="M364" s="213" t="s">
        <v>44</v>
      </c>
      <c r="N364" s="213" t="s">
        <v>45</v>
      </c>
      <c r="O364" s="213" t="s">
        <v>63</v>
      </c>
      <c r="P364" s="213" t="s">
        <v>43</v>
      </c>
      <c r="R364" s="213">
        <v>378</v>
      </c>
      <c r="S364" s="487">
        <v>44265</v>
      </c>
      <c r="T364" s="483" t="s">
        <v>3958</v>
      </c>
      <c r="U364" s="474">
        <v>18000000</v>
      </c>
      <c r="V364" s="407"/>
      <c r="W364" s="363"/>
      <c r="X364" s="480" t="s">
        <v>3959</v>
      </c>
      <c r="Y364" s="481">
        <v>44286</v>
      </c>
      <c r="Z364" s="481">
        <v>44286</v>
      </c>
      <c r="AA364" s="481">
        <v>44469</v>
      </c>
      <c r="AB364" s="482" t="s">
        <v>2913</v>
      </c>
      <c r="AC364" s="480" t="s">
        <v>3644</v>
      </c>
      <c r="AD364" s="482" t="s">
        <v>3960</v>
      </c>
      <c r="AE364" s="483" t="s">
        <v>3961</v>
      </c>
      <c r="AF364" s="472">
        <v>18000000</v>
      </c>
      <c r="AG364" s="473">
        <f t="shared" si="6"/>
        <v>0</v>
      </c>
      <c r="AL364" s="474">
        <v>2600000</v>
      </c>
      <c r="AM364" s="307">
        <v>3000000</v>
      </c>
    </row>
    <row r="365" spans="1:50" ht="15" hidden="1" customHeight="1" x14ac:dyDescent="0.25">
      <c r="A365" s="475" t="s">
        <v>3962</v>
      </c>
      <c r="B365" s="476">
        <v>27000000</v>
      </c>
      <c r="C365" s="213" t="s">
        <v>2909</v>
      </c>
      <c r="D365" s="312">
        <v>360</v>
      </c>
      <c r="E365" s="312">
        <v>20214000013613</v>
      </c>
      <c r="F365" s="311">
        <v>44265</v>
      </c>
      <c r="G365" s="312" t="s">
        <v>2936</v>
      </c>
      <c r="H365" s="213" t="s">
        <v>2937</v>
      </c>
      <c r="I365" s="213" t="s">
        <v>117</v>
      </c>
      <c r="J365" s="474">
        <v>18000000</v>
      </c>
      <c r="K365" s="213" t="s">
        <v>112</v>
      </c>
      <c r="L365" s="213" t="s">
        <v>2938</v>
      </c>
      <c r="M365" s="213" t="s">
        <v>44</v>
      </c>
      <c r="N365" s="213" t="s">
        <v>45</v>
      </c>
      <c r="O365" s="213" t="s">
        <v>63</v>
      </c>
      <c r="P365" s="213" t="s">
        <v>43</v>
      </c>
      <c r="R365" s="213">
        <v>379</v>
      </c>
      <c r="S365" s="487">
        <v>44265</v>
      </c>
      <c r="T365" s="483" t="s">
        <v>3963</v>
      </c>
      <c r="U365" s="474">
        <v>18000000</v>
      </c>
      <c r="V365" s="407"/>
      <c r="W365" s="363"/>
      <c r="X365" s="212" t="s">
        <v>3964</v>
      </c>
      <c r="Y365" s="471">
        <v>44301</v>
      </c>
      <c r="Z365" s="471">
        <v>44301</v>
      </c>
      <c r="AA365" s="471">
        <v>44484</v>
      </c>
      <c r="AB365" s="3" t="s">
        <v>2913</v>
      </c>
      <c r="AC365" s="212" t="s">
        <v>3965</v>
      </c>
      <c r="AD365" s="3" t="s">
        <v>3966</v>
      </c>
      <c r="AE365" s="213" t="s">
        <v>3967</v>
      </c>
      <c r="AF365" s="472">
        <v>18000000</v>
      </c>
      <c r="AG365" s="473">
        <f t="shared" si="6"/>
        <v>0</v>
      </c>
      <c r="AL365" s="474">
        <v>1600000</v>
      </c>
      <c r="AM365" s="307">
        <v>3000000</v>
      </c>
    </row>
    <row r="366" spans="1:50" ht="15" hidden="1" customHeight="1" x14ac:dyDescent="0.25">
      <c r="A366" s="475" t="s">
        <v>2689</v>
      </c>
      <c r="B366" s="476">
        <v>54000000</v>
      </c>
      <c r="C366" s="213" t="s">
        <v>2909</v>
      </c>
      <c r="D366" s="312">
        <v>361</v>
      </c>
      <c r="E366" s="312">
        <v>20215000013343</v>
      </c>
      <c r="F366" s="477">
        <v>44264</v>
      </c>
      <c r="G366" s="312" t="s">
        <v>2903</v>
      </c>
      <c r="H366" s="213" t="s">
        <v>2904</v>
      </c>
      <c r="I366" s="213" t="s">
        <v>228</v>
      </c>
      <c r="J366" s="474">
        <v>32000000</v>
      </c>
      <c r="K366" s="213" t="s">
        <v>223</v>
      </c>
      <c r="L366" s="213" t="s">
        <v>3021</v>
      </c>
      <c r="M366" s="213" t="s">
        <v>44</v>
      </c>
      <c r="N366" s="213" t="s">
        <v>45</v>
      </c>
      <c r="O366" s="213" t="s">
        <v>63</v>
      </c>
      <c r="P366" s="213" t="s">
        <v>678</v>
      </c>
      <c r="R366" s="213">
        <v>368</v>
      </c>
      <c r="S366" s="487">
        <v>44264</v>
      </c>
      <c r="T366" s="483" t="s">
        <v>3968</v>
      </c>
      <c r="U366" s="474">
        <v>32000000</v>
      </c>
      <c r="V366" s="407"/>
      <c r="W366" s="363"/>
      <c r="X366" s="480" t="s">
        <v>3969</v>
      </c>
      <c r="Y366" s="481">
        <v>44279</v>
      </c>
      <c r="Z366" s="481">
        <v>44279</v>
      </c>
      <c r="AA366" s="481">
        <v>44524</v>
      </c>
      <c r="AB366" s="482" t="s">
        <v>2913</v>
      </c>
      <c r="AC366" s="480" t="s">
        <v>3970</v>
      </c>
      <c r="AD366" s="482" t="s">
        <v>3971</v>
      </c>
      <c r="AE366" s="483" t="s">
        <v>3972</v>
      </c>
      <c r="AF366" s="472">
        <v>32000000</v>
      </c>
      <c r="AG366" s="473">
        <f t="shared" si="6"/>
        <v>0</v>
      </c>
      <c r="AK366" s="474">
        <v>933333</v>
      </c>
      <c r="AL366" s="474">
        <v>4000000</v>
      </c>
      <c r="AM366" s="307">
        <v>4000000</v>
      </c>
    </row>
    <row r="367" spans="1:50" ht="15" hidden="1" customHeight="1" x14ac:dyDescent="0.25">
      <c r="A367" s="475" t="s">
        <v>2475</v>
      </c>
      <c r="B367" s="476">
        <v>28619969</v>
      </c>
      <c r="C367" s="213" t="s">
        <v>2909</v>
      </c>
      <c r="D367" s="312">
        <v>362</v>
      </c>
      <c r="E367" s="312">
        <v>20211300013943</v>
      </c>
      <c r="F367" s="311">
        <v>44265</v>
      </c>
      <c r="G367" s="312" t="s">
        <v>2910</v>
      </c>
      <c r="H367" s="213" t="s">
        <v>2911</v>
      </c>
      <c r="I367" s="213" t="s">
        <v>210</v>
      </c>
      <c r="J367" s="474">
        <v>16353468</v>
      </c>
      <c r="K367" s="213" t="s">
        <v>138</v>
      </c>
      <c r="L367" s="213" t="s">
        <v>139</v>
      </c>
      <c r="M367" s="213" t="s">
        <v>44</v>
      </c>
      <c r="N367" s="213" t="s">
        <v>45</v>
      </c>
      <c r="O367" s="213" t="s">
        <v>142</v>
      </c>
      <c r="P367" s="213" t="s">
        <v>43</v>
      </c>
      <c r="R367" s="213">
        <v>403</v>
      </c>
      <c r="S367" s="487">
        <v>44266</v>
      </c>
      <c r="T367" s="483" t="s">
        <v>3973</v>
      </c>
      <c r="U367" s="474">
        <v>16353468</v>
      </c>
      <c r="V367" s="407"/>
      <c r="W367" s="363"/>
      <c r="X367" s="480" t="s">
        <v>3974</v>
      </c>
      <c r="Y367" s="481">
        <v>44305</v>
      </c>
      <c r="Z367" s="481">
        <v>44305</v>
      </c>
      <c r="AA367" s="481">
        <v>44426</v>
      </c>
      <c r="AB367" s="482" t="s">
        <v>2913</v>
      </c>
      <c r="AC367" s="480" t="s">
        <v>3975</v>
      </c>
      <c r="AD367" s="482" t="s">
        <v>3976</v>
      </c>
      <c r="AE367" s="483" t="s">
        <v>2982</v>
      </c>
      <c r="AF367" s="472">
        <v>16353468</v>
      </c>
      <c r="AG367" s="473">
        <f t="shared" si="6"/>
        <v>0</v>
      </c>
      <c r="AM367" s="307">
        <v>5587435</v>
      </c>
    </row>
    <row r="368" spans="1:50" ht="15" hidden="1" customHeight="1" x14ac:dyDescent="0.25">
      <c r="A368" s="475" t="s">
        <v>2269</v>
      </c>
      <c r="B368" s="476">
        <v>29981358</v>
      </c>
      <c r="C368" s="213" t="s">
        <v>2909</v>
      </c>
      <c r="D368" s="312">
        <v>363</v>
      </c>
      <c r="E368" s="310">
        <v>20217000011343</v>
      </c>
      <c r="F368" s="477">
        <v>44256</v>
      </c>
      <c r="G368" s="312" t="s">
        <v>2910</v>
      </c>
      <c r="H368" s="213" t="s">
        <v>2911</v>
      </c>
      <c r="I368" s="213" t="s">
        <v>164</v>
      </c>
      <c r="J368" s="474">
        <v>16353468</v>
      </c>
      <c r="K368" s="213" t="s">
        <v>138</v>
      </c>
      <c r="L368" s="213" t="s">
        <v>139</v>
      </c>
      <c r="M368" s="213" t="s">
        <v>44</v>
      </c>
      <c r="N368" s="213" t="s">
        <v>45</v>
      </c>
      <c r="O368" s="213" t="s">
        <v>142</v>
      </c>
      <c r="P368" s="213" t="s">
        <v>43</v>
      </c>
      <c r="R368" s="213">
        <v>319</v>
      </c>
      <c r="S368" s="487">
        <v>44256</v>
      </c>
      <c r="T368" s="483" t="s">
        <v>3977</v>
      </c>
      <c r="U368" s="474">
        <v>16353468</v>
      </c>
      <c r="V368" s="407"/>
      <c r="W368" s="363"/>
      <c r="X368" s="480" t="s">
        <v>3978</v>
      </c>
      <c r="Y368" s="481">
        <v>44279</v>
      </c>
      <c r="Z368" s="481">
        <v>44279</v>
      </c>
      <c r="AA368" s="481">
        <v>44463</v>
      </c>
      <c r="AB368" s="482" t="s">
        <v>2913</v>
      </c>
      <c r="AC368" s="480" t="s">
        <v>3979</v>
      </c>
      <c r="AD368" s="482" t="s">
        <v>3980</v>
      </c>
      <c r="AE368" s="483" t="s">
        <v>2960</v>
      </c>
      <c r="AF368" s="472">
        <v>16353468</v>
      </c>
      <c r="AG368" s="473">
        <f t="shared" si="6"/>
        <v>0</v>
      </c>
      <c r="AL368" s="474">
        <v>3270693</v>
      </c>
      <c r="AM368" s="307">
        <v>2725578</v>
      </c>
    </row>
    <row r="369" spans="1:50" ht="15" hidden="1" customHeight="1" x14ac:dyDescent="0.25">
      <c r="A369" s="475" t="s">
        <v>2220</v>
      </c>
      <c r="B369" s="476">
        <v>43380000</v>
      </c>
      <c r="C369" s="213" t="s">
        <v>2909</v>
      </c>
      <c r="D369" s="312">
        <v>364</v>
      </c>
      <c r="E369" s="312">
        <v>20216000014473</v>
      </c>
      <c r="F369" s="477">
        <v>44267</v>
      </c>
      <c r="G369" s="312" t="s">
        <v>2910</v>
      </c>
      <c r="H369" s="213" t="s">
        <v>2911</v>
      </c>
      <c r="I369" s="213" t="s">
        <v>214</v>
      </c>
      <c r="J369" s="474">
        <v>43380000</v>
      </c>
      <c r="K369" s="213" t="s">
        <v>138</v>
      </c>
      <c r="L369" s="213" t="s">
        <v>139</v>
      </c>
      <c r="M369" s="213" t="s">
        <v>44</v>
      </c>
      <c r="N369" s="213" t="s">
        <v>45</v>
      </c>
      <c r="O369" s="213" t="s">
        <v>142</v>
      </c>
      <c r="P369" s="213" t="s">
        <v>43</v>
      </c>
      <c r="R369" s="213">
        <v>427</v>
      </c>
      <c r="S369" s="487">
        <v>44267</v>
      </c>
      <c r="T369" s="483" t="s">
        <v>3981</v>
      </c>
      <c r="U369" s="474">
        <v>43380000</v>
      </c>
      <c r="V369" s="407"/>
      <c r="W369" s="363"/>
      <c r="X369" s="480" t="s">
        <v>3883</v>
      </c>
      <c r="Y369" s="481">
        <v>44279</v>
      </c>
      <c r="Z369" s="481">
        <v>44279</v>
      </c>
      <c r="AA369" s="481">
        <v>44554</v>
      </c>
      <c r="AB369" s="482" t="s">
        <v>2913</v>
      </c>
      <c r="AC369" s="480" t="s">
        <v>3982</v>
      </c>
      <c r="AD369" s="482" t="s">
        <v>3983</v>
      </c>
      <c r="AE369" s="483" t="s">
        <v>3984</v>
      </c>
      <c r="AF369" s="472">
        <v>43380000</v>
      </c>
      <c r="AG369" s="473">
        <f t="shared" si="6"/>
        <v>0</v>
      </c>
      <c r="AK369" s="474">
        <v>964000</v>
      </c>
      <c r="AL369" s="474">
        <v>4820000</v>
      </c>
      <c r="AM369" s="307">
        <v>4820000</v>
      </c>
    </row>
    <row r="370" spans="1:50" ht="15" hidden="1" customHeight="1" x14ac:dyDescent="0.25">
      <c r="A370" s="475" t="s">
        <v>2478</v>
      </c>
      <c r="B370" s="476">
        <v>41337934</v>
      </c>
      <c r="C370" s="213" t="s">
        <v>2909</v>
      </c>
      <c r="D370" s="312">
        <v>365</v>
      </c>
      <c r="E370" s="312">
        <v>20211300013933</v>
      </c>
      <c r="F370" s="311">
        <v>44265</v>
      </c>
      <c r="G370" s="312" t="s">
        <v>2910</v>
      </c>
      <c r="H370" s="213" t="s">
        <v>2911</v>
      </c>
      <c r="I370" s="213" t="s">
        <v>210</v>
      </c>
      <c r="J370" s="474">
        <v>23621677</v>
      </c>
      <c r="K370" s="213" t="s">
        <v>138</v>
      </c>
      <c r="L370" s="213" t="s">
        <v>139</v>
      </c>
      <c r="M370" s="213" t="s">
        <v>44</v>
      </c>
      <c r="N370" s="213" t="s">
        <v>45</v>
      </c>
      <c r="O370" s="213" t="s">
        <v>142</v>
      </c>
      <c r="P370" s="213" t="s">
        <v>43</v>
      </c>
      <c r="R370" s="213">
        <v>402</v>
      </c>
      <c r="S370" s="487">
        <v>44266</v>
      </c>
      <c r="T370" s="483" t="s">
        <v>3985</v>
      </c>
      <c r="U370" s="474">
        <v>23621677</v>
      </c>
      <c r="V370" s="407"/>
      <c r="W370" s="363"/>
      <c r="X370" s="480" t="s">
        <v>3986</v>
      </c>
      <c r="Y370" s="481">
        <v>44294</v>
      </c>
      <c r="Z370" s="481">
        <v>44294</v>
      </c>
      <c r="AA370" s="481">
        <v>44416</v>
      </c>
      <c r="AB370" s="482" t="s">
        <v>2913</v>
      </c>
      <c r="AC370" s="480" t="s">
        <v>3987</v>
      </c>
      <c r="AD370" s="482" t="s">
        <v>3988</v>
      </c>
      <c r="AE370" s="483" t="s">
        <v>3989</v>
      </c>
      <c r="AF370" s="472">
        <v>23621676</v>
      </c>
      <c r="AG370" s="473">
        <f t="shared" si="6"/>
        <v>1</v>
      </c>
      <c r="AL370" s="474">
        <v>4527488</v>
      </c>
      <c r="AM370" s="307">
        <v>5905419</v>
      </c>
    </row>
    <row r="371" spans="1:50" ht="15" hidden="1" customHeight="1" x14ac:dyDescent="0.25">
      <c r="B371" s="476" t="s">
        <v>3059</v>
      </c>
      <c r="C371" s="213" t="s">
        <v>3990</v>
      </c>
      <c r="D371" s="312">
        <v>366</v>
      </c>
      <c r="E371" s="312">
        <v>20211300014103</v>
      </c>
      <c r="F371" s="311">
        <v>44265</v>
      </c>
      <c r="G371" s="312" t="s">
        <v>2910</v>
      </c>
      <c r="H371" s="213" t="s">
        <v>2911</v>
      </c>
      <c r="I371" s="213" t="s">
        <v>210</v>
      </c>
      <c r="J371" s="474">
        <v>11411438</v>
      </c>
      <c r="K371" s="213" t="s">
        <v>138</v>
      </c>
      <c r="L371" s="213" t="s">
        <v>139</v>
      </c>
      <c r="M371" s="213" t="s">
        <v>44</v>
      </c>
      <c r="N371" s="213" t="s">
        <v>45</v>
      </c>
      <c r="O371" s="213" t="s">
        <v>142</v>
      </c>
      <c r="P371" s="213" t="s">
        <v>43</v>
      </c>
      <c r="R371" s="213">
        <v>404</v>
      </c>
      <c r="S371" s="487">
        <v>44266</v>
      </c>
      <c r="T371" s="483" t="s">
        <v>3991</v>
      </c>
      <c r="U371" s="474">
        <v>11411438</v>
      </c>
      <c r="V371" s="407"/>
      <c r="W371" s="363"/>
      <c r="X371" s="480" t="s">
        <v>3992</v>
      </c>
      <c r="Y371" s="481">
        <v>44285</v>
      </c>
      <c r="Z371" s="481">
        <v>44287</v>
      </c>
      <c r="AA371" s="481">
        <v>44346</v>
      </c>
      <c r="AB371" s="482" t="s">
        <v>2913</v>
      </c>
      <c r="AC371" s="480" t="s">
        <v>3993</v>
      </c>
      <c r="AD371" s="482" t="s">
        <v>3994</v>
      </c>
      <c r="AE371" s="483" t="s">
        <v>3995</v>
      </c>
      <c r="AF371" s="472">
        <v>11411438</v>
      </c>
      <c r="AG371" s="473">
        <f t="shared" si="6"/>
        <v>0</v>
      </c>
      <c r="AM371" s="307">
        <v>4564574</v>
      </c>
    </row>
    <row r="372" spans="1:50" s="211" customFormat="1" ht="15" hidden="1" customHeight="1" x14ac:dyDescent="0.25">
      <c r="A372" s="475" t="s">
        <v>2217</v>
      </c>
      <c r="B372" s="476">
        <v>69750000</v>
      </c>
      <c r="C372" s="213" t="s">
        <v>2909</v>
      </c>
      <c r="D372" s="310">
        <v>367</v>
      </c>
      <c r="E372" s="310">
        <v>20216000013633</v>
      </c>
      <c r="F372" s="311">
        <v>44265</v>
      </c>
      <c r="G372" s="310" t="s">
        <v>2910</v>
      </c>
      <c r="H372" s="211" t="s">
        <v>2911</v>
      </c>
      <c r="I372" s="211" t="s">
        <v>214</v>
      </c>
      <c r="J372" s="408">
        <v>69750000</v>
      </c>
      <c r="K372" s="211" t="s">
        <v>138</v>
      </c>
      <c r="L372" s="211" t="s">
        <v>139</v>
      </c>
      <c r="M372" s="211" t="s">
        <v>44</v>
      </c>
      <c r="N372" s="211" t="s">
        <v>45</v>
      </c>
      <c r="O372" s="211" t="s">
        <v>142</v>
      </c>
      <c r="P372" s="211" t="s">
        <v>43</v>
      </c>
      <c r="R372" s="211">
        <v>381</v>
      </c>
      <c r="S372" s="321">
        <v>44266</v>
      </c>
      <c r="T372" s="322" t="s">
        <v>3996</v>
      </c>
      <c r="U372" s="474">
        <v>69750000</v>
      </c>
      <c r="V372" s="416"/>
      <c r="W372" s="402"/>
      <c r="X372" s="329" t="s">
        <v>3893</v>
      </c>
      <c r="Y372" s="360">
        <v>44280</v>
      </c>
      <c r="Z372" s="360">
        <v>44280</v>
      </c>
      <c r="AA372" s="360">
        <v>44555</v>
      </c>
      <c r="AB372" s="324" t="s">
        <v>2913</v>
      </c>
      <c r="AC372" s="329" t="s">
        <v>3997</v>
      </c>
      <c r="AD372" s="324" t="s">
        <v>3998</v>
      </c>
      <c r="AE372" s="322" t="s">
        <v>3999</v>
      </c>
      <c r="AF372" s="472">
        <v>69750000</v>
      </c>
      <c r="AG372" s="473">
        <f t="shared" si="6"/>
        <v>0</v>
      </c>
      <c r="AH372" s="408"/>
      <c r="AI372" s="408"/>
      <c r="AJ372" s="474"/>
      <c r="AK372" s="474">
        <v>1550000</v>
      </c>
      <c r="AL372" s="474">
        <v>7750000</v>
      </c>
      <c r="AM372" s="307">
        <v>7750000</v>
      </c>
    </row>
    <row r="373" spans="1:50" ht="15" hidden="1" customHeight="1" x14ac:dyDescent="0.25">
      <c r="A373" s="475" t="s">
        <v>2227</v>
      </c>
      <c r="B373" s="476">
        <v>63000000</v>
      </c>
      <c r="C373" s="213" t="s">
        <v>2909</v>
      </c>
      <c r="D373" s="312">
        <v>368</v>
      </c>
      <c r="E373" s="312">
        <v>20216000013673</v>
      </c>
      <c r="F373" s="311">
        <v>44265</v>
      </c>
      <c r="G373" s="312" t="s">
        <v>2910</v>
      </c>
      <c r="H373" s="213" t="s">
        <v>2911</v>
      </c>
      <c r="I373" s="213" t="s">
        <v>214</v>
      </c>
      <c r="J373" s="474">
        <v>63000000</v>
      </c>
      <c r="K373" s="213" t="s">
        <v>138</v>
      </c>
      <c r="L373" s="213" t="s">
        <v>139</v>
      </c>
      <c r="M373" s="213" t="s">
        <v>44</v>
      </c>
      <c r="N373" s="213" t="s">
        <v>45</v>
      </c>
      <c r="O373" s="213" t="s">
        <v>142</v>
      </c>
      <c r="P373" s="213" t="s">
        <v>43</v>
      </c>
      <c r="R373" s="213">
        <v>389</v>
      </c>
      <c r="S373" s="487">
        <v>44266</v>
      </c>
      <c r="T373" s="483" t="s">
        <v>4000</v>
      </c>
      <c r="U373" s="474">
        <v>63000000</v>
      </c>
      <c r="V373" s="407"/>
      <c r="W373" s="363"/>
      <c r="X373" s="480" t="s">
        <v>3898</v>
      </c>
      <c r="Y373" s="481">
        <v>44280</v>
      </c>
      <c r="Z373" s="481">
        <v>44280</v>
      </c>
      <c r="AA373" s="481">
        <v>44555</v>
      </c>
      <c r="AB373" s="482" t="s">
        <v>2913</v>
      </c>
      <c r="AC373" s="480" t="s">
        <v>4001</v>
      </c>
      <c r="AD373" s="482" t="s">
        <v>4002</v>
      </c>
      <c r="AE373" s="483" t="s">
        <v>4003</v>
      </c>
      <c r="AF373" s="472">
        <v>63000000</v>
      </c>
      <c r="AG373" s="473">
        <f t="shared" si="6"/>
        <v>0</v>
      </c>
      <c r="AK373" s="474">
        <v>1400000</v>
      </c>
      <c r="AL373" s="474">
        <v>7000000</v>
      </c>
      <c r="AM373" s="307">
        <v>7000000</v>
      </c>
    </row>
    <row r="374" spans="1:50" ht="15" hidden="1" customHeight="1" x14ac:dyDescent="0.25">
      <c r="A374" s="475" t="s">
        <v>2598</v>
      </c>
      <c r="B374" s="476">
        <v>55000000</v>
      </c>
      <c r="C374" s="213" t="s">
        <v>2909</v>
      </c>
      <c r="D374" s="312">
        <v>369</v>
      </c>
      <c r="E374" s="312">
        <v>20216000013803</v>
      </c>
      <c r="F374" s="311">
        <v>44265</v>
      </c>
      <c r="G374" s="312" t="s">
        <v>2910</v>
      </c>
      <c r="H374" s="213" t="s">
        <v>2911</v>
      </c>
      <c r="I374" s="213" t="s">
        <v>214</v>
      </c>
      <c r="J374" s="474">
        <v>45000000</v>
      </c>
      <c r="K374" s="213" t="s">
        <v>138</v>
      </c>
      <c r="L374" s="213" t="s">
        <v>139</v>
      </c>
      <c r="M374" s="213" t="s">
        <v>44</v>
      </c>
      <c r="N374" s="213" t="s">
        <v>45</v>
      </c>
      <c r="O374" s="213" t="s">
        <v>142</v>
      </c>
      <c r="P374" s="213" t="s">
        <v>43</v>
      </c>
      <c r="R374" s="213">
        <v>395</v>
      </c>
      <c r="S374" s="487">
        <v>44266</v>
      </c>
      <c r="T374" s="483" t="s">
        <v>4004</v>
      </c>
      <c r="U374" s="474">
        <v>45000000</v>
      </c>
      <c r="V374" s="407"/>
      <c r="W374" s="363"/>
      <c r="X374" s="480" t="s">
        <v>4005</v>
      </c>
      <c r="Y374" s="481">
        <v>44280</v>
      </c>
      <c r="Z374" s="481">
        <v>44280</v>
      </c>
      <c r="AA374" s="481">
        <v>44555</v>
      </c>
      <c r="AB374" s="482" t="s">
        <v>2913</v>
      </c>
      <c r="AC374" s="480" t="s">
        <v>4006</v>
      </c>
      <c r="AD374" s="482" t="s">
        <v>4007</v>
      </c>
      <c r="AE374" s="483" t="s">
        <v>4008</v>
      </c>
      <c r="AF374" s="472">
        <v>45000000</v>
      </c>
      <c r="AG374" s="473">
        <f t="shared" si="6"/>
        <v>0</v>
      </c>
      <c r="AM374" s="213"/>
    </row>
    <row r="375" spans="1:50" s="330" customFormat="1" ht="15" hidden="1" customHeight="1" x14ac:dyDescent="0.25">
      <c r="A375" s="475" t="s">
        <v>2637</v>
      </c>
      <c r="B375" s="476">
        <v>81767340</v>
      </c>
      <c r="C375" s="213" t="s">
        <v>2909</v>
      </c>
      <c r="D375" s="310">
        <v>370</v>
      </c>
      <c r="E375" s="312">
        <v>20217000014643</v>
      </c>
      <c r="F375" s="477">
        <v>44274</v>
      </c>
      <c r="G375" s="312" t="s">
        <v>2910</v>
      </c>
      <c r="H375" s="213" t="s">
        <v>2911</v>
      </c>
      <c r="I375" s="213" t="s">
        <v>164</v>
      </c>
      <c r="J375" s="474">
        <v>73590606</v>
      </c>
      <c r="K375" s="213" t="s">
        <v>138</v>
      </c>
      <c r="L375" s="213" t="s">
        <v>139</v>
      </c>
      <c r="M375" s="213" t="s">
        <v>44</v>
      </c>
      <c r="N375" s="213" t="s">
        <v>45</v>
      </c>
      <c r="O375" s="213" t="s">
        <v>142</v>
      </c>
      <c r="P375" s="213" t="s">
        <v>43</v>
      </c>
      <c r="Q375" s="213"/>
      <c r="R375" s="483">
        <v>466</v>
      </c>
      <c r="S375" s="487">
        <v>44274</v>
      </c>
      <c r="T375" s="483" t="s">
        <v>4009</v>
      </c>
      <c r="U375" s="474">
        <v>73590606</v>
      </c>
      <c r="V375" s="407"/>
      <c r="W375" s="363"/>
      <c r="X375" s="480" t="s">
        <v>3361</v>
      </c>
      <c r="Y375" s="481">
        <v>44280</v>
      </c>
      <c r="Z375" s="481">
        <v>44280</v>
      </c>
      <c r="AA375" s="481">
        <v>44555</v>
      </c>
      <c r="AB375" s="482" t="s">
        <v>2913</v>
      </c>
      <c r="AC375" s="480" t="s">
        <v>4010</v>
      </c>
      <c r="AD375" s="482" t="s">
        <v>4011</v>
      </c>
      <c r="AE375" s="483" t="s">
        <v>4012</v>
      </c>
      <c r="AF375" s="472">
        <v>73590606</v>
      </c>
      <c r="AG375" s="473">
        <f t="shared" si="6"/>
        <v>0</v>
      </c>
      <c r="AH375" s="474"/>
      <c r="AI375" s="474"/>
      <c r="AJ375" s="474"/>
      <c r="AK375" s="474"/>
      <c r="AL375" s="474">
        <v>9812081</v>
      </c>
      <c r="AM375" s="307">
        <v>8176734</v>
      </c>
      <c r="AN375" s="213"/>
      <c r="AO375" s="213"/>
      <c r="AP375" s="213"/>
      <c r="AQ375" s="213"/>
      <c r="AR375" s="213"/>
      <c r="AS375" s="213"/>
      <c r="AT375" s="213"/>
      <c r="AU375" s="213"/>
      <c r="AV375" s="213"/>
      <c r="AW375" s="213"/>
      <c r="AX375" s="213"/>
    </row>
    <row r="376" spans="1:50" s="211" customFormat="1" ht="15" hidden="1" customHeight="1" x14ac:dyDescent="0.25">
      <c r="A376" s="475" t="s">
        <v>2218</v>
      </c>
      <c r="B376" s="476">
        <v>69750000</v>
      </c>
      <c r="C376" s="213" t="s">
        <v>2909</v>
      </c>
      <c r="D376" s="310">
        <v>371</v>
      </c>
      <c r="E376" s="310">
        <v>20216000013643</v>
      </c>
      <c r="F376" s="311">
        <v>44265</v>
      </c>
      <c r="G376" s="310" t="s">
        <v>2910</v>
      </c>
      <c r="H376" s="211" t="s">
        <v>2911</v>
      </c>
      <c r="I376" s="211" t="s">
        <v>214</v>
      </c>
      <c r="J376" s="408">
        <v>69750000</v>
      </c>
      <c r="K376" s="211" t="s">
        <v>138</v>
      </c>
      <c r="L376" s="211" t="s">
        <v>139</v>
      </c>
      <c r="M376" s="211" t="s">
        <v>44</v>
      </c>
      <c r="N376" s="211" t="s">
        <v>45</v>
      </c>
      <c r="O376" s="211" t="s">
        <v>142</v>
      </c>
      <c r="P376" s="211" t="s">
        <v>43</v>
      </c>
      <c r="R376" s="211">
        <v>382</v>
      </c>
      <c r="S376" s="321">
        <v>44266</v>
      </c>
      <c r="T376" s="490" t="s">
        <v>4013</v>
      </c>
      <c r="U376" s="474">
        <v>69750000</v>
      </c>
      <c r="V376" s="416"/>
      <c r="W376" s="402"/>
      <c r="X376" s="320">
        <v>356</v>
      </c>
      <c r="Y376" s="488">
        <v>44285</v>
      </c>
      <c r="Z376" s="488">
        <v>44256</v>
      </c>
      <c r="AA376" s="488">
        <v>44286</v>
      </c>
      <c r="AB376" s="482" t="s">
        <v>2913</v>
      </c>
      <c r="AC376" s="323">
        <v>259</v>
      </c>
      <c r="AD376" s="489" t="s">
        <v>4014</v>
      </c>
      <c r="AE376" s="490" t="s">
        <v>4015</v>
      </c>
      <c r="AF376" s="472">
        <v>69750000</v>
      </c>
      <c r="AG376" s="473">
        <f t="shared" si="6"/>
        <v>0</v>
      </c>
      <c r="AH376" s="408"/>
      <c r="AI376" s="408"/>
      <c r="AJ376" s="474"/>
      <c r="AK376" s="474"/>
      <c r="AL376" s="474">
        <v>7750000</v>
      </c>
      <c r="AM376" s="307">
        <v>7750000</v>
      </c>
    </row>
    <row r="377" spans="1:50" ht="15" hidden="1" customHeight="1" x14ac:dyDescent="0.25">
      <c r="A377" s="475" t="s">
        <v>2219</v>
      </c>
      <c r="B377" s="476">
        <v>69750000</v>
      </c>
      <c r="C377" s="213" t="s">
        <v>2909</v>
      </c>
      <c r="D377" s="312">
        <v>372</v>
      </c>
      <c r="E377" s="312">
        <v>20216000013653</v>
      </c>
      <c r="F377" s="311">
        <v>44265</v>
      </c>
      <c r="G377" s="312" t="s">
        <v>2910</v>
      </c>
      <c r="H377" s="213" t="s">
        <v>2911</v>
      </c>
      <c r="I377" s="213" t="s">
        <v>214</v>
      </c>
      <c r="J377" s="474">
        <v>69750000</v>
      </c>
      <c r="K377" s="213" t="s">
        <v>138</v>
      </c>
      <c r="L377" s="213" t="s">
        <v>139</v>
      </c>
      <c r="M377" s="213" t="s">
        <v>44</v>
      </c>
      <c r="N377" s="213" t="s">
        <v>45</v>
      </c>
      <c r="O377" s="213" t="s">
        <v>142</v>
      </c>
      <c r="P377" s="213" t="s">
        <v>43</v>
      </c>
      <c r="R377" s="213">
        <v>383</v>
      </c>
      <c r="S377" s="487">
        <v>44266</v>
      </c>
      <c r="T377" s="483" t="s">
        <v>4016</v>
      </c>
      <c r="U377" s="474">
        <v>69750000</v>
      </c>
      <c r="V377" s="407"/>
      <c r="W377" s="363"/>
      <c r="X377" s="480" t="s">
        <v>4017</v>
      </c>
      <c r="Y377" s="481">
        <v>44286</v>
      </c>
      <c r="Z377" s="481">
        <v>44286</v>
      </c>
      <c r="AA377" s="481">
        <v>44561</v>
      </c>
      <c r="AB377" s="482" t="s">
        <v>2913</v>
      </c>
      <c r="AC377" s="480" t="s">
        <v>4018</v>
      </c>
      <c r="AD377" s="482" t="s">
        <v>4019</v>
      </c>
      <c r="AE377" s="483" t="s">
        <v>4020</v>
      </c>
      <c r="AF377" s="472">
        <v>69750000</v>
      </c>
      <c r="AG377" s="473">
        <f t="shared" si="6"/>
        <v>0</v>
      </c>
      <c r="AL377" s="474">
        <v>7750000</v>
      </c>
      <c r="AM377" s="307">
        <v>7750000</v>
      </c>
    </row>
    <row r="378" spans="1:50" ht="15" hidden="1" customHeight="1" x14ac:dyDescent="0.25">
      <c r="A378" s="475" t="s">
        <v>2221</v>
      </c>
      <c r="B378" s="476">
        <v>69750000</v>
      </c>
      <c r="C378" s="213" t="s">
        <v>2909</v>
      </c>
      <c r="D378" s="312">
        <v>373</v>
      </c>
      <c r="E378" s="312">
        <v>20216000013663</v>
      </c>
      <c r="F378" s="311">
        <v>44265</v>
      </c>
      <c r="G378" s="312" t="s">
        <v>2910</v>
      </c>
      <c r="H378" s="213" t="s">
        <v>2911</v>
      </c>
      <c r="I378" s="213" t="s">
        <v>214</v>
      </c>
      <c r="J378" s="474">
        <v>69750000</v>
      </c>
      <c r="K378" s="213" t="s">
        <v>138</v>
      </c>
      <c r="L378" s="213" t="s">
        <v>139</v>
      </c>
      <c r="M378" s="213" t="s">
        <v>44</v>
      </c>
      <c r="N378" s="213" t="s">
        <v>45</v>
      </c>
      <c r="O378" s="213" t="s">
        <v>142</v>
      </c>
      <c r="P378" s="213" t="s">
        <v>43</v>
      </c>
      <c r="R378" s="213">
        <v>388</v>
      </c>
      <c r="S378" s="487">
        <v>44266</v>
      </c>
      <c r="T378" s="483" t="s">
        <v>4021</v>
      </c>
      <c r="U378" s="474">
        <v>69750000</v>
      </c>
      <c r="V378" s="407"/>
      <c r="W378" s="363"/>
      <c r="X378" s="480" t="s">
        <v>4022</v>
      </c>
      <c r="Y378" s="481">
        <v>44340</v>
      </c>
      <c r="Z378" s="481">
        <v>44340</v>
      </c>
      <c r="AA378" s="481">
        <v>44553</v>
      </c>
      <c r="AB378" s="483" t="s">
        <v>2913</v>
      </c>
      <c r="AC378" s="480" t="s">
        <v>3882</v>
      </c>
      <c r="AD378" s="483" t="s">
        <v>4023</v>
      </c>
      <c r="AE378" s="483" t="s">
        <v>4024</v>
      </c>
      <c r="AF378" s="472">
        <v>54250000</v>
      </c>
      <c r="AG378" s="473">
        <f t="shared" si="6"/>
        <v>15500000</v>
      </c>
      <c r="AM378" s="213"/>
    </row>
    <row r="379" spans="1:50" ht="15" hidden="1" customHeight="1" x14ac:dyDescent="0.25">
      <c r="A379" s="465" t="s">
        <v>2281</v>
      </c>
      <c r="B379" s="466">
        <v>32706936</v>
      </c>
      <c r="C379" s="213" t="s">
        <v>2909</v>
      </c>
      <c r="D379" s="468">
        <v>374</v>
      </c>
      <c r="E379" s="468">
        <v>20217000015253</v>
      </c>
      <c r="F379" s="469">
        <v>44271</v>
      </c>
      <c r="G379" s="468" t="s">
        <v>2910</v>
      </c>
      <c r="H379" s="467" t="s">
        <v>2911</v>
      </c>
      <c r="I379" s="467" t="s">
        <v>164</v>
      </c>
      <c r="J379" s="470">
        <v>13809592</v>
      </c>
      <c r="K379" s="467" t="s">
        <v>138</v>
      </c>
      <c r="L379" s="467" t="s">
        <v>139</v>
      </c>
      <c r="M379" s="467" t="s">
        <v>44</v>
      </c>
      <c r="N379" s="467" t="s">
        <v>45</v>
      </c>
      <c r="O379" s="467" t="s">
        <v>142</v>
      </c>
      <c r="P379" s="467" t="s">
        <v>43</v>
      </c>
      <c r="Q379" s="467"/>
      <c r="R379" s="526">
        <v>446</v>
      </c>
      <c r="S379" s="525">
        <v>44272</v>
      </c>
      <c r="T379" s="526" t="s">
        <v>4025</v>
      </c>
      <c r="U379" s="470">
        <v>13809592</v>
      </c>
      <c r="V379" s="415"/>
      <c r="W379" s="380"/>
      <c r="X379" s="480" t="s">
        <v>4026</v>
      </c>
      <c r="Y379" s="481">
        <v>44280</v>
      </c>
      <c r="Z379" s="481">
        <v>44280</v>
      </c>
      <c r="AA379" s="481">
        <v>44402</v>
      </c>
      <c r="AB379" s="482" t="s">
        <v>2913</v>
      </c>
      <c r="AC379" s="480" t="s">
        <v>4027</v>
      </c>
      <c r="AD379" s="482" t="s">
        <v>4028</v>
      </c>
      <c r="AE379" s="483" t="s">
        <v>4029</v>
      </c>
      <c r="AF379" s="472">
        <v>13809592</v>
      </c>
      <c r="AG379" s="473">
        <f t="shared" si="6"/>
        <v>0</v>
      </c>
      <c r="AI379" s="470"/>
      <c r="AJ379" s="470"/>
      <c r="AK379" s="470"/>
      <c r="AL379" s="470">
        <v>4027798</v>
      </c>
      <c r="AM379" s="307">
        <v>3452398</v>
      </c>
    </row>
    <row r="380" spans="1:50" ht="15" hidden="1" customHeight="1" x14ac:dyDescent="0.25">
      <c r="A380" s="475" t="s">
        <v>2731</v>
      </c>
      <c r="B380" s="476">
        <v>26100000</v>
      </c>
      <c r="C380" s="213" t="s">
        <v>2909</v>
      </c>
      <c r="D380" s="312">
        <v>375</v>
      </c>
      <c r="E380" s="312">
        <v>20216000013693</v>
      </c>
      <c r="F380" s="311">
        <v>44265</v>
      </c>
      <c r="G380" s="312" t="s">
        <v>2910</v>
      </c>
      <c r="H380" s="213" t="s">
        <v>2911</v>
      </c>
      <c r="I380" s="213" t="s">
        <v>214</v>
      </c>
      <c r="J380" s="474">
        <v>26100000</v>
      </c>
      <c r="K380" s="213" t="s">
        <v>138</v>
      </c>
      <c r="L380" s="213" t="s">
        <v>139</v>
      </c>
      <c r="M380" s="213" t="s">
        <v>44</v>
      </c>
      <c r="N380" s="213" t="s">
        <v>45</v>
      </c>
      <c r="O380" s="213" t="s">
        <v>142</v>
      </c>
      <c r="P380" s="213" t="s">
        <v>43</v>
      </c>
      <c r="R380" s="213">
        <v>390</v>
      </c>
      <c r="S380" s="487">
        <v>44266</v>
      </c>
      <c r="T380" s="483" t="s">
        <v>4030</v>
      </c>
      <c r="U380" s="474">
        <v>26100000</v>
      </c>
      <c r="V380" s="407"/>
      <c r="W380" s="363"/>
      <c r="X380" s="480" t="s">
        <v>4031</v>
      </c>
      <c r="Y380" s="481">
        <v>44295</v>
      </c>
      <c r="Z380" s="481">
        <v>44295</v>
      </c>
      <c r="AA380" s="481">
        <v>44550</v>
      </c>
      <c r="AB380" s="482" t="s">
        <v>2913</v>
      </c>
      <c r="AC380" s="480" t="s">
        <v>3828</v>
      </c>
      <c r="AD380" s="482" t="s">
        <v>4032</v>
      </c>
      <c r="AE380" s="483" t="s">
        <v>4033</v>
      </c>
      <c r="AF380" s="472">
        <v>23167413</v>
      </c>
      <c r="AG380" s="473">
        <f t="shared" si="6"/>
        <v>2932587</v>
      </c>
      <c r="AL380" s="474">
        <v>1998757</v>
      </c>
      <c r="AM380" s="307">
        <v>2725578</v>
      </c>
    </row>
    <row r="381" spans="1:50" ht="15" hidden="1" customHeight="1" x14ac:dyDescent="0.25">
      <c r="A381" s="475" t="s">
        <v>2230</v>
      </c>
      <c r="B381" s="476">
        <v>55800000</v>
      </c>
      <c r="C381" s="213" t="s">
        <v>2909</v>
      </c>
      <c r="D381" s="312">
        <v>376</v>
      </c>
      <c r="E381" s="312">
        <v>20216000013703</v>
      </c>
      <c r="F381" s="311">
        <v>44265</v>
      </c>
      <c r="G381" s="312" t="s">
        <v>2910</v>
      </c>
      <c r="H381" s="213" t="s">
        <v>2911</v>
      </c>
      <c r="I381" s="213" t="s">
        <v>214</v>
      </c>
      <c r="J381" s="474">
        <v>55800000</v>
      </c>
      <c r="K381" s="213" t="s">
        <v>138</v>
      </c>
      <c r="L381" s="213" t="s">
        <v>139</v>
      </c>
      <c r="M381" s="213" t="s">
        <v>44</v>
      </c>
      <c r="N381" s="213" t="s">
        <v>45</v>
      </c>
      <c r="O381" s="213" t="s">
        <v>142</v>
      </c>
      <c r="P381" s="213" t="s">
        <v>43</v>
      </c>
      <c r="R381" s="213">
        <v>391</v>
      </c>
      <c r="S381" s="487">
        <v>44266</v>
      </c>
      <c r="T381" s="483" t="s">
        <v>4034</v>
      </c>
      <c r="U381" s="474">
        <v>55800000</v>
      </c>
      <c r="V381" s="407"/>
      <c r="W381" s="363"/>
      <c r="X381" s="212" t="s">
        <v>4035</v>
      </c>
      <c r="Y381" s="471">
        <v>44300</v>
      </c>
      <c r="Z381" s="471">
        <v>44300</v>
      </c>
      <c r="AA381" s="471">
        <v>44561</v>
      </c>
      <c r="AB381" s="3" t="s">
        <v>2913</v>
      </c>
      <c r="AC381" s="212" t="s">
        <v>4036</v>
      </c>
      <c r="AD381" s="3" t="s">
        <v>4037</v>
      </c>
      <c r="AE381" s="213" t="s">
        <v>4038</v>
      </c>
      <c r="AF381" s="472">
        <v>42466000</v>
      </c>
      <c r="AG381" s="473">
        <f t="shared" si="6"/>
        <v>13334000</v>
      </c>
      <c r="AL381" s="474">
        <v>2831067</v>
      </c>
      <c r="AM381" s="307">
        <v>4996000</v>
      </c>
    </row>
    <row r="382" spans="1:50" ht="15" hidden="1" customHeight="1" x14ac:dyDescent="0.25">
      <c r="A382" s="475" t="s">
        <v>2231</v>
      </c>
      <c r="B382" s="476">
        <v>60300000</v>
      </c>
      <c r="C382" s="213" t="s">
        <v>2909</v>
      </c>
      <c r="D382" s="312">
        <v>377</v>
      </c>
      <c r="E382" s="312">
        <v>20216000013713</v>
      </c>
      <c r="F382" s="311">
        <v>44265</v>
      </c>
      <c r="G382" s="312" t="s">
        <v>2910</v>
      </c>
      <c r="H382" s="213" t="s">
        <v>2911</v>
      </c>
      <c r="I382" s="213" t="s">
        <v>214</v>
      </c>
      <c r="J382" s="474">
        <v>60300000</v>
      </c>
      <c r="K382" s="213" t="s">
        <v>138</v>
      </c>
      <c r="L382" s="213" t="s">
        <v>139</v>
      </c>
      <c r="M382" s="213" t="s">
        <v>44</v>
      </c>
      <c r="N382" s="213" t="s">
        <v>45</v>
      </c>
      <c r="O382" s="213" t="s">
        <v>142</v>
      </c>
      <c r="P382" s="213" t="s">
        <v>43</v>
      </c>
      <c r="R382" s="213">
        <v>384</v>
      </c>
      <c r="S382" s="487">
        <v>44266</v>
      </c>
      <c r="T382" s="483" t="s">
        <v>4039</v>
      </c>
      <c r="U382" s="474">
        <v>60300000</v>
      </c>
      <c r="V382" s="407"/>
      <c r="W382" s="363"/>
      <c r="X382" s="480" t="s">
        <v>4040</v>
      </c>
      <c r="Y382" s="481">
        <v>44299</v>
      </c>
      <c r="Z382" s="481">
        <v>44299</v>
      </c>
      <c r="AA382" s="481">
        <v>44561</v>
      </c>
      <c r="AB382" s="482" t="s">
        <v>2913</v>
      </c>
      <c r="AC382" s="480" t="s">
        <v>4041</v>
      </c>
      <c r="AD382" s="482" t="s">
        <v>4042</v>
      </c>
      <c r="AE382" s="483" t="s">
        <v>4043</v>
      </c>
      <c r="AF382" s="472">
        <v>58045650</v>
      </c>
      <c r="AG382" s="473">
        <f t="shared" si="6"/>
        <v>2254350</v>
      </c>
      <c r="AL382" s="474">
        <v>4097340</v>
      </c>
      <c r="AM382" s="307">
        <v>6828900</v>
      </c>
    </row>
    <row r="383" spans="1:50" ht="15" hidden="1" customHeight="1" x14ac:dyDescent="0.25">
      <c r="A383" s="475" t="s">
        <v>2432</v>
      </c>
      <c r="B383" s="476">
        <v>40700000</v>
      </c>
      <c r="C383" s="213" t="s">
        <v>2909</v>
      </c>
      <c r="D383" s="312">
        <v>378</v>
      </c>
      <c r="E383" s="312">
        <v>20215000002843</v>
      </c>
      <c r="F383" s="477">
        <v>44225</v>
      </c>
      <c r="G383" s="312" t="s">
        <v>2903</v>
      </c>
      <c r="H383" s="213" t="s">
        <v>2904</v>
      </c>
      <c r="I383" s="213" t="s">
        <v>228</v>
      </c>
      <c r="J383" s="474">
        <v>40700000</v>
      </c>
      <c r="K383" s="213" t="s">
        <v>223</v>
      </c>
      <c r="L383" s="213" t="s">
        <v>236</v>
      </c>
      <c r="M383" s="213" t="s">
        <v>44</v>
      </c>
      <c r="N383" s="213" t="s">
        <v>45</v>
      </c>
      <c r="O383" s="213" t="s">
        <v>63</v>
      </c>
      <c r="P383" s="213" t="s">
        <v>678</v>
      </c>
      <c r="R383" s="213">
        <v>126</v>
      </c>
      <c r="S383" s="477">
        <v>44225</v>
      </c>
      <c r="T383" s="213" t="s">
        <v>4044</v>
      </c>
      <c r="U383" s="474">
        <f>40700000-13700000</f>
        <v>27000000</v>
      </c>
      <c r="V383" s="407">
        <v>13700000</v>
      </c>
      <c r="W383" s="363"/>
      <c r="X383" s="480" t="s">
        <v>4045</v>
      </c>
      <c r="Y383" s="481">
        <v>44280</v>
      </c>
      <c r="Z383" s="481">
        <v>44280</v>
      </c>
      <c r="AA383" s="481">
        <v>44555</v>
      </c>
      <c r="AB383" s="482" t="s">
        <v>2913</v>
      </c>
      <c r="AC383" s="480" t="s">
        <v>4046</v>
      </c>
      <c r="AD383" s="482" t="s">
        <v>4047</v>
      </c>
      <c r="AE383" s="483" t="s">
        <v>4048</v>
      </c>
      <c r="AF383" s="472">
        <v>27000000</v>
      </c>
      <c r="AG383" s="473">
        <f t="shared" si="6"/>
        <v>0</v>
      </c>
      <c r="AL383" s="474">
        <v>3600000</v>
      </c>
      <c r="AM383" s="307">
        <v>3000000</v>
      </c>
    </row>
    <row r="384" spans="1:50" ht="15" hidden="1" customHeight="1" x14ac:dyDescent="0.25">
      <c r="A384" s="475" t="s">
        <v>2595</v>
      </c>
      <c r="B384" s="476">
        <v>36000000</v>
      </c>
      <c r="C384" s="213" t="s">
        <v>2909</v>
      </c>
      <c r="D384" s="312">
        <v>379</v>
      </c>
      <c r="E384" s="312">
        <v>20216000013753</v>
      </c>
      <c r="F384" s="311">
        <v>44265</v>
      </c>
      <c r="G384" s="312" t="s">
        <v>2910</v>
      </c>
      <c r="H384" s="213" t="s">
        <v>2911</v>
      </c>
      <c r="I384" s="213" t="s">
        <v>214</v>
      </c>
      <c r="J384" s="474">
        <v>36000000</v>
      </c>
      <c r="K384" s="213" t="s">
        <v>138</v>
      </c>
      <c r="L384" s="213" t="s">
        <v>139</v>
      </c>
      <c r="M384" s="213" t="s">
        <v>44</v>
      </c>
      <c r="N384" s="213" t="s">
        <v>45</v>
      </c>
      <c r="O384" s="213" t="s">
        <v>142</v>
      </c>
      <c r="P384" s="213" t="s">
        <v>43</v>
      </c>
      <c r="R384" s="213">
        <v>387</v>
      </c>
      <c r="S384" s="487">
        <v>44266</v>
      </c>
      <c r="T384" s="483" t="s">
        <v>4049</v>
      </c>
      <c r="U384" s="474">
        <v>36000000</v>
      </c>
      <c r="V384" s="407"/>
      <c r="W384" s="363"/>
      <c r="X384" s="480" t="s">
        <v>4050</v>
      </c>
      <c r="Y384" s="481">
        <v>44286</v>
      </c>
      <c r="Z384" s="481">
        <v>44286</v>
      </c>
      <c r="AA384" s="481">
        <v>44555</v>
      </c>
      <c r="AB384" s="482" t="s">
        <v>2913</v>
      </c>
      <c r="AC384" s="480" t="s">
        <v>3649</v>
      </c>
      <c r="AD384" s="482" t="s">
        <v>4051</v>
      </c>
      <c r="AE384" s="483" t="s">
        <v>4052</v>
      </c>
      <c r="AF384" s="472">
        <v>35333333</v>
      </c>
      <c r="AG384" s="473">
        <f t="shared" si="6"/>
        <v>666667</v>
      </c>
      <c r="AL384" s="474">
        <v>3466667</v>
      </c>
      <c r="AM384" s="307">
        <v>4000000</v>
      </c>
    </row>
    <row r="385" spans="1:39" hidden="1" x14ac:dyDescent="0.25">
      <c r="A385" s="475" t="s">
        <v>2698</v>
      </c>
      <c r="B385" s="476">
        <v>36000000</v>
      </c>
      <c r="C385" s="213" t="s">
        <v>2909</v>
      </c>
      <c r="D385" s="312">
        <v>380</v>
      </c>
      <c r="E385" s="312">
        <v>20215000012063</v>
      </c>
      <c r="F385" s="477">
        <v>44264</v>
      </c>
      <c r="G385" s="312" t="s">
        <v>2903</v>
      </c>
      <c r="H385" s="213" t="s">
        <v>2904</v>
      </c>
      <c r="I385" s="213" t="s">
        <v>228</v>
      </c>
      <c r="J385" s="474">
        <v>36000000</v>
      </c>
      <c r="K385" s="213" t="s">
        <v>223</v>
      </c>
      <c r="L385" s="213" t="s">
        <v>3021</v>
      </c>
      <c r="M385" s="213" t="s">
        <v>44</v>
      </c>
      <c r="N385" s="213" t="s">
        <v>45</v>
      </c>
      <c r="O385" s="213" t="s">
        <v>63</v>
      </c>
      <c r="P385" s="213" t="s">
        <v>678</v>
      </c>
      <c r="R385" s="213">
        <v>350</v>
      </c>
      <c r="S385" s="487">
        <v>44264</v>
      </c>
      <c r="T385" s="483" t="s">
        <v>4053</v>
      </c>
      <c r="U385" s="474">
        <f>36000000-9000000</f>
        <v>27000000</v>
      </c>
      <c r="V385" s="407">
        <v>9000000</v>
      </c>
      <c r="W385" s="363"/>
      <c r="X385" s="480" t="s">
        <v>3825</v>
      </c>
      <c r="Y385" s="481">
        <v>44280</v>
      </c>
      <c r="Z385" s="481">
        <v>44280</v>
      </c>
      <c r="AA385" s="481">
        <v>44555</v>
      </c>
      <c r="AB385" s="482" t="s">
        <v>2913</v>
      </c>
      <c r="AC385" s="480" t="s">
        <v>4054</v>
      </c>
      <c r="AD385" s="482" t="s">
        <v>4055</v>
      </c>
      <c r="AE385" s="483" t="s">
        <v>4056</v>
      </c>
      <c r="AF385" s="472">
        <v>27000000</v>
      </c>
      <c r="AG385" s="473">
        <f t="shared" si="6"/>
        <v>0</v>
      </c>
      <c r="AL385" s="474">
        <v>3600000</v>
      </c>
      <c r="AM385" s="307">
        <v>3000000</v>
      </c>
    </row>
    <row r="386" spans="1:39" hidden="1" x14ac:dyDescent="0.25">
      <c r="A386" s="475" t="s">
        <v>2597</v>
      </c>
      <c r="B386" s="476">
        <v>45000000</v>
      </c>
      <c r="C386" s="213" t="s">
        <v>2909</v>
      </c>
      <c r="D386" s="312">
        <v>381</v>
      </c>
      <c r="E386" s="312">
        <v>20216000013773</v>
      </c>
      <c r="F386" s="311">
        <v>44265</v>
      </c>
      <c r="G386" s="312" t="s">
        <v>2910</v>
      </c>
      <c r="H386" s="213" t="s">
        <v>2911</v>
      </c>
      <c r="I386" s="213" t="s">
        <v>214</v>
      </c>
      <c r="J386" s="474">
        <v>45000000</v>
      </c>
      <c r="K386" s="213" t="s">
        <v>138</v>
      </c>
      <c r="L386" s="213" t="s">
        <v>139</v>
      </c>
      <c r="M386" s="213" t="s">
        <v>44</v>
      </c>
      <c r="N386" s="213" t="s">
        <v>45</v>
      </c>
      <c r="O386" s="213" t="s">
        <v>142</v>
      </c>
      <c r="P386" s="213" t="s">
        <v>43</v>
      </c>
      <c r="R386" s="213">
        <v>393</v>
      </c>
      <c r="S386" s="487">
        <v>44266</v>
      </c>
      <c r="T386" s="483" t="s">
        <v>4057</v>
      </c>
      <c r="U386" s="474">
        <v>45000000</v>
      </c>
      <c r="V386" s="407"/>
      <c r="W386" s="363"/>
      <c r="X386" s="480" t="s">
        <v>3810</v>
      </c>
      <c r="Y386" s="481">
        <v>44294</v>
      </c>
      <c r="Z386" s="481">
        <v>44294</v>
      </c>
      <c r="AA386" s="481">
        <v>44550</v>
      </c>
      <c r="AB386" s="482" t="s">
        <v>2913</v>
      </c>
      <c r="AC386" s="480" t="s">
        <v>3805</v>
      </c>
      <c r="AD386" s="482" t="s">
        <v>4058</v>
      </c>
      <c r="AE386" s="483" t="s">
        <v>4059</v>
      </c>
      <c r="AF386" s="472">
        <v>42473590</v>
      </c>
      <c r="AG386" s="473">
        <f t="shared" si="6"/>
        <v>2526410</v>
      </c>
      <c r="AL386" s="474">
        <v>3830951</v>
      </c>
      <c r="AM386" s="307">
        <v>4996893</v>
      </c>
    </row>
    <row r="387" spans="1:39" hidden="1" x14ac:dyDescent="0.25">
      <c r="A387" s="475" t="s">
        <v>2092</v>
      </c>
      <c r="B387" s="476">
        <v>69600000</v>
      </c>
      <c r="C387" s="213" t="s">
        <v>2909</v>
      </c>
      <c r="D387" s="312">
        <v>382</v>
      </c>
      <c r="E387" s="312">
        <v>20213000014923</v>
      </c>
      <c r="F387" s="477">
        <v>44272</v>
      </c>
      <c r="G387" s="312" t="s">
        <v>2903</v>
      </c>
      <c r="H387" s="213" t="s">
        <v>2904</v>
      </c>
      <c r="I387" s="213" t="s">
        <v>432</v>
      </c>
      <c r="J387" s="474">
        <v>62400000</v>
      </c>
      <c r="K387" s="213" t="s">
        <v>342</v>
      </c>
      <c r="L387" s="213" t="s">
        <v>351</v>
      </c>
      <c r="M387" s="213" t="s">
        <v>44</v>
      </c>
      <c r="N387" s="213" t="s">
        <v>45</v>
      </c>
      <c r="O387" s="213" t="s">
        <v>63</v>
      </c>
      <c r="P387" s="213" t="s">
        <v>678</v>
      </c>
      <c r="R387" s="483">
        <v>451</v>
      </c>
      <c r="S387" s="487">
        <v>44272</v>
      </c>
      <c r="T387" s="483" t="s">
        <v>4060</v>
      </c>
      <c r="U387" s="474">
        <v>62400000</v>
      </c>
      <c r="V387" s="407"/>
      <c r="W387" s="363"/>
      <c r="X387" s="480" t="s">
        <v>3858</v>
      </c>
      <c r="Y387" s="481">
        <v>44280</v>
      </c>
      <c r="Z387" s="481">
        <v>44280</v>
      </c>
      <c r="AA387" s="481">
        <v>44464</v>
      </c>
      <c r="AB387" s="482" t="s">
        <v>2913</v>
      </c>
      <c r="AC387" s="480" t="s">
        <v>4061</v>
      </c>
      <c r="AD387" s="482" t="s">
        <v>4062</v>
      </c>
      <c r="AE387" s="483" t="s">
        <v>3056</v>
      </c>
      <c r="AF387" s="472">
        <v>62400000</v>
      </c>
      <c r="AG387" s="473">
        <f t="shared" si="6"/>
        <v>0</v>
      </c>
      <c r="AK387" s="474">
        <v>1733333</v>
      </c>
      <c r="AL387" s="474">
        <v>10400000</v>
      </c>
      <c r="AM387" s="307">
        <v>10400000</v>
      </c>
    </row>
    <row r="388" spans="1:39" hidden="1" x14ac:dyDescent="0.25">
      <c r="A388" s="475" t="s">
        <v>2599</v>
      </c>
      <c r="B388" s="476">
        <v>36000000</v>
      </c>
      <c r="C388" s="213" t="s">
        <v>2909</v>
      </c>
      <c r="D388" s="312">
        <v>383</v>
      </c>
      <c r="E388" s="312">
        <v>20216000013783</v>
      </c>
      <c r="F388" s="311">
        <v>44265</v>
      </c>
      <c r="G388" s="312" t="s">
        <v>2910</v>
      </c>
      <c r="H388" s="213" t="s">
        <v>2911</v>
      </c>
      <c r="I388" s="213" t="s">
        <v>214</v>
      </c>
      <c r="J388" s="474">
        <v>36000000</v>
      </c>
      <c r="K388" s="213" t="s">
        <v>138</v>
      </c>
      <c r="L388" s="213" t="s">
        <v>139</v>
      </c>
      <c r="M388" s="213" t="s">
        <v>44</v>
      </c>
      <c r="N388" s="213" t="s">
        <v>45</v>
      </c>
      <c r="O388" s="213" t="s">
        <v>142</v>
      </c>
      <c r="P388" s="213" t="s">
        <v>43</v>
      </c>
      <c r="R388" s="213">
        <v>394</v>
      </c>
      <c r="S388" s="487">
        <v>44266</v>
      </c>
      <c r="T388" s="483" t="s">
        <v>4063</v>
      </c>
      <c r="U388" s="474">
        <v>36000000</v>
      </c>
      <c r="V388" s="407"/>
      <c r="W388" s="363"/>
      <c r="X388" s="309">
        <v>302</v>
      </c>
      <c r="Y388" s="488">
        <v>44279</v>
      </c>
      <c r="Z388" s="488">
        <v>44256</v>
      </c>
      <c r="AA388" s="488">
        <v>44286</v>
      </c>
      <c r="AB388" s="482" t="s">
        <v>2913</v>
      </c>
      <c r="AC388" s="212">
        <v>213</v>
      </c>
      <c r="AD388" s="489" t="s">
        <v>4064</v>
      </c>
      <c r="AE388" s="490" t="s">
        <v>4065</v>
      </c>
      <c r="AF388" s="472">
        <v>36000000</v>
      </c>
      <c r="AG388" s="473">
        <f t="shared" si="6"/>
        <v>0</v>
      </c>
      <c r="AK388" s="474">
        <v>933333</v>
      </c>
      <c r="AL388" s="474">
        <v>4000000</v>
      </c>
      <c r="AM388" s="307">
        <v>4000000</v>
      </c>
    </row>
    <row r="389" spans="1:39" hidden="1" x14ac:dyDescent="0.25">
      <c r="A389" s="475" t="s">
        <v>2603</v>
      </c>
      <c r="B389" s="476">
        <v>24300000</v>
      </c>
      <c r="C389" s="213" t="s">
        <v>2909</v>
      </c>
      <c r="D389" s="312">
        <v>384</v>
      </c>
      <c r="E389" s="312">
        <v>20216000013823</v>
      </c>
      <c r="F389" s="311">
        <v>44265</v>
      </c>
      <c r="G389" s="312" t="s">
        <v>2910</v>
      </c>
      <c r="H389" s="213" t="s">
        <v>2911</v>
      </c>
      <c r="I389" s="213" t="s">
        <v>214</v>
      </c>
      <c r="J389" s="474">
        <v>24300000</v>
      </c>
      <c r="K389" s="213" t="s">
        <v>138</v>
      </c>
      <c r="L389" s="213" t="s">
        <v>139</v>
      </c>
      <c r="M389" s="213" t="s">
        <v>44</v>
      </c>
      <c r="N389" s="213" t="s">
        <v>45</v>
      </c>
      <c r="O389" s="213" t="s">
        <v>142</v>
      </c>
      <c r="P389" s="213" t="s">
        <v>43</v>
      </c>
      <c r="R389" s="213">
        <v>396</v>
      </c>
      <c r="S389" s="487">
        <v>44266</v>
      </c>
      <c r="T389" s="483" t="s">
        <v>4066</v>
      </c>
      <c r="U389" s="474">
        <v>24300000</v>
      </c>
      <c r="V389" s="407"/>
      <c r="W389" s="363"/>
      <c r="X389" s="480" t="s">
        <v>4067</v>
      </c>
      <c r="Y389" s="481">
        <v>44285</v>
      </c>
      <c r="Z389" s="481">
        <v>44285</v>
      </c>
      <c r="AA389" s="481">
        <v>44560</v>
      </c>
      <c r="AB389" s="482" t="s">
        <v>2913</v>
      </c>
      <c r="AC389" s="480" t="s">
        <v>4068</v>
      </c>
      <c r="AD389" s="482" t="s">
        <v>4069</v>
      </c>
      <c r="AE389" s="483" t="s">
        <v>4070</v>
      </c>
      <c r="AF389" s="472">
        <v>24300000</v>
      </c>
      <c r="AG389" s="473">
        <f t="shared" si="6"/>
        <v>0</v>
      </c>
      <c r="AL389" s="474">
        <v>2790000</v>
      </c>
      <c r="AM389" s="307">
        <v>2700000</v>
      </c>
    </row>
    <row r="390" spans="1:39" hidden="1" x14ac:dyDescent="0.25">
      <c r="A390" s="475" t="s">
        <v>2607</v>
      </c>
      <c r="B390" s="476">
        <v>46350000</v>
      </c>
      <c r="C390" s="213" t="s">
        <v>2909</v>
      </c>
      <c r="D390" s="312">
        <v>385</v>
      </c>
      <c r="E390" s="312">
        <v>20216000013843</v>
      </c>
      <c r="F390" s="311">
        <v>44265</v>
      </c>
      <c r="G390" s="312" t="s">
        <v>2910</v>
      </c>
      <c r="H390" s="213" t="s">
        <v>2911</v>
      </c>
      <c r="I390" s="213" t="s">
        <v>214</v>
      </c>
      <c r="J390" s="474">
        <v>46350000</v>
      </c>
      <c r="K390" s="213" t="s">
        <v>138</v>
      </c>
      <c r="L390" s="213" t="s">
        <v>139</v>
      </c>
      <c r="M390" s="213" t="s">
        <v>44</v>
      </c>
      <c r="N390" s="213" t="s">
        <v>45</v>
      </c>
      <c r="O390" s="213" t="s">
        <v>142</v>
      </c>
      <c r="P390" s="213" t="s">
        <v>43</v>
      </c>
      <c r="R390" s="213">
        <v>397</v>
      </c>
      <c r="S390" s="487">
        <v>44266</v>
      </c>
      <c r="T390" s="483" t="s">
        <v>4071</v>
      </c>
      <c r="U390" s="474">
        <v>46350000</v>
      </c>
      <c r="V390" s="407"/>
      <c r="W390" s="363"/>
      <c r="X390" s="480" t="s">
        <v>4072</v>
      </c>
      <c r="Y390" s="481">
        <v>44285</v>
      </c>
      <c r="Z390" s="481">
        <v>44285</v>
      </c>
      <c r="AA390" s="481">
        <v>44560</v>
      </c>
      <c r="AB390" s="482" t="s">
        <v>2913</v>
      </c>
      <c r="AC390" s="480" t="s">
        <v>4073</v>
      </c>
      <c r="AD390" s="482" t="s">
        <v>4074</v>
      </c>
      <c r="AE390" s="483" t="s">
        <v>4075</v>
      </c>
      <c r="AF390" s="472">
        <v>46350000</v>
      </c>
      <c r="AG390" s="473">
        <f t="shared" si="6"/>
        <v>0</v>
      </c>
      <c r="AM390" s="307">
        <f>6351667+4120000</f>
        <v>10471667</v>
      </c>
    </row>
    <row r="391" spans="1:39" hidden="1" x14ac:dyDescent="0.25">
      <c r="A391" s="475" t="s">
        <v>2608</v>
      </c>
      <c r="B391" s="476">
        <v>64800000</v>
      </c>
      <c r="C391" s="213" t="s">
        <v>2909</v>
      </c>
      <c r="D391" s="312">
        <v>386</v>
      </c>
      <c r="E391" s="312">
        <v>20216000013853</v>
      </c>
      <c r="F391" s="311">
        <v>44265</v>
      </c>
      <c r="G391" s="312" t="s">
        <v>2910</v>
      </c>
      <c r="H391" s="213" t="s">
        <v>2911</v>
      </c>
      <c r="I391" s="213" t="s">
        <v>214</v>
      </c>
      <c r="J391" s="474">
        <v>64800000</v>
      </c>
      <c r="K391" s="213" t="s">
        <v>138</v>
      </c>
      <c r="L391" s="213" t="s">
        <v>139</v>
      </c>
      <c r="M391" s="213" t="s">
        <v>44</v>
      </c>
      <c r="N391" s="213" t="s">
        <v>45</v>
      </c>
      <c r="O391" s="213" t="s">
        <v>142</v>
      </c>
      <c r="P391" s="213" t="s">
        <v>43</v>
      </c>
      <c r="R391" s="213">
        <v>398</v>
      </c>
      <c r="S391" s="487">
        <v>44266</v>
      </c>
      <c r="T391" s="483" t="s">
        <v>4076</v>
      </c>
      <c r="U391" s="474">
        <v>64800000</v>
      </c>
      <c r="V391" s="407"/>
      <c r="W391" s="363"/>
      <c r="X391" s="527" t="s">
        <v>4077</v>
      </c>
      <c r="Y391" s="488">
        <v>44278</v>
      </c>
      <c r="Z391" s="488">
        <v>44256</v>
      </c>
      <c r="AA391" s="488">
        <v>44286</v>
      </c>
      <c r="AB391" s="482" t="s">
        <v>2913</v>
      </c>
      <c r="AC391" s="212" t="s">
        <v>4078</v>
      </c>
      <c r="AD391" s="489" t="s">
        <v>4079</v>
      </c>
      <c r="AE391" s="490" t="s">
        <v>4080</v>
      </c>
      <c r="AF391" s="472">
        <v>64800000</v>
      </c>
      <c r="AG391" s="473">
        <f t="shared" si="6"/>
        <v>0</v>
      </c>
      <c r="AL391" s="474">
        <v>8880000</v>
      </c>
      <c r="AM391" s="307">
        <v>7200000</v>
      </c>
    </row>
    <row r="392" spans="1:39" hidden="1" x14ac:dyDescent="0.25">
      <c r="A392" s="475" t="s">
        <v>2610</v>
      </c>
      <c r="B392" s="476">
        <v>36000000</v>
      </c>
      <c r="C392" s="213" t="s">
        <v>2909</v>
      </c>
      <c r="D392" s="312">
        <v>387</v>
      </c>
      <c r="E392" s="312">
        <v>20216000013883</v>
      </c>
      <c r="F392" s="311">
        <v>44265</v>
      </c>
      <c r="G392" s="312" t="s">
        <v>2910</v>
      </c>
      <c r="H392" s="213" t="s">
        <v>2911</v>
      </c>
      <c r="I392" s="213" t="s">
        <v>214</v>
      </c>
      <c r="J392" s="474">
        <v>36000000</v>
      </c>
      <c r="K392" s="213" t="s">
        <v>138</v>
      </c>
      <c r="L392" s="213" t="s">
        <v>139</v>
      </c>
      <c r="M392" s="213" t="s">
        <v>44</v>
      </c>
      <c r="N392" s="213" t="s">
        <v>45</v>
      </c>
      <c r="O392" s="213" t="s">
        <v>142</v>
      </c>
      <c r="P392" s="213" t="s">
        <v>43</v>
      </c>
      <c r="R392" s="213">
        <v>399</v>
      </c>
      <c r="S392" s="487">
        <v>44266</v>
      </c>
      <c r="T392" s="483" t="s">
        <v>4081</v>
      </c>
      <c r="U392" s="474">
        <v>36000000</v>
      </c>
      <c r="V392" s="407"/>
      <c r="W392" s="363"/>
      <c r="X392" s="480" t="s">
        <v>4082</v>
      </c>
      <c r="Y392" s="481">
        <v>44292</v>
      </c>
      <c r="Z392" s="481">
        <v>44292</v>
      </c>
      <c r="AA392" s="481">
        <v>44561</v>
      </c>
      <c r="AB392" s="482" t="s">
        <v>2913</v>
      </c>
      <c r="AC392" s="480" t="s">
        <v>3744</v>
      </c>
      <c r="AD392" s="482" t="s">
        <v>4083</v>
      </c>
      <c r="AE392" s="483" t="s">
        <v>4084</v>
      </c>
      <c r="AF392" s="472">
        <v>35333333</v>
      </c>
      <c r="AG392" s="473">
        <f t="shared" si="6"/>
        <v>666667</v>
      </c>
      <c r="AL392" s="474">
        <v>3333333</v>
      </c>
      <c r="AM392" s="307">
        <v>4000000</v>
      </c>
    </row>
    <row r="393" spans="1:39" hidden="1" x14ac:dyDescent="0.25">
      <c r="B393" s="498" t="s">
        <v>3279</v>
      </c>
      <c r="C393" s="213" t="s">
        <v>4085</v>
      </c>
      <c r="D393" s="312">
        <v>388</v>
      </c>
      <c r="E393" s="312">
        <v>20217000014063</v>
      </c>
      <c r="F393" s="477">
        <v>44267</v>
      </c>
      <c r="G393" s="312" t="s">
        <v>2910</v>
      </c>
      <c r="H393" s="213" t="s">
        <v>2911</v>
      </c>
      <c r="I393" s="213" t="s">
        <v>164</v>
      </c>
      <c r="J393" s="474">
        <v>10533636</v>
      </c>
      <c r="K393" s="213" t="s">
        <v>138</v>
      </c>
      <c r="L393" s="213" t="s">
        <v>139</v>
      </c>
      <c r="M393" s="213" t="s">
        <v>44</v>
      </c>
      <c r="N393" s="213" t="s">
        <v>45</v>
      </c>
      <c r="O393" s="213" t="s">
        <v>142</v>
      </c>
      <c r="P393" s="213" t="s">
        <v>43</v>
      </c>
      <c r="R393" s="213">
        <v>423</v>
      </c>
      <c r="S393" s="487">
        <v>44267</v>
      </c>
      <c r="T393" s="483" t="s">
        <v>4086</v>
      </c>
      <c r="U393" s="474">
        <v>10533636</v>
      </c>
      <c r="V393" s="407"/>
      <c r="W393" s="363"/>
      <c r="X393" s="480" t="s">
        <v>4087</v>
      </c>
      <c r="Y393" s="481">
        <v>44285</v>
      </c>
      <c r="Z393" s="481">
        <v>44286</v>
      </c>
      <c r="AA393" s="481">
        <v>44331</v>
      </c>
      <c r="AB393" s="482" t="s">
        <v>2913</v>
      </c>
      <c r="AC393" s="480" t="s">
        <v>4088</v>
      </c>
      <c r="AD393" s="482" t="s">
        <v>4089</v>
      </c>
      <c r="AE393" s="483" t="s">
        <v>4090</v>
      </c>
      <c r="AF393" s="472">
        <v>10533636</v>
      </c>
      <c r="AG393" s="473">
        <f t="shared" si="6"/>
        <v>0</v>
      </c>
      <c r="AK393" s="474">
        <v>7022424</v>
      </c>
      <c r="AL393" s="474">
        <v>234081</v>
      </c>
      <c r="AM393" s="307">
        <v>3277131</v>
      </c>
    </row>
    <row r="394" spans="1:39" hidden="1" x14ac:dyDescent="0.25">
      <c r="A394" s="475" t="s">
        <v>2670</v>
      </c>
      <c r="B394" s="476">
        <v>22725578</v>
      </c>
      <c r="C394" s="213" t="s">
        <v>2909</v>
      </c>
      <c r="D394" s="312">
        <v>389</v>
      </c>
      <c r="E394" s="312">
        <v>20217000014443</v>
      </c>
      <c r="F394" s="477">
        <v>44267</v>
      </c>
      <c r="G394" s="312" t="s">
        <v>2910</v>
      </c>
      <c r="H394" s="213" t="s">
        <v>2911</v>
      </c>
      <c r="I394" s="213" t="s">
        <v>164</v>
      </c>
      <c r="J394" s="474">
        <v>7268208</v>
      </c>
      <c r="K394" s="213" t="s">
        <v>138</v>
      </c>
      <c r="L394" s="213" t="s">
        <v>139</v>
      </c>
      <c r="M394" s="213" t="s">
        <v>44</v>
      </c>
      <c r="N394" s="213" t="s">
        <v>45</v>
      </c>
      <c r="O394" s="213" t="s">
        <v>142</v>
      </c>
      <c r="P394" s="213" t="s">
        <v>43</v>
      </c>
      <c r="R394" s="213">
        <v>425</v>
      </c>
      <c r="S394" s="487">
        <v>44267</v>
      </c>
      <c r="T394" s="483" t="s">
        <v>4091</v>
      </c>
      <c r="U394" s="474">
        <v>7268208</v>
      </c>
      <c r="V394" s="407"/>
      <c r="W394" s="363"/>
      <c r="X394" s="480" t="s">
        <v>4092</v>
      </c>
      <c r="Y394" s="481">
        <v>44285</v>
      </c>
      <c r="Z394" s="481">
        <v>44285</v>
      </c>
      <c r="AA394" s="481">
        <v>44407</v>
      </c>
      <c r="AB394" s="482" t="s">
        <v>2913</v>
      </c>
      <c r="AC394" s="480" t="s">
        <v>4093</v>
      </c>
      <c r="AD394" s="482" t="s">
        <v>4094</v>
      </c>
      <c r="AE394" s="483" t="s">
        <v>3325</v>
      </c>
      <c r="AF394" s="472">
        <v>7268208</v>
      </c>
      <c r="AG394" s="473">
        <f t="shared" si="6"/>
        <v>0</v>
      </c>
      <c r="AL394" s="474">
        <v>1817052</v>
      </c>
      <c r="AM394" s="307">
        <v>1817052</v>
      </c>
    </row>
    <row r="395" spans="1:39" hidden="1" x14ac:dyDescent="0.25">
      <c r="A395" s="475" t="s">
        <v>2850</v>
      </c>
      <c r="B395" s="476">
        <v>90000000</v>
      </c>
      <c r="C395" s="213" t="s">
        <v>2909</v>
      </c>
      <c r="D395" s="312">
        <v>390</v>
      </c>
      <c r="E395" s="312">
        <v>20213000014583</v>
      </c>
      <c r="F395" s="477">
        <v>44272</v>
      </c>
      <c r="G395" s="312" t="s">
        <v>2903</v>
      </c>
      <c r="H395" s="213" t="s">
        <v>2904</v>
      </c>
      <c r="I395" s="213" t="s">
        <v>432</v>
      </c>
      <c r="J395" s="474">
        <v>81000000</v>
      </c>
      <c r="K395" s="213" t="s">
        <v>342</v>
      </c>
      <c r="L395" s="213" t="s">
        <v>351</v>
      </c>
      <c r="M395" s="213" t="s">
        <v>44</v>
      </c>
      <c r="N395" s="213" t="s">
        <v>45</v>
      </c>
      <c r="O395" s="213" t="s">
        <v>63</v>
      </c>
      <c r="P395" s="213" t="s">
        <v>678</v>
      </c>
      <c r="R395" s="483">
        <v>447</v>
      </c>
      <c r="S395" s="487">
        <v>44272</v>
      </c>
      <c r="T395" s="483" t="s">
        <v>4095</v>
      </c>
      <c r="U395" s="474">
        <v>81000000</v>
      </c>
      <c r="V395" s="407"/>
      <c r="W395" s="363"/>
      <c r="X395" s="480" t="s">
        <v>4041</v>
      </c>
      <c r="Y395" s="481">
        <v>44280</v>
      </c>
      <c r="Z395" s="481">
        <v>44280</v>
      </c>
      <c r="AA395" s="481">
        <v>44555</v>
      </c>
      <c r="AB395" s="482" t="s">
        <v>2913</v>
      </c>
      <c r="AC395" s="480" t="s">
        <v>4096</v>
      </c>
      <c r="AD395" s="482" t="s">
        <v>4097</v>
      </c>
      <c r="AE395" s="483" t="s">
        <v>4098</v>
      </c>
      <c r="AF395" s="472">
        <v>81000000</v>
      </c>
      <c r="AG395" s="473">
        <f t="shared" si="6"/>
        <v>0</v>
      </c>
      <c r="AL395" s="474">
        <v>10500000</v>
      </c>
      <c r="AM395" s="213"/>
    </row>
    <row r="396" spans="1:39" hidden="1" x14ac:dyDescent="0.25">
      <c r="A396" s="475" t="s">
        <v>2225</v>
      </c>
      <c r="B396" s="476">
        <v>53100000</v>
      </c>
      <c r="C396" s="213" t="s">
        <v>2909</v>
      </c>
      <c r="D396" s="312">
        <v>391</v>
      </c>
      <c r="E396" s="312">
        <v>20216000014463</v>
      </c>
      <c r="F396" s="477">
        <v>44267</v>
      </c>
      <c r="G396" s="312" t="s">
        <v>2910</v>
      </c>
      <c r="H396" s="213" t="s">
        <v>2911</v>
      </c>
      <c r="I396" s="213" t="s">
        <v>214</v>
      </c>
      <c r="J396" s="474">
        <v>53100000</v>
      </c>
      <c r="K396" s="213" t="s">
        <v>138</v>
      </c>
      <c r="L396" s="213" t="s">
        <v>139</v>
      </c>
      <c r="M396" s="213" t="s">
        <v>44</v>
      </c>
      <c r="N396" s="213" t="s">
        <v>45</v>
      </c>
      <c r="O396" s="213" t="s">
        <v>142</v>
      </c>
      <c r="P396" s="213" t="s">
        <v>43</v>
      </c>
      <c r="R396" s="213">
        <v>426</v>
      </c>
      <c r="S396" s="487">
        <v>44267</v>
      </c>
      <c r="T396" s="483" t="s">
        <v>4099</v>
      </c>
      <c r="U396" s="474">
        <v>53100000</v>
      </c>
      <c r="V396" s="407"/>
      <c r="W396" s="363"/>
      <c r="X396" s="480" t="s">
        <v>4100</v>
      </c>
      <c r="Y396" s="481">
        <v>44295</v>
      </c>
      <c r="Z396" s="481">
        <v>44295</v>
      </c>
      <c r="AA396" s="481">
        <v>44550</v>
      </c>
      <c r="AB396" s="482" t="s">
        <v>2913</v>
      </c>
      <c r="AC396" s="480" t="s">
        <v>3837</v>
      </c>
      <c r="AD396" s="482" t="s">
        <v>4101</v>
      </c>
      <c r="AE396" s="483" t="s">
        <v>4102</v>
      </c>
      <c r="AF396" s="472">
        <v>50150000</v>
      </c>
      <c r="AG396" s="473">
        <f t="shared" si="6"/>
        <v>2950000</v>
      </c>
      <c r="AL396" s="474">
        <v>4326667</v>
      </c>
      <c r="AM396" s="307">
        <v>5900000</v>
      </c>
    </row>
    <row r="397" spans="1:39" hidden="1" x14ac:dyDescent="0.25">
      <c r="B397" s="498" t="s">
        <v>3279</v>
      </c>
      <c r="C397" s="213" t="s">
        <v>4103</v>
      </c>
      <c r="D397" s="312">
        <v>392</v>
      </c>
      <c r="E397" s="312">
        <v>20217000014533</v>
      </c>
      <c r="F397" s="477">
        <v>44267</v>
      </c>
      <c r="G397" s="312" t="s">
        <v>2910</v>
      </c>
      <c r="H397" s="213" t="s">
        <v>2911</v>
      </c>
      <c r="I397" s="213" t="s">
        <v>164</v>
      </c>
      <c r="J397" s="474">
        <v>7800000</v>
      </c>
      <c r="K397" s="213" t="s">
        <v>138</v>
      </c>
      <c r="L397" s="213" t="s">
        <v>139</v>
      </c>
      <c r="M397" s="213" t="s">
        <v>44</v>
      </c>
      <c r="N397" s="213" t="s">
        <v>45</v>
      </c>
      <c r="O397" s="213" t="s">
        <v>142</v>
      </c>
      <c r="P397" s="213" t="s">
        <v>43</v>
      </c>
      <c r="R397" s="213">
        <v>428</v>
      </c>
      <c r="S397" s="487">
        <v>44267</v>
      </c>
      <c r="T397" s="483" t="s">
        <v>4104</v>
      </c>
      <c r="U397" s="474">
        <v>7800000</v>
      </c>
      <c r="V397" s="407"/>
      <c r="W397" s="363"/>
      <c r="X397" s="480" t="s">
        <v>4105</v>
      </c>
      <c r="Y397" s="481">
        <v>44285</v>
      </c>
      <c r="Z397" s="481">
        <v>44288</v>
      </c>
      <c r="AA397" s="481">
        <v>44347</v>
      </c>
      <c r="AB397" s="482" t="s">
        <v>2913</v>
      </c>
      <c r="AC397" s="480" t="s">
        <v>4106</v>
      </c>
      <c r="AD397" s="482" t="s">
        <v>4107</v>
      </c>
      <c r="AE397" s="483" t="s">
        <v>4108</v>
      </c>
      <c r="AF397" s="472">
        <v>7800000</v>
      </c>
      <c r="AG397" s="473">
        <f t="shared" si="6"/>
        <v>0</v>
      </c>
      <c r="AM397" s="307">
        <v>3900000</v>
      </c>
    </row>
    <row r="398" spans="1:39" s="313" customFormat="1" hidden="1" x14ac:dyDescent="0.25">
      <c r="A398" s="475"/>
      <c r="B398" s="498" t="s">
        <v>2946</v>
      </c>
      <c r="C398" s="313" t="s">
        <v>4109</v>
      </c>
      <c r="D398" s="326">
        <v>393</v>
      </c>
      <c r="E398" s="326">
        <v>20217000014543</v>
      </c>
      <c r="F398" s="316">
        <v>44267</v>
      </c>
      <c r="G398" s="326" t="s">
        <v>2910</v>
      </c>
      <c r="H398" s="313" t="s">
        <v>2911</v>
      </c>
      <c r="I398" s="313" t="s">
        <v>164</v>
      </c>
      <c r="J398" s="406"/>
      <c r="K398" s="313" t="s">
        <v>138</v>
      </c>
      <c r="L398" s="313" t="s">
        <v>139</v>
      </c>
      <c r="M398" s="313" t="s">
        <v>44</v>
      </c>
      <c r="N398" s="313" t="s">
        <v>45</v>
      </c>
      <c r="O398" s="313" t="s">
        <v>142</v>
      </c>
      <c r="P398" s="313" t="s">
        <v>43</v>
      </c>
      <c r="Q398" s="313" t="s">
        <v>3563</v>
      </c>
      <c r="S398" s="316"/>
      <c r="U398" s="474"/>
      <c r="V398" s="407"/>
      <c r="W398" s="363"/>
      <c r="X398" s="315"/>
      <c r="Y398" s="359"/>
      <c r="Z398" s="359"/>
      <c r="AA398" s="359"/>
      <c r="AB398" s="318"/>
      <c r="AC398" s="317"/>
      <c r="AD398" s="318"/>
      <c r="AF398" s="472"/>
      <c r="AG398" s="473">
        <f t="shared" si="6"/>
        <v>0</v>
      </c>
      <c r="AH398" s="406"/>
      <c r="AI398" s="406"/>
      <c r="AJ398" s="474"/>
      <c r="AK398" s="474"/>
      <c r="AL398" s="474"/>
      <c r="AM398" s="213"/>
    </row>
    <row r="399" spans="1:39" hidden="1" x14ac:dyDescent="0.25">
      <c r="A399" s="475" t="s">
        <v>2465</v>
      </c>
      <c r="B399" s="476">
        <v>54000000</v>
      </c>
      <c r="C399" s="213" t="s">
        <v>2909</v>
      </c>
      <c r="D399" s="312">
        <v>394</v>
      </c>
      <c r="E399" s="312">
        <v>20211200014573</v>
      </c>
      <c r="F399" s="311">
        <v>44267</v>
      </c>
      <c r="G399" s="310" t="s">
        <v>2910</v>
      </c>
      <c r="H399" s="211" t="s">
        <v>2911</v>
      </c>
      <c r="I399" s="213" t="s">
        <v>143</v>
      </c>
      <c r="J399" s="408">
        <v>54000000</v>
      </c>
      <c r="K399" s="211" t="s">
        <v>138</v>
      </c>
      <c r="L399" s="211" t="s">
        <v>139</v>
      </c>
      <c r="M399" s="211" t="s">
        <v>44</v>
      </c>
      <c r="N399" s="211" t="s">
        <v>45</v>
      </c>
      <c r="O399" s="211" t="s">
        <v>142</v>
      </c>
      <c r="P399" s="211" t="s">
        <v>43</v>
      </c>
      <c r="R399" s="213">
        <v>429</v>
      </c>
      <c r="S399" s="487">
        <v>44267</v>
      </c>
      <c r="T399" s="483" t="s">
        <v>4110</v>
      </c>
      <c r="U399" s="474">
        <v>54000000</v>
      </c>
      <c r="V399" s="407"/>
      <c r="W399" s="363"/>
      <c r="X399" s="480" t="s">
        <v>4111</v>
      </c>
      <c r="Y399" s="481">
        <v>44286</v>
      </c>
      <c r="Z399" s="481">
        <v>44286</v>
      </c>
      <c r="AA399" s="481">
        <v>44555</v>
      </c>
      <c r="AB399" s="482" t="s">
        <v>2913</v>
      </c>
      <c r="AC399" s="480" t="s">
        <v>4112</v>
      </c>
      <c r="AD399" s="482" t="s">
        <v>4113</v>
      </c>
      <c r="AE399" s="483" t="s">
        <v>4114</v>
      </c>
      <c r="AF399" s="472">
        <v>53200000</v>
      </c>
      <c r="AG399" s="473">
        <f t="shared" si="6"/>
        <v>800000</v>
      </c>
      <c r="AL399" s="474">
        <v>6200000</v>
      </c>
      <c r="AM399" s="307">
        <v>6000000</v>
      </c>
    </row>
    <row r="400" spans="1:39" s="313" customFormat="1" hidden="1" x14ac:dyDescent="0.25">
      <c r="A400" s="362" t="s">
        <v>4115</v>
      </c>
      <c r="B400" s="418">
        <v>44972037</v>
      </c>
      <c r="C400" s="313" t="s">
        <v>3025</v>
      </c>
      <c r="D400" s="326">
        <v>395</v>
      </c>
      <c r="E400" s="326">
        <v>20216000014153</v>
      </c>
      <c r="F400" s="316">
        <v>44267</v>
      </c>
      <c r="G400" s="326" t="s">
        <v>2910</v>
      </c>
      <c r="H400" s="313" t="s">
        <v>2911</v>
      </c>
      <c r="I400" s="313" t="s">
        <v>214</v>
      </c>
      <c r="J400" s="406">
        <v>44972037</v>
      </c>
      <c r="K400" s="313" t="s">
        <v>138</v>
      </c>
      <c r="L400" s="313" t="s">
        <v>139</v>
      </c>
      <c r="M400" s="313" t="s">
        <v>44</v>
      </c>
      <c r="N400" s="313" t="s">
        <v>45</v>
      </c>
      <c r="O400" s="313" t="s">
        <v>142</v>
      </c>
      <c r="P400" s="313" t="s">
        <v>43</v>
      </c>
      <c r="R400" s="313">
        <v>424</v>
      </c>
      <c r="S400" s="364">
        <v>44267</v>
      </c>
      <c r="T400" s="361" t="s">
        <v>4116</v>
      </c>
      <c r="U400" s="406">
        <f>44972037-44972037</f>
        <v>0</v>
      </c>
      <c r="V400" s="407">
        <v>44972037</v>
      </c>
      <c r="W400" s="363"/>
      <c r="X400" s="315"/>
      <c r="Y400" s="359"/>
      <c r="Z400" s="359"/>
      <c r="AA400" s="359"/>
      <c r="AB400" s="318"/>
      <c r="AC400" s="317"/>
      <c r="AD400" s="318"/>
      <c r="AF400" s="411"/>
      <c r="AG400" s="319">
        <f t="shared" si="6"/>
        <v>0</v>
      </c>
      <c r="AH400" s="406"/>
      <c r="AI400" s="406"/>
      <c r="AJ400" s="406"/>
      <c r="AK400" s="406"/>
      <c r="AL400" s="406"/>
      <c r="AM400" s="213"/>
    </row>
    <row r="401" spans="1:39" hidden="1" x14ac:dyDescent="0.25">
      <c r="B401" s="498" t="s">
        <v>2946</v>
      </c>
      <c r="C401" s="213" t="s">
        <v>4117</v>
      </c>
      <c r="D401" s="312">
        <v>396</v>
      </c>
      <c r="E401" s="312">
        <v>20217000014653</v>
      </c>
      <c r="F401" s="477">
        <v>44267</v>
      </c>
      <c r="G401" s="312" t="s">
        <v>2910</v>
      </c>
      <c r="H401" s="213" t="s">
        <v>2911</v>
      </c>
      <c r="I401" s="213" t="s">
        <v>214</v>
      </c>
      <c r="J401" s="474">
        <v>6320181</v>
      </c>
      <c r="K401" s="213" t="s">
        <v>138</v>
      </c>
      <c r="L401" s="213" t="s">
        <v>139</v>
      </c>
      <c r="M401" s="213" t="s">
        <v>44</v>
      </c>
      <c r="N401" s="213" t="s">
        <v>45</v>
      </c>
      <c r="O401" s="213" t="s">
        <v>142</v>
      </c>
      <c r="P401" s="213" t="s">
        <v>43</v>
      </c>
      <c r="R401" s="213">
        <v>430</v>
      </c>
      <c r="S401" s="487">
        <v>44267</v>
      </c>
      <c r="T401" s="483" t="s">
        <v>4118</v>
      </c>
      <c r="U401" s="474">
        <v>6320181</v>
      </c>
      <c r="V401" s="407"/>
      <c r="W401" s="363"/>
      <c r="X401" s="480" t="s">
        <v>4119</v>
      </c>
      <c r="Y401" s="481">
        <v>44285</v>
      </c>
      <c r="Z401" s="481">
        <v>44285</v>
      </c>
      <c r="AA401" s="481">
        <v>44338</v>
      </c>
      <c r="AB401" s="482" t="s">
        <v>2913</v>
      </c>
      <c r="AC401" s="480" t="s">
        <v>4120</v>
      </c>
      <c r="AD401" s="482" t="s">
        <v>4121</v>
      </c>
      <c r="AE401" s="483" t="s">
        <v>4122</v>
      </c>
      <c r="AF401" s="472">
        <v>6320181</v>
      </c>
      <c r="AG401" s="473">
        <f t="shared" si="6"/>
        <v>0</v>
      </c>
      <c r="AK401" s="474">
        <v>117040</v>
      </c>
      <c r="AL401" s="474">
        <v>3511212</v>
      </c>
      <c r="AM401" s="307">
        <v>2574889</v>
      </c>
    </row>
    <row r="402" spans="1:39" hidden="1" x14ac:dyDescent="0.25">
      <c r="A402" s="475" t="s">
        <v>2467</v>
      </c>
      <c r="B402" s="476">
        <v>58500000</v>
      </c>
      <c r="C402" s="213" t="s">
        <v>2909</v>
      </c>
      <c r="D402" s="312">
        <v>397</v>
      </c>
      <c r="E402" s="312">
        <v>20211200014703</v>
      </c>
      <c r="F402" s="477">
        <v>44270</v>
      </c>
      <c r="G402" s="310" t="s">
        <v>2910</v>
      </c>
      <c r="H402" s="211" t="s">
        <v>2911</v>
      </c>
      <c r="I402" s="213" t="s">
        <v>143</v>
      </c>
      <c r="J402" s="408">
        <v>56000000</v>
      </c>
      <c r="K402" s="211" t="s">
        <v>138</v>
      </c>
      <c r="L402" s="211" t="s">
        <v>139</v>
      </c>
      <c r="M402" s="211" t="s">
        <v>44</v>
      </c>
      <c r="N402" s="211" t="s">
        <v>45</v>
      </c>
      <c r="O402" s="211" t="s">
        <v>142</v>
      </c>
      <c r="P402" s="211" t="s">
        <v>43</v>
      </c>
      <c r="R402" s="483">
        <v>434</v>
      </c>
      <c r="S402" s="487">
        <v>44271</v>
      </c>
      <c r="T402" s="483" t="s">
        <v>4123</v>
      </c>
      <c r="U402" s="474">
        <v>56000000</v>
      </c>
      <c r="V402" s="407"/>
      <c r="W402" s="363"/>
      <c r="X402" s="480" t="s">
        <v>4124</v>
      </c>
      <c r="Y402" s="481">
        <v>44286</v>
      </c>
      <c r="Z402" s="481">
        <v>44286</v>
      </c>
      <c r="AA402" s="481">
        <v>44530</v>
      </c>
      <c r="AB402" s="482" t="s">
        <v>2913</v>
      </c>
      <c r="AC402" s="480" t="s">
        <v>4125</v>
      </c>
      <c r="AD402" s="482" t="s">
        <v>4126</v>
      </c>
      <c r="AE402" s="483" t="s">
        <v>4127</v>
      </c>
      <c r="AF402" s="472">
        <v>56000000</v>
      </c>
      <c r="AG402" s="473">
        <f t="shared" si="6"/>
        <v>0</v>
      </c>
      <c r="AL402" s="474">
        <v>7000000</v>
      </c>
      <c r="AM402" s="307">
        <v>7000000</v>
      </c>
    </row>
    <row r="403" spans="1:39" hidden="1" x14ac:dyDescent="0.25">
      <c r="A403" s="475" t="s">
        <v>2461</v>
      </c>
      <c r="B403" s="476">
        <v>12000000</v>
      </c>
      <c r="C403" s="213" t="s">
        <v>2909</v>
      </c>
      <c r="D403" s="312">
        <v>398</v>
      </c>
      <c r="E403" s="312">
        <v>20211200014793</v>
      </c>
      <c r="F403" s="477">
        <v>44270</v>
      </c>
      <c r="G403" s="310" t="s">
        <v>2910</v>
      </c>
      <c r="H403" s="211" t="s">
        <v>2911</v>
      </c>
      <c r="I403" s="213" t="s">
        <v>143</v>
      </c>
      <c r="J403" s="408">
        <v>12000000</v>
      </c>
      <c r="K403" s="211" t="s">
        <v>138</v>
      </c>
      <c r="L403" s="211" t="s">
        <v>139</v>
      </c>
      <c r="M403" s="211" t="s">
        <v>44</v>
      </c>
      <c r="N403" s="211" t="s">
        <v>45</v>
      </c>
      <c r="O403" s="211" t="s">
        <v>142</v>
      </c>
      <c r="P403" s="211" t="s">
        <v>43</v>
      </c>
      <c r="R403" s="483">
        <v>435</v>
      </c>
      <c r="S403" s="487">
        <v>44271</v>
      </c>
      <c r="T403" s="483" t="s">
        <v>4128</v>
      </c>
      <c r="U403" s="474">
        <v>12000000</v>
      </c>
      <c r="V403" s="407"/>
      <c r="W403" s="363"/>
      <c r="X403" s="480" t="s">
        <v>4129</v>
      </c>
      <c r="Y403" s="481">
        <v>44285</v>
      </c>
      <c r="Z403" s="481">
        <v>44285</v>
      </c>
      <c r="AA403" s="481">
        <v>44407</v>
      </c>
      <c r="AB403" s="482" t="s">
        <v>2913</v>
      </c>
      <c r="AC403" s="480" t="s">
        <v>4130</v>
      </c>
      <c r="AD403" s="482" t="s">
        <v>4131</v>
      </c>
      <c r="AE403" s="483" t="s">
        <v>4132</v>
      </c>
      <c r="AF403" s="472">
        <v>12000000</v>
      </c>
      <c r="AG403" s="473">
        <f t="shared" si="6"/>
        <v>0</v>
      </c>
      <c r="AM403" s="307">
        <f>3000000+3000000</f>
        <v>6000000</v>
      </c>
    </row>
    <row r="404" spans="1:39" hidden="1" x14ac:dyDescent="0.25">
      <c r="B404" s="498" t="s">
        <v>2946</v>
      </c>
      <c r="C404" s="213" t="s">
        <v>4109</v>
      </c>
      <c r="D404" s="312">
        <v>399</v>
      </c>
      <c r="E404" s="312">
        <v>20217000014543</v>
      </c>
      <c r="F404" s="477">
        <v>44270</v>
      </c>
      <c r="G404" s="312" t="s">
        <v>2910</v>
      </c>
      <c r="H404" s="213" t="s">
        <v>2911</v>
      </c>
      <c r="I404" s="213" t="s">
        <v>164</v>
      </c>
      <c r="J404" s="474">
        <v>5478400</v>
      </c>
      <c r="K404" s="213" t="s">
        <v>138</v>
      </c>
      <c r="L404" s="213" t="s">
        <v>139</v>
      </c>
      <c r="M404" s="213" t="s">
        <v>44</v>
      </c>
      <c r="N404" s="213" t="s">
        <v>45</v>
      </c>
      <c r="O404" s="213" t="s">
        <v>142</v>
      </c>
      <c r="P404" s="213" t="s">
        <v>43</v>
      </c>
      <c r="R404" s="483">
        <v>433</v>
      </c>
      <c r="S404" s="487">
        <v>44271</v>
      </c>
      <c r="T404" s="483" t="s">
        <v>4133</v>
      </c>
      <c r="U404" s="474">
        <v>5478400</v>
      </c>
      <c r="V404" s="407"/>
      <c r="W404" s="363"/>
      <c r="X404" s="480" t="s">
        <v>4134</v>
      </c>
      <c r="Y404" s="481">
        <v>44285</v>
      </c>
      <c r="Z404" s="481">
        <v>44287</v>
      </c>
      <c r="AA404" s="481">
        <v>44339</v>
      </c>
      <c r="AB404" s="482" t="s">
        <v>2913</v>
      </c>
      <c r="AC404" s="480" t="s">
        <v>4135</v>
      </c>
      <c r="AD404" s="482" t="s">
        <v>4136</v>
      </c>
      <c r="AE404" s="483" t="s">
        <v>4137</v>
      </c>
      <c r="AF404" s="472">
        <v>5427200</v>
      </c>
      <c r="AG404" s="473">
        <f t="shared" si="6"/>
        <v>51200</v>
      </c>
      <c r="AL404" s="474">
        <v>3072000</v>
      </c>
      <c r="AM404" s="213"/>
    </row>
    <row r="405" spans="1:39" hidden="1" x14ac:dyDescent="0.25">
      <c r="B405" s="498" t="s">
        <v>2946</v>
      </c>
      <c r="C405" s="213" t="s">
        <v>4138</v>
      </c>
      <c r="D405" s="312">
        <v>400</v>
      </c>
      <c r="E405" s="312">
        <v>20217000014983</v>
      </c>
      <c r="F405" s="477">
        <v>44270</v>
      </c>
      <c r="G405" s="312" t="s">
        <v>2910</v>
      </c>
      <c r="H405" s="213" t="s">
        <v>2911</v>
      </c>
      <c r="I405" s="213" t="s">
        <v>164</v>
      </c>
      <c r="J405" s="474">
        <v>7241874</v>
      </c>
      <c r="K405" s="213" t="s">
        <v>138</v>
      </c>
      <c r="L405" s="213" t="s">
        <v>139</v>
      </c>
      <c r="M405" s="213" t="s">
        <v>44</v>
      </c>
      <c r="N405" s="213" t="s">
        <v>45</v>
      </c>
      <c r="O405" s="213" t="s">
        <v>142</v>
      </c>
      <c r="P405" s="213" t="s">
        <v>43</v>
      </c>
      <c r="R405" s="483">
        <v>436</v>
      </c>
      <c r="S405" s="487">
        <v>44271</v>
      </c>
      <c r="T405" s="483" t="s">
        <v>4139</v>
      </c>
      <c r="U405" s="474">
        <v>7241874</v>
      </c>
      <c r="V405" s="407"/>
      <c r="W405" s="363"/>
      <c r="X405" s="480" t="s">
        <v>4140</v>
      </c>
      <c r="Y405" s="481">
        <v>44285</v>
      </c>
      <c r="Z405" s="481">
        <v>44285</v>
      </c>
      <c r="AA405" s="481">
        <v>44341</v>
      </c>
      <c r="AB405" s="482" t="s">
        <v>2913</v>
      </c>
      <c r="AC405" s="480" t="s">
        <v>4141</v>
      </c>
      <c r="AD405" s="482" t="s">
        <v>4142</v>
      </c>
      <c r="AE405" s="483" t="s">
        <v>4143</v>
      </c>
      <c r="AF405" s="472">
        <v>7241874</v>
      </c>
      <c r="AG405" s="473">
        <f t="shared" si="6"/>
        <v>0</v>
      </c>
      <c r="AL405" s="474">
        <v>4061785</v>
      </c>
      <c r="AM405" s="307">
        <v>20000</v>
      </c>
    </row>
    <row r="406" spans="1:39" hidden="1" x14ac:dyDescent="0.25">
      <c r="A406" s="475" t="s">
        <v>2675</v>
      </c>
      <c r="B406" s="476">
        <v>65413872</v>
      </c>
      <c r="C406" s="213" t="s">
        <v>2909</v>
      </c>
      <c r="D406" s="312">
        <v>401</v>
      </c>
      <c r="E406" s="312">
        <v>20217000014993</v>
      </c>
      <c r="F406" s="477">
        <v>44270</v>
      </c>
      <c r="G406" s="312" t="s">
        <v>2910</v>
      </c>
      <c r="H406" s="213" t="s">
        <v>2911</v>
      </c>
      <c r="I406" s="213" t="s">
        <v>164</v>
      </c>
      <c r="J406" s="474">
        <v>54600000</v>
      </c>
      <c r="K406" s="213" t="s">
        <v>138</v>
      </c>
      <c r="L406" s="213" t="s">
        <v>139</v>
      </c>
      <c r="M406" s="213" t="s">
        <v>44</v>
      </c>
      <c r="N406" s="213" t="s">
        <v>45</v>
      </c>
      <c r="O406" s="213" t="s">
        <v>142</v>
      </c>
      <c r="P406" s="213" t="s">
        <v>43</v>
      </c>
      <c r="R406" s="483">
        <v>437</v>
      </c>
      <c r="S406" s="487">
        <v>44271</v>
      </c>
      <c r="T406" s="483" t="s">
        <v>4144</v>
      </c>
      <c r="U406" s="474">
        <v>54600000</v>
      </c>
      <c r="V406" s="407"/>
      <c r="W406" s="363"/>
      <c r="X406" s="212" t="s">
        <v>4145</v>
      </c>
      <c r="Y406" s="471">
        <v>44301</v>
      </c>
      <c r="Z406" s="471">
        <v>44301</v>
      </c>
      <c r="AA406" s="471">
        <v>44515</v>
      </c>
      <c r="AB406" s="3" t="s">
        <v>2913</v>
      </c>
      <c r="AC406" s="212" t="s">
        <v>3675</v>
      </c>
      <c r="AD406" s="3" t="s">
        <v>4146</v>
      </c>
      <c r="AE406" s="213" t="s">
        <v>3078</v>
      </c>
      <c r="AF406" s="472">
        <v>54600000</v>
      </c>
      <c r="AG406" s="473">
        <f t="shared" si="6"/>
        <v>0</v>
      </c>
      <c r="AL406" s="474">
        <v>4160000</v>
      </c>
      <c r="AM406" s="307">
        <v>7800000</v>
      </c>
    </row>
    <row r="407" spans="1:39" hidden="1" x14ac:dyDescent="0.25">
      <c r="B407" s="498" t="s">
        <v>2946</v>
      </c>
      <c r="C407" s="213" t="s">
        <v>4147</v>
      </c>
      <c r="D407" s="312">
        <v>402</v>
      </c>
      <c r="E407" s="312">
        <v>20217000015093</v>
      </c>
      <c r="F407" s="477">
        <v>44271</v>
      </c>
      <c r="G407" s="312" t="s">
        <v>2910</v>
      </c>
      <c r="H407" s="213" t="s">
        <v>2911</v>
      </c>
      <c r="I407" s="213" t="s">
        <v>164</v>
      </c>
      <c r="J407" s="474">
        <v>6086100</v>
      </c>
      <c r="K407" s="213" t="s">
        <v>138</v>
      </c>
      <c r="L407" s="213" t="s">
        <v>139</v>
      </c>
      <c r="M407" s="213" t="s">
        <v>44</v>
      </c>
      <c r="N407" s="213" t="s">
        <v>45</v>
      </c>
      <c r="O407" s="213" t="s">
        <v>142</v>
      </c>
      <c r="P407" s="213" t="s">
        <v>43</v>
      </c>
      <c r="R407" s="483">
        <v>445</v>
      </c>
      <c r="S407" s="487">
        <v>44272</v>
      </c>
      <c r="T407" s="483" t="s">
        <v>4148</v>
      </c>
      <c r="U407" s="474">
        <v>6086100</v>
      </c>
      <c r="V407" s="407"/>
      <c r="W407" s="363"/>
      <c r="X407" s="480" t="s">
        <v>3867</v>
      </c>
      <c r="Y407" s="481">
        <v>44285</v>
      </c>
      <c r="Z407" s="481">
        <v>44291</v>
      </c>
      <c r="AA407" s="481">
        <v>44342</v>
      </c>
      <c r="AB407" s="482" t="s">
        <v>2913</v>
      </c>
      <c r="AC407" s="480" t="s">
        <v>4149</v>
      </c>
      <c r="AD407" s="482" t="s">
        <v>4150</v>
      </c>
      <c r="AE407" s="483" t="s">
        <v>4151</v>
      </c>
      <c r="AF407" s="472">
        <v>6086100</v>
      </c>
      <c r="AG407" s="473">
        <f t="shared" si="6"/>
        <v>0</v>
      </c>
      <c r="AL407" s="474">
        <v>3511212</v>
      </c>
      <c r="AM407" s="307">
        <v>2574888</v>
      </c>
    </row>
    <row r="408" spans="1:39" hidden="1" x14ac:dyDescent="0.25">
      <c r="A408" s="475" t="s">
        <v>2550</v>
      </c>
      <c r="B408" s="476">
        <v>29981361</v>
      </c>
      <c r="C408" s="213" t="s">
        <v>2909</v>
      </c>
      <c r="D408" s="312">
        <v>403</v>
      </c>
      <c r="E408" s="312">
        <v>20211300013893</v>
      </c>
      <c r="F408" s="311">
        <v>44265</v>
      </c>
      <c r="G408" s="312" t="s">
        <v>2910</v>
      </c>
      <c r="H408" s="213" t="s">
        <v>2911</v>
      </c>
      <c r="I408" s="213" t="s">
        <v>210</v>
      </c>
      <c r="J408" s="474">
        <v>19987572</v>
      </c>
      <c r="K408" s="213" t="s">
        <v>138</v>
      </c>
      <c r="L408" s="213" t="s">
        <v>139</v>
      </c>
      <c r="M408" s="213" t="s">
        <v>44</v>
      </c>
      <c r="N408" s="213" t="s">
        <v>45</v>
      </c>
      <c r="O408" s="213" t="s">
        <v>142</v>
      </c>
      <c r="P408" s="213" t="s">
        <v>43</v>
      </c>
      <c r="R408" s="213">
        <v>400</v>
      </c>
      <c r="S408" s="487">
        <v>44266</v>
      </c>
      <c r="T408" s="483" t="s">
        <v>4152</v>
      </c>
      <c r="U408" s="474">
        <v>19987572</v>
      </c>
      <c r="V408" s="407"/>
      <c r="W408" s="363"/>
      <c r="X408" s="480" t="s">
        <v>4153</v>
      </c>
      <c r="Y408" s="481">
        <v>44280</v>
      </c>
      <c r="Z408" s="481">
        <v>44280</v>
      </c>
      <c r="AA408" s="481">
        <v>44402</v>
      </c>
      <c r="AB408" s="482" t="s">
        <v>2913</v>
      </c>
      <c r="AC408" s="480" t="s">
        <v>4154</v>
      </c>
      <c r="AD408" s="482" t="s">
        <v>4155</v>
      </c>
      <c r="AE408" s="483" t="s">
        <v>4156</v>
      </c>
      <c r="AF408" s="472">
        <v>19987572</v>
      </c>
      <c r="AG408" s="473">
        <f t="shared" si="6"/>
        <v>0</v>
      </c>
      <c r="AM408" s="307">
        <v>5829708</v>
      </c>
    </row>
    <row r="409" spans="1:39" hidden="1" x14ac:dyDescent="0.25">
      <c r="A409" s="475" t="s">
        <v>2680</v>
      </c>
      <c r="B409" s="476">
        <v>44311860</v>
      </c>
      <c r="C409" s="213" t="s">
        <v>2909</v>
      </c>
      <c r="D409" s="312">
        <v>404</v>
      </c>
      <c r="E409" s="312">
        <v>20212000014733</v>
      </c>
      <c r="F409" s="477">
        <v>44271</v>
      </c>
      <c r="G409" s="312" t="s">
        <v>2903</v>
      </c>
      <c r="H409" s="213" t="s">
        <v>2904</v>
      </c>
      <c r="I409" s="213" t="s">
        <v>391</v>
      </c>
      <c r="J409" s="474">
        <v>44311860</v>
      </c>
      <c r="K409" s="211" t="s">
        <v>2974</v>
      </c>
      <c r="L409" s="213" t="s">
        <v>2975</v>
      </c>
      <c r="M409" s="213" t="s">
        <v>44</v>
      </c>
      <c r="N409" s="213" t="s">
        <v>45</v>
      </c>
      <c r="O409" s="213" t="s">
        <v>63</v>
      </c>
      <c r="P409" s="213" t="s">
        <v>678</v>
      </c>
      <c r="R409" s="483">
        <v>439</v>
      </c>
      <c r="S409" s="487">
        <v>44272</v>
      </c>
      <c r="T409" s="483" t="s">
        <v>4157</v>
      </c>
      <c r="U409" s="474">
        <f>44311860-2461770</f>
        <v>41850090</v>
      </c>
      <c r="V409" s="412">
        <v>2461770</v>
      </c>
      <c r="W409" s="398"/>
      <c r="X409" s="480" t="s">
        <v>4158</v>
      </c>
      <c r="Y409" s="481">
        <v>44292</v>
      </c>
      <c r="Z409" s="481">
        <v>44292</v>
      </c>
      <c r="AA409" s="481">
        <v>44550</v>
      </c>
      <c r="AB409" s="482" t="s">
        <v>2913</v>
      </c>
      <c r="AC409" s="480" t="s">
        <v>3750</v>
      </c>
      <c r="AD409" s="482" t="s">
        <v>4159</v>
      </c>
      <c r="AE409" s="483" t="s">
        <v>4160</v>
      </c>
      <c r="AF409" s="472">
        <v>41850090</v>
      </c>
      <c r="AG409" s="473">
        <f t="shared" si="6"/>
        <v>0</v>
      </c>
      <c r="AL409" s="474">
        <v>4102950</v>
      </c>
      <c r="AM409" s="307">
        <v>4923540</v>
      </c>
    </row>
    <row r="410" spans="1:39" hidden="1" x14ac:dyDescent="0.25">
      <c r="A410" s="475" t="s">
        <v>2662</v>
      </c>
      <c r="B410" s="476">
        <v>36720000</v>
      </c>
      <c r="C410" s="213" t="s">
        <v>2909</v>
      </c>
      <c r="D410" s="312">
        <v>405</v>
      </c>
      <c r="E410" s="312">
        <v>20212000014743</v>
      </c>
      <c r="F410" s="477">
        <v>44271</v>
      </c>
      <c r="G410" s="312" t="s">
        <v>2903</v>
      </c>
      <c r="H410" s="213" t="s">
        <v>2904</v>
      </c>
      <c r="I410" s="213" t="s">
        <v>391</v>
      </c>
      <c r="J410" s="474">
        <v>34850000</v>
      </c>
      <c r="K410" s="211" t="s">
        <v>2974</v>
      </c>
      <c r="L410" s="213" t="s">
        <v>2975</v>
      </c>
      <c r="M410" s="213" t="s">
        <v>44</v>
      </c>
      <c r="N410" s="213" t="s">
        <v>45</v>
      </c>
      <c r="O410" s="213" t="s">
        <v>63</v>
      </c>
      <c r="P410" s="213" t="s">
        <v>678</v>
      </c>
      <c r="R410" s="483">
        <v>440</v>
      </c>
      <c r="S410" s="487">
        <v>44272</v>
      </c>
      <c r="T410" s="483" t="s">
        <v>4161</v>
      </c>
      <c r="U410" s="474">
        <v>34850000</v>
      </c>
      <c r="V410" s="407"/>
      <c r="W410" s="363"/>
      <c r="X410" s="480" t="s">
        <v>4162</v>
      </c>
      <c r="Y410" s="481">
        <v>44298</v>
      </c>
      <c r="Z410" s="481">
        <v>44298</v>
      </c>
      <c r="AA410" s="481">
        <v>44561</v>
      </c>
      <c r="AB410" s="482" t="s">
        <v>2913</v>
      </c>
      <c r="AC410" s="480" t="s">
        <v>3969</v>
      </c>
      <c r="AD410" s="482" t="s">
        <v>4163</v>
      </c>
      <c r="AE410" s="483" t="s">
        <v>4164</v>
      </c>
      <c r="AF410" s="472">
        <v>34850000</v>
      </c>
      <c r="AG410" s="473">
        <f t="shared" si="6"/>
        <v>0</v>
      </c>
      <c r="AL410" s="474">
        <v>2596666</v>
      </c>
      <c r="AM410" s="307">
        <v>4100000</v>
      </c>
    </row>
    <row r="411" spans="1:39" hidden="1" x14ac:dyDescent="0.25">
      <c r="A411" s="475" t="s">
        <v>2663</v>
      </c>
      <c r="B411" s="476">
        <v>51754800</v>
      </c>
      <c r="C411" s="213" t="s">
        <v>2909</v>
      </c>
      <c r="D411" s="312">
        <v>406</v>
      </c>
      <c r="E411" s="312">
        <v>20212000014753</v>
      </c>
      <c r="F411" s="477">
        <v>44271</v>
      </c>
      <c r="G411" s="312" t="s">
        <v>2903</v>
      </c>
      <c r="H411" s="213" t="s">
        <v>2904</v>
      </c>
      <c r="I411" s="213" t="s">
        <v>391</v>
      </c>
      <c r="J411" s="474">
        <v>39474000</v>
      </c>
      <c r="K411" s="211" t="s">
        <v>2974</v>
      </c>
      <c r="L411" s="213" t="s">
        <v>2975</v>
      </c>
      <c r="M411" s="213" t="s">
        <v>44</v>
      </c>
      <c r="N411" s="213" t="s">
        <v>45</v>
      </c>
      <c r="O411" s="213" t="s">
        <v>63</v>
      </c>
      <c r="P411" s="213" t="s">
        <v>678</v>
      </c>
      <c r="R411" s="483">
        <v>441</v>
      </c>
      <c r="S411" s="487">
        <v>44272</v>
      </c>
      <c r="T411" s="483" t="s">
        <v>4165</v>
      </c>
      <c r="U411" s="474">
        <v>39474000</v>
      </c>
      <c r="V411" s="407"/>
      <c r="W411" s="363"/>
      <c r="X411" s="480" t="s">
        <v>3608</v>
      </c>
      <c r="Y411" s="481">
        <v>44285</v>
      </c>
      <c r="Z411" s="481">
        <v>44285</v>
      </c>
      <c r="AA411" s="481">
        <v>44560</v>
      </c>
      <c r="AB411" s="482" t="s">
        <v>2913</v>
      </c>
      <c r="AC411" s="480" t="s">
        <v>4166</v>
      </c>
      <c r="AD411" s="482" t="s">
        <v>4167</v>
      </c>
      <c r="AE411" s="483" t="s">
        <v>4168</v>
      </c>
      <c r="AF411" s="472">
        <v>39474000</v>
      </c>
      <c r="AG411" s="473">
        <f t="shared" si="6"/>
        <v>0</v>
      </c>
      <c r="AL411" s="474">
        <v>4532200</v>
      </c>
      <c r="AM411" s="307">
        <v>4386000</v>
      </c>
    </row>
    <row r="412" spans="1:39" hidden="1" x14ac:dyDescent="0.25">
      <c r="A412" s="475" t="s">
        <v>2664</v>
      </c>
      <c r="B412" s="476">
        <v>48144000</v>
      </c>
      <c r="C412" s="213" t="s">
        <v>2909</v>
      </c>
      <c r="D412" s="312">
        <v>407</v>
      </c>
      <c r="E412" s="312">
        <v>20212000014763</v>
      </c>
      <c r="F412" s="477">
        <v>44271</v>
      </c>
      <c r="G412" s="312" t="s">
        <v>2903</v>
      </c>
      <c r="H412" s="213" t="s">
        <v>2904</v>
      </c>
      <c r="I412" s="213" t="s">
        <v>391</v>
      </c>
      <c r="J412" s="474">
        <v>36900000</v>
      </c>
      <c r="K412" s="211" t="s">
        <v>2974</v>
      </c>
      <c r="L412" s="213" t="s">
        <v>2975</v>
      </c>
      <c r="M412" s="213" t="s">
        <v>44</v>
      </c>
      <c r="N412" s="213" t="s">
        <v>45</v>
      </c>
      <c r="O412" s="213" t="s">
        <v>63</v>
      </c>
      <c r="P412" s="213" t="s">
        <v>678</v>
      </c>
      <c r="R412" s="483">
        <v>442</v>
      </c>
      <c r="S412" s="487">
        <v>44272</v>
      </c>
      <c r="T412" s="483" t="s">
        <v>4169</v>
      </c>
      <c r="U412" s="474">
        <v>36900000</v>
      </c>
      <c r="V412" s="407"/>
      <c r="W412" s="363"/>
      <c r="X412" s="480" t="s">
        <v>4170</v>
      </c>
      <c r="Y412" s="481">
        <v>44305</v>
      </c>
      <c r="Z412" s="481">
        <v>44305</v>
      </c>
      <c r="AA412" s="481">
        <v>44548</v>
      </c>
      <c r="AB412" s="482" t="s">
        <v>2913</v>
      </c>
      <c r="AC412" s="480" t="s">
        <v>4171</v>
      </c>
      <c r="AD412" s="482" t="s">
        <v>4172</v>
      </c>
      <c r="AE412" s="483" t="s">
        <v>4173</v>
      </c>
      <c r="AF412" s="472">
        <v>32800000</v>
      </c>
      <c r="AG412" s="473">
        <f t="shared" si="6"/>
        <v>4100000</v>
      </c>
      <c r="AL412" s="474">
        <v>1503333</v>
      </c>
      <c r="AM412" s="307">
        <v>4100000</v>
      </c>
    </row>
    <row r="413" spans="1:39" hidden="1" x14ac:dyDescent="0.25">
      <c r="A413" s="475" t="s">
        <v>2157</v>
      </c>
      <c r="B413" s="476">
        <v>57888060</v>
      </c>
      <c r="C413" s="213" t="s">
        <v>2909</v>
      </c>
      <c r="D413" s="312">
        <v>408</v>
      </c>
      <c r="E413" s="312">
        <v>20212000014773</v>
      </c>
      <c r="F413" s="477">
        <v>44271</v>
      </c>
      <c r="G413" s="312" t="s">
        <v>2903</v>
      </c>
      <c r="H413" s="213" t="s">
        <v>2904</v>
      </c>
      <c r="I413" s="213" t="s">
        <v>391</v>
      </c>
      <c r="J413" s="474">
        <v>54846000</v>
      </c>
      <c r="K413" s="211" t="s">
        <v>2974</v>
      </c>
      <c r="L413" s="213" t="s">
        <v>2975</v>
      </c>
      <c r="M413" s="213" t="s">
        <v>44</v>
      </c>
      <c r="N413" s="213" t="s">
        <v>45</v>
      </c>
      <c r="O413" s="213" t="s">
        <v>63</v>
      </c>
      <c r="P413" s="213" t="s">
        <v>678</v>
      </c>
      <c r="R413" s="483">
        <v>443</v>
      </c>
      <c r="S413" s="487">
        <v>44272</v>
      </c>
      <c r="T413" s="483" t="s">
        <v>4174</v>
      </c>
      <c r="U413" s="474">
        <v>54846000</v>
      </c>
      <c r="V413" s="407"/>
      <c r="W413" s="363"/>
      <c r="AG413" s="473">
        <f t="shared" si="6"/>
        <v>54846000</v>
      </c>
      <c r="AM413" s="213"/>
    </row>
    <row r="414" spans="1:39" hidden="1" x14ac:dyDescent="0.25">
      <c r="A414" s="475" t="s">
        <v>2785</v>
      </c>
      <c r="B414" s="476">
        <v>63000000</v>
      </c>
      <c r="C414" s="213" t="s">
        <v>2909</v>
      </c>
      <c r="D414" s="312">
        <v>409</v>
      </c>
      <c r="E414" s="312">
        <v>20213000014933</v>
      </c>
      <c r="F414" s="477">
        <v>44271</v>
      </c>
      <c r="G414" s="312" t="s">
        <v>2903</v>
      </c>
      <c r="H414" s="213" t="s">
        <v>2904</v>
      </c>
      <c r="I414" s="213" t="s">
        <v>432</v>
      </c>
      <c r="J414" s="474">
        <v>42000000</v>
      </c>
      <c r="K414" s="213" t="s">
        <v>342</v>
      </c>
      <c r="L414" s="213" t="s">
        <v>351</v>
      </c>
      <c r="M414" s="213" t="s">
        <v>44</v>
      </c>
      <c r="N414" s="213" t="s">
        <v>45</v>
      </c>
      <c r="O414" s="213" t="s">
        <v>63</v>
      </c>
      <c r="P414" s="213" t="s">
        <v>678</v>
      </c>
      <c r="R414" s="483">
        <v>444</v>
      </c>
      <c r="S414" s="487">
        <v>44272</v>
      </c>
      <c r="T414" s="483" t="s">
        <v>4175</v>
      </c>
      <c r="U414" s="474">
        <v>42000000</v>
      </c>
      <c r="V414" s="407"/>
      <c r="W414" s="363"/>
      <c r="X414" s="480" t="s">
        <v>4176</v>
      </c>
      <c r="Y414" s="481">
        <v>44305</v>
      </c>
      <c r="Z414" s="481">
        <v>44305</v>
      </c>
      <c r="AA414" s="481">
        <v>44487</v>
      </c>
      <c r="AB414" s="482" t="s">
        <v>2913</v>
      </c>
      <c r="AC414" s="480" t="s">
        <v>4177</v>
      </c>
      <c r="AD414" s="482" t="s">
        <v>4178</v>
      </c>
      <c r="AE414" s="483" t="s">
        <v>4179</v>
      </c>
      <c r="AF414" s="472">
        <v>42000000</v>
      </c>
      <c r="AG414" s="473">
        <f t="shared" si="6"/>
        <v>0</v>
      </c>
      <c r="AL414" s="474">
        <v>2333333</v>
      </c>
      <c r="AM414" s="307">
        <v>7000000</v>
      </c>
    </row>
    <row r="415" spans="1:39" hidden="1" x14ac:dyDescent="0.25">
      <c r="A415" s="475" t="s">
        <v>2481</v>
      </c>
      <c r="B415" s="476">
        <v>24530202</v>
      </c>
      <c r="C415" s="213" t="s">
        <v>2909</v>
      </c>
      <c r="D415" s="312">
        <v>410</v>
      </c>
      <c r="E415" s="312">
        <v>20211300013903</v>
      </c>
      <c r="F415" s="311">
        <v>44265</v>
      </c>
      <c r="G415" s="312" t="s">
        <v>2910</v>
      </c>
      <c r="H415" s="213" t="s">
        <v>2911</v>
      </c>
      <c r="I415" s="213" t="s">
        <v>210</v>
      </c>
      <c r="J415" s="474">
        <v>16353468</v>
      </c>
      <c r="K415" s="213" t="s">
        <v>138</v>
      </c>
      <c r="L415" s="213" t="s">
        <v>139</v>
      </c>
      <c r="M415" s="213" t="s">
        <v>44</v>
      </c>
      <c r="N415" s="213" t="s">
        <v>45</v>
      </c>
      <c r="O415" s="213" t="s">
        <v>142</v>
      </c>
      <c r="P415" s="213" t="s">
        <v>43</v>
      </c>
      <c r="R415" s="213">
        <v>401</v>
      </c>
      <c r="S415" s="487">
        <v>44266</v>
      </c>
      <c r="T415" s="483" t="s">
        <v>4180</v>
      </c>
      <c r="U415" s="474">
        <v>16353468</v>
      </c>
      <c r="V415" s="407"/>
      <c r="W415" s="363"/>
      <c r="X415" s="480" t="s">
        <v>4181</v>
      </c>
      <c r="Y415" s="481">
        <v>44280</v>
      </c>
      <c r="Z415" s="481">
        <v>44280</v>
      </c>
      <c r="AA415" s="481">
        <v>44402</v>
      </c>
      <c r="AB415" s="482" t="s">
        <v>2913</v>
      </c>
      <c r="AC415" s="480" t="s">
        <v>4182</v>
      </c>
      <c r="AD415" s="482" t="s">
        <v>4183</v>
      </c>
      <c r="AE415" s="483" t="s">
        <v>4184</v>
      </c>
      <c r="AF415" s="472">
        <v>16353468</v>
      </c>
      <c r="AG415" s="473">
        <f t="shared" si="6"/>
        <v>0</v>
      </c>
      <c r="AL415" s="474">
        <v>4769761</v>
      </c>
      <c r="AM415" s="307">
        <v>4088367</v>
      </c>
    </row>
    <row r="416" spans="1:39" hidden="1" x14ac:dyDescent="0.25">
      <c r="A416" s="475" t="s">
        <v>2596</v>
      </c>
      <c r="B416" s="476">
        <v>31706748</v>
      </c>
      <c r="C416" s="213" t="s">
        <v>2909</v>
      </c>
      <c r="D416" s="312">
        <v>411</v>
      </c>
      <c r="E416" s="312">
        <v>20216000013763</v>
      </c>
      <c r="F416" s="311">
        <v>44265</v>
      </c>
      <c r="G416" s="312" t="s">
        <v>2910</v>
      </c>
      <c r="H416" s="213" t="s">
        <v>2911</v>
      </c>
      <c r="I416" s="213" t="s">
        <v>214</v>
      </c>
      <c r="J416" s="474">
        <v>31706748</v>
      </c>
      <c r="K416" s="213" t="s">
        <v>138</v>
      </c>
      <c r="L416" s="213" t="s">
        <v>139</v>
      </c>
      <c r="M416" s="213" t="s">
        <v>44</v>
      </c>
      <c r="N416" s="213" t="s">
        <v>45</v>
      </c>
      <c r="O416" s="213" t="s">
        <v>142</v>
      </c>
      <c r="P416" s="213" t="s">
        <v>43</v>
      </c>
      <c r="R416" s="213">
        <v>392</v>
      </c>
      <c r="S416" s="487">
        <v>44266</v>
      </c>
      <c r="T416" s="483" t="s">
        <v>4185</v>
      </c>
      <c r="U416" s="474">
        <v>31706748</v>
      </c>
      <c r="V416" s="407"/>
      <c r="W416" s="363"/>
      <c r="X416" s="480" t="s">
        <v>3930</v>
      </c>
      <c r="Y416" s="481">
        <v>44280</v>
      </c>
      <c r="Z416" s="481">
        <v>44280</v>
      </c>
      <c r="AA416" s="481">
        <v>44555</v>
      </c>
      <c r="AB416" s="482" t="s">
        <v>2913</v>
      </c>
      <c r="AC416" s="480" t="s">
        <v>4186</v>
      </c>
      <c r="AD416" s="482" t="s">
        <v>4187</v>
      </c>
      <c r="AE416" s="483" t="s">
        <v>4188</v>
      </c>
      <c r="AF416" s="472">
        <v>31706748</v>
      </c>
      <c r="AG416" s="473">
        <f t="shared" si="6"/>
        <v>0</v>
      </c>
      <c r="AL416" s="474">
        <v>3640404</v>
      </c>
      <c r="AM416" s="307">
        <v>3522972</v>
      </c>
    </row>
    <row r="417" spans="1:39" hidden="1" x14ac:dyDescent="0.25">
      <c r="A417" s="475" t="s">
        <v>2728</v>
      </c>
      <c r="B417" s="476">
        <v>42000000</v>
      </c>
      <c r="C417" s="213" t="s">
        <v>2909</v>
      </c>
      <c r="D417" s="312">
        <v>412</v>
      </c>
      <c r="E417" s="312">
        <v>20213000014943</v>
      </c>
      <c r="F417" s="477">
        <v>44272</v>
      </c>
      <c r="G417" s="312" t="s">
        <v>2903</v>
      </c>
      <c r="H417" s="213" t="s">
        <v>2904</v>
      </c>
      <c r="I417" s="213" t="s">
        <v>432</v>
      </c>
      <c r="J417" s="474">
        <v>37500000</v>
      </c>
      <c r="K417" s="213" t="s">
        <v>342</v>
      </c>
      <c r="L417" s="213" t="s">
        <v>351</v>
      </c>
      <c r="M417" s="213" t="s">
        <v>44</v>
      </c>
      <c r="N417" s="213" t="s">
        <v>45</v>
      </c>
      <c r="O417" s="213" t="s">
        <v>63</v>
      </c>
      <c r="P417" s="213" t="s">
        <v>678</v>
      </c>
      <c r="R417" s="483">
        <v>452</v>
      </c>
      <c r="S417" s="487">
        <v>44272</v>
      </c>
      <c r="T417" s="483" t="s">
        <v>4189</v>
      </c>
      <c r="U417" s="474">
        <v>37500000</v>
      </c>
      <c r="V417" s="407"/>
      <c r="W417" s="363"/>
      <c r="X417" s="212" t="s">
        <v>4190</v>
      </c>
      <c r="Y417" s="471">
        <v>44300</v>
      </c>
      <c r="Z417" s="471">
        <v>44300</v>
      </c>
      <c r="AA417" s="471">
        <v>44453</v>
      </c>
      <c r="AB417" s="3" t="s">
        <v>2913</v>
      </c>
      <c r="AC417" s="212" t="s">
        <v>4140</v>
      </c>
      <c r="AD417" s="3" t="s">
        <v>4191</v>
      </c>
      <c r="AE417" s="213" t="s">
        <v>4192</v>
      </c>
      <c r="AF417" s="472">
        <v>37500000</v>
      </c>
      <c r="AG417" s="473">
        <f t="shared" ref="AG417:AG480" si="7">+U417-AF417</f>
        <v>0</v>
      </c>
      <c r="AL417" s="474">
        <v>4250000</v>
      </c>
      <c r="AM417" s="307">
        <v>7500000</v>
      </c>
    </row>
    <row r="418" spans="1:39" hidden="1" x14ac:dyDescent="0.25">
      <c r="A418" s="475" t="s">
        <v>2268</v>
      </c>
      <c r="B418" s="476">
        <v>29981358</v>
      </c>
      <c r="C418" s="213" t="s">
        <v>2909</v>
      </c>
      <c r="D418" s="312">
        <v>413</v>
      </c>
      <c r="E418" s="310">
        <v>20217000011163</v>
      </c>
      <c r="F418" s="477">
        <v>44256</v>
      </c>
      <c r="G418" s="312" t="s">
        <v>2910</v>
      </c>
      <c r="H418" s="213" t="s">
        <v>2911</v>
      </c>
      <c r="I418" s="213" t="s">
        <v>164</v>
      </c>
      <c r="J418" s="474">
        <v>17000000</v>
      </c>
      <c r="K418" s="213" t="s">
        <v>138</v>
      </c>
      <c r="L418" s="213" t="s">
        <v>139</v>
      </c>
      <c r="M418" s="213" t="s">
        <v>44</v>
      </c>
      <c r="N418" s="213" t="s">
        <v>45</v>
      </c>
      <c r="O418" s="213" t="s">
        <v>142</v>
      </c>
      <c r="P418" s="213" t="s">
        <v>43</v>
      </c>
      <c r="R418" s="213">
        <v>317</v>
      </c>
      <c r="S418" s="487">
        <v>44256</v>
      </c>
      <c r="T418" s="483" t="s">
        <v>4193</v>
      </c>
      <c r="U418" s="474">
        <v>17000000</v>
      </c>
      <c r="V418" s="407"/>
      <c r="W418" s="363"/>
      <c r="X418" s="480" t="s">
        <v>4194</v>
      </c>
      <c r="Y418" s="481">
        <v>44281</v>
      </c>
      <c r="Z418" s="481">
        <v>44281</v>
      </c>
      <c r="AA418" s="481">
        <v>44465</v>
      </c>
      <c r="AB418" s="482" t="s">
        <v>2913</v>
      </c>
      <c r="AC418" s="480" t="s">
        <v>4195</v>
      </c>
      <c r="AD418" s="482" t="s">
        <v>4196</v>
      </c>
      <c r="AE418" s="483" t="s">
        <v>2962</v>
      </c>
      <c r="AF418" s="472">
        <v>16353468</v>
      </c>
      <c r="AG418" s="473">
        <f t="shared" si="7"/>
        <v>646532</v>
      </c>
      <c r="AL418" s="474">
        <v>2907283</v>
      </c>
      <c r="AM418" s="307">
        <v>2725578</v>
      </c>
    </row>
    <row r="419" spans="1:39" hidden="1" x14ac:dyDescent="0.25">
      <c r="A419" s="475" t="s">
        <v>2780</v>
      </c>
      <c r="B419" s="476">
        <v>72000000</v>
      </c>
      <c r="C419" s="213" t="s">
        <v>2909</v>
      </c>
      <c r="D419" s="312">
        <v>414</v>
      </c>
      <c r="E419" s="312">
        <v>20213000014593</v>
      </c>
      <c r="F419" s="477">
        <v>44272</v>
      </c>
      <c r="G419" s="312" t="s">
        <v>2903</v>
      </c>
      <c r="H419" s="213" t="s">
        <v>2904</v>
      </c>
      <c r="I419" s="213" t="s">
        <v>432</v>
      </c>
      <c r="J419" s="474">
        <v>72000000</v>
      </c>
      <c r="K419" s="213" t="s">
        <v>342</v>
      </c>
      <c r="L419" s="213" t="s">
        <v>351</v>
      </c>
      <c r="M419" s="213" t="s">
        <v>44</v>
      </c>
      <c r="N419" s="213" t="s">
        <v>45</v>
      </c>
      <c r="O419" s="213" t="s">
        <v>63</v>
      </c>
      <c r="P419" s="213" t="s">
        <v>678</v>
      </c>
      <c r="R419" s="483">
        <v>448</v>
      </c>
      <c r="S419" s="487">
        <v>44272</v>
      </c>
      <c r="T419" s="483" t="s">
        <v>4197</v>
      </c>
      <c r="U419" s="474">
        <v>72000000</v>
      </c>
      <c r="V419" s="407"/>
      <c r="W419" s="363"/>
      <c r="X419" s="480" t="s">
        <v>4198</v>
      </c>
      <c r="Y419" s="481">
        <v>44299</v>
      </c>
      <c r="Z419" s="481">
        <v>44299</v>
      </c>
      <c r="AA419" s="481">
        <v>44543</v>
      </c>
      <c r="AB419" s="482" t="s">
        <v>2913</v>
      </c>
      <c r="AC419" s="480" t="s">
        <v>4199</v>
      </c>
      <c r="AD419" s="482" t="s">
        <v>4200</v>
      </c>
      <c r="AE419" s="483" t="s">
        <v>3094</v>
      </c>
      <c r="AF419" s="472">
        <v>72000000</v>
      </c>
      <c r="AG419" s="473">
        <f t="shared" si="7"/>
        <v>0</v>
      </c>
      <c r="AL419" s="474">
        <v>5400000</v>
      </c>
      <c r="AM419" s="307">
        <v>9000000</v>
      </c>
    </row>
    <row r="420" spans="1:39" hidden="1" x14ac:dyDescent="0.25">
      <c r="A420" s="475" t="s">
        <v>2720</v>
      </c>
      <c r="B420" s="476">
        <v>56000000</v>
      </c>
      <c r="C420" s="213" t="s">
        <v>2909</v>
      </c>
      <c r="D420" s="312">
        <v>415</v>
      </c>
      <c r="E420" s="312">
        <v>20213000014603</v>
      </c>
      <c r="F420" s="477">
        <v>44272</v>
      </c>
      <c r="G420" s="312" t="s">
        <v>2903</v>
      </c>
      <c r="H420" s="213" t="s">
        <v>2904</v>
      </c>
      <c r="I420" s="213" t="s">
        <v>432</v>
      </c>
      <c r="J420" s="474">
        <v>56000000</v>
      </c>
      <c r="K420" s="213" t="s">
        <v>342</v>
      </c>
      <c r="L420" s="213" t="s">
        <v>351</v>
      </c>
      <c r="M420" s="213" t="s">
        <v>44</v>
      </c>
      <c r="N420" s="213" t="s">
        <v>45</v>
      </c>
      <c r="O420" s="213" t="s">
        <v>63</v>
      </c>
      <c r="P420" s="213" t="s">
        <v>678</v>
      </c>
      <c r="R420" s="483">
        <v>449</v>
      </c>
      <c r="S420" s="487">
        <v>44272</v>
      </c>
      <c r="T420" s="483" t="s">
        <v>4201</v>
      </c>
      <c r="U420" s="474">
        <v>56000000</v>
      </c>
      <c r="V420" s="407"/>
      <c r="W420" s="363"/>
      <c r="X420" s="480" t="s">
        <v>3713</v>
      </c>
      <c r="Y420" s="481">
        <v>44285</v>
      </c>
      <c r="Z420" s="481">
        <v>44285</v>
      </c>
      <c r="AA420" s="481">
        <v>44530</v>
      </c>
      <c r="AB420" s="482" t="s">
        <v>2913</v>
      </c>
      <c r="AC420" s="480" t="s">
        <v>4202</v>
      </c>
      <c r="AD420" s="482" t="s">
        <v>4203</v>
      </c>
      <c r="AE420" s="483" t="s">
        <v>4204</v>
      </c>
      <c r="AF420" s="472">
        <v>56000000</v>
      </c>
      <c r="AG420" s="473">
        <f t="shared" si="7"/>
        <v>0</v>
      </c>
      <c r="AL420" s="474">
        <v>7233333</v>
      </c>
      <c r="AM420" s="307">
        <v>7000000</v>
      </c>
    </row>
    <row r="421" spans="1:39" hidden="1" x14ac:dyDescent="0.25">
      <c r="A421" s="475" t="s">
        <v>2723</v>
      </c>
      <c r="B421" s="476">
        <v>25200000</v>
      </c>
      <c r="C421" s="213" t="s">
        <v>2909</v>
      </c>
      <c r="D421" s="312">
        <v>416</v>
      </c>
      <c r="E421" s="312">
        <v>20213000014613</v>
      </c>
      <c r="F421" s="477">
        <v>44272</v>
      </c>
      <c r="G421" s="312" t="s">
        <v>2903</v>
      </c>
      <c r="H421" s="213" t="s">
        <v>2904</v>
      </c>
      <c r="I421" s="213" t="s">
        <v>432</v>
      </c>
      <c r="J421" s="474">
        <v>24530206</v>
      </c>
      <c r="K421" s="213" t="s">
        <v>342</v>
      </c>
      <c r="L421" s="213" t="s">
        <v>351</v>
      </c>
      <c r="M421" s="213" t="s">
        <v>44</v>
      </c>
      <c r="N421" s="213" t="s">
        <v>45</v>
      </c>
      <c r="O421" s="213" t="s">
        <v>63</v>
      </c>
      <c r="P421" s="213" t="s">
        <v>678</v>
      </c>
      <c r="R421" s="483">
        <v>450</v>
      </c>
      <c r="S421" s="487">
        <v>44272</v>
      </c>
      <c r="T421" s="483" t="s">
        <v>4205</v>
      </c>
      <c r="U421" s="474">
        <f>24530206-4</f>
        <v>24530202</v>
      </c>
      <c r="V421" s="407">
        <v>4</v>
      </c>
      <c r="W421" s="363"/>
      <c r="X421" s="212" t="s">
        <v>4206</v>
      </c>
      <c r="Y421" s="471">
        <v>44300</v>
      </c>
      <c r="Z421" s="471">
        <v>44300</v>
      </c>
      <c r="AA421" s="471">
        <v>44483</v>
      </c>
      <c r="AB421" s="3" t="s">
        <v>2913</v>
      </c>
      <c r="AC421" s="212" t="s">
        <v>4207</v>
      </c>
      <c r="AD421" s="3" t="s">
        <v>4208</v>
      </c>
      <c r="AE421" s="213" t="s">
        <v>4209</v>
      </c>
      <c r="AF421" s="472">
        <v>24530202</v>
      </c>
      <c r="AG421" s="473">
        <f t="shared" si="7"/>
        <v>0</v>
      </c>
      <c r="AL421" s="474">
        <v>2180462</v>
      </c>
      <c r="AM421" s="307">
        <v>4088367</v>
      </c>
    </row>
    <row r="422" spans="1:39" hidden="1" x14ac:dyDescent="0.25">
      <c r="A422" s="475" t="s">
        <v>2678</v>
      </c>
      <c r="B422" s="476">
        <v>34978251</v>
      </c>
      <c r="C422" s="213" t="s">
        <v>2909</v>
      </c>
      <c r="D422" s="312">
        <v>417</v>
      </c>
      <c r="E422" s="312">
        <v>20217000015403</v>
      </c>
      <c r="F422" s="477">
        <v>44272</v>
      </c>
      <c r="G422" s="312" t="s">
        <v>2910</v>
      </c>
      <c r="H422" s="213" t="s">
        <v>2911</v>
      </c>
      <c r="I422" s="213" t="s">
        <v>164</v>
      </c>
      <c r="J422" s="474">
        <v>12719364</v>
      </c>
      <c r="K422" s="213" t="s">
        <v>138</v>
      </c>
      <c r="L422" s="213" t="s">
        <v>139</v>
      </c>
      <c r="M422" s="213" t="s">
        <v>44</v>
      </c>
      <c r="N422" s="213" t="s">
        <v>45</v>
      </c>
      <c r="O422" s="213" t="s">
        <v>142</v>
      </c>
      <c r="P422" s="213" t="s">
        <v>43</v>
      </c>
      <c r="R422" s="483">
        <v>453</v>
      </c>
      <c r="S422" s="487">
        <v>44272</v>
      </c>
      <c r="T422" s="483" t="s">
        <v>4210</v>
      </c>
      <c r="U422" s="474">
        <v>12719364</v>
      </c>
      <c r="V422" s="407"/>
      <c r="W422" s="363"/>
      <c r="X422" s="480" t="s">
        <v>4211</v>
      </c>
      <c r="Y422" s="481">
        <v>44307</v>
      </c>
      <c r="Z422" s="481">
        <v>44307</v>
      </c>
      <c r="AA422" s="481">
        <v>44428</v>
      </c>
      <c r="AB422" s="482" t="s">
        <v>2913</v>
      </c>
      <c r="AC422" s="480" t="s">
        <v>4212</v>
      </c>
      <c r="AD422" s="482" t="s">
        <v>4213</v>
      </c>
      <c r="AE422" s="483" t="s">
        <v>3086</v>
      </c>
      <c r="AF422" s="472">
        <v>12719364</v>
      </c>
      <c r="AG422" s="473">
        <f t="shared" si="7"/>
        <v>0</v>
      </c>
      <c r="AL422" s="474">
        <v>1059947</v>
      </c>
      <c r="AM422" s="307">
        <v>3179841</v>
      </c>
    </row>
    <row r="423" spans="1:39" hidden="1" x14ac:dyDescent="0.25">
      <c r="A423" s="475" t="s">
        <v>2278</v>
      </c>
      <c r="B423" s="476">
        <v>53148771</v>
      </c>
      <c r="C423" s="213" t="s">
        <v>2909</v>
      </c>
      <c r="D423" s="312">
        <v>418</v>
      </c>
      <c r="E423" s="312">
        <v>20217000015423</v>
      </c>
      <c r="F423" s="477">
        <v>44272</v>
      </c>
      <c r="G423" s="312" t="s">
        <v>2910</v>
      </c>
      <c r="H423" s="213" t="s">
        <v>2911</v>
      </c>
      <c r="I423" s="213" t="s">
        <v>164</v>
      </c>
      <c r="J423" s="474">
        <v>41337933</v>
      </c>
      <c r="K423" s="213" t="s">
        <v>138</v>
      </c>
      <c r="L423" s="213" t="s">
        <v>139</v>
      </c>
      <c r="M423" s="213" t="s">
        <v>44</v>
      </c>
      <c r="N423" s="213" t="s">
        <v>45</v>
      </c>
      <c r="O423" s="213" t="s">
        <v>142</v>
      </c>
      <c r="P423" s="213" t="s">
        <v>43</v>
      </c>
      <c r="R423" s="483">
        <v>454</v>
      </c>
      <c r="S423" s="487">
        <v>44272</v>
      </c>
      <c r="T423" s="483" t="s">
        <v>4214</v>
      </c>
      <c r="U423" s="474">
        <v>41337933</v>
      </c>
      <c r="V423" s="407"/>
      <c r="W423" s="363"/>
      <c r="X423" s="480" t="s">
        <v>4215</v>
      </c>
      <c r="Y423" s="481">
        <v>44306</v>
      </c>
      <c r="Z423" s="481">
        <v>44306</v>
      </c>
      <c r="AA423" s="481">
        <v>44519</v>
      </c>
      <c r="AB423" s="482" t="s">
        <v>2913</v>
      </c>
      <c r="AC423" s="480" t="s">
        <v>3992</v>
      </c>
      <c r="AD423" s="482" t="s">
        <v>4216</v>
      </c>
      <c r="AE423" s="483" t="s">
        <v>4217</v>
      </c>
      <c r="AF423" s="472">
        <v>41337933</v>
      </c>
      <c r="AG423" s="473">
        <f t="shared" si="7"/>
        <v>0</v>
      </c>
      <c r="AL423" s="474">
        <v>1968473</v>
      </c>
      <c r="AM423" s="307">
        <v>5905419</v>
      </c>
    </row>
    <row r="424" spans="1:39" hidden="1" x14ac:dyDescent="0.25">
      <c r="A424" s="475" t="s">
        <v>2271</v>
      </c>
      <c r="B424" s="476">
        <v>34978251</v>
      </c>
      <c r="C424" s="213" t="s">
        <v>2909</v>
      </c>
      <c r="D424" s="312">
        <v>419</v>
      </c>
      <c r="E424" s="312">
        <v>20217000015353</v>
      </c>
      <c r="F424" s="477">
        <v>44273</v>
      </c>
      <c r="G424" s="312" t="s">
        <v>2910</v>
      </c>
      <c r="H424" s="213" t="s">
        <v>2911</v>
      </c>
      <c r="I424" s="213" t="s">
        <v>164</v>
      </c>
      <c r="J424" s="474">
        <v>12719364</v>
      </c>
      <c r="K424" s="213" t="s">
        <v>138</v>
      </c>
      <c r="L424" s="213" t="s">
        <v>139</v>
      </c>
      <c r="M424" s="213" t="s">
        <v>44</v>
      </c>
      <c r="N424" s="213" t="s">
        <v>45</v>
      </c>
      <c r="O424" s="213" t="s">
        <v>142</v>
      </c>
      <c r="P424" s="213" t="s">
        <v>43</v>
      </c>
      <c r="R424" s="483">
        <v>455</v>
      </c>
      <c r="S424" s="487">
        <v>44274</v>
      </c>
      <c r="T424" s="483" t="s">
        <v>4218</v>
      </c>
      <c r="U424" s="474">
        <v>12719364</v>
      </c>
      <c r="V424" s="407"/>
      <c r="W424" s="363"/>
      <c r="X424" s="480" t="s">
        <v>4219</v>
      </c>
      <c r="Y424" s="481">
        <v>44286</v>
      </c>
      <c r="Z424" s="481">
        <v>44286</v>
      </c>
      <c r="AA424" s="481">
        <v>44408</v>
      </c>
      <c r="AB424" s="482" t="s">
        <v>2913</v>
      </c>
      <c r="AC424" s="480" t="s">
        <v>4220</v>
      </c>
      <c r="AD424" s="482" t="s">
        <v>4221</v>
      </c>
      <c r="AE424" s="483" t="s">
        <v>3058</v>
      </c>
      <c r="AF424" s="472">
        <v>12719364</v>
      </c>
      <c r="AG424" s="473">
        <f t="shared" si="7"/>
        <v>0</v>
      </c>
      <c r="AL424" s="474">
        <v>2755862</v>
      </c>
      <c r="AM424" s="307">
        <v>3179841</v>
      </c>
    </row>
    <row r="425" spans="1:39" hidden="1" x14ac:dyDescent="0.25">
      <c r="B425" s="498" t="s">
        <v>2946</v>
      </c>
      <c r="C425" s="213" t="s">
        <v>4222</v>
      </c>
      <c r="D425" s="312">
        <v>420</v>
      </c>
      <c r="E425" s="312">
        <v>20217000015503</v>
      </c>
      <c r="F425" s="477">
        <v>44273</v>
      </c>
      <c r="G425" s="312" t="s">
        <v>2910</v>
      </c>
      <c r="H425" s="213" t="s">
        <v>2911</v>
      </c>
      <c r="I425" s="213" t="s">
        <v>164</v>
      </c>
      <c r="J425" s="474">
        <v>5299818</v>
      </c>
      <c r="K425" s="213" t="s">
        <v>138</v>
      </c>
      <c r="L425" s="213" t="s">
        <v>139</v>
      </c>
      <c r="M425" s="213" t="s">
        <v>44</v>
      </c>
      <c r="N425" s="213" t="s">
        <v>45</v>
      </c>
      <c r="O425" s="213" t="s">
        <v>142</v>
      </c>
      <c r="P425" s="213" t="s">
        <v>43</v>
      </c>
      <c r="R425" s="483">
        <v>456</v>
      </c>
      <c r="S425" s="487">
        <v>44274</v>
      </c>
      <c r="T425" s="483" t="s">
        <v>4223</v>
      </c>
      <c r="U425" s="474">
        <v>5299818</v>
      </c>
      <c r="V425" s="407"/>
      <c r="W425" s="363"/>
      <c r="X425" s="480" t="s">
        <v>4224</v>
      </c>
      <c r="Y425" s="481">
        <v>44285</v>
      </c>
      <c r="Z425" s="481">
        <v>44285</v>
      </c>
      <c r="AA425" s="481">
        <v>44329</v>
      </c>
      <c r="AB425" s="482" t="s">
        <v>2913</v>
      </c>
      <c r="AC425" s="480" t="s">
        <v>4225</v>
      </c>
      <c r="AD425" s="482" t="s">
        <v>4226</v>
      </c>
      <c r="AE425" s="483" t="s">
        <v>4227</v>
      </c>
      <c r="AF425" s="472">
        <v>5266818</v>
      </c>
      <c r="AG425" s="473">
        <f t="shared" si="7"/>
        <v>33000</v>
      </c>
      <c r="AK425" s="474">
        <v>117040</v>
      </c>
      <c r="AL425" s="474">
        <v>3511212</v>
      </c>
      <c r="AM425" s="307">
        <v>1521525</v>
      </c>
    </row>
    <row r="426" spans="1:39" hidden="1" x14ac:dyDescent="0.25">
      <c r="A426" s="475" t="s">
        <v>2681</v>
      </c>
      <c r="B426" s="476">
        <v>64260000</v>
      </c>
      <c r="C426" s="213" t="s">
        <v>2909</v>
      </c>
      <c r="D426" s="312">
        <v>421</v>
      </c>
      <c r="E426" s="312">
        <v>20212000015563</v>
      </c>
      <c r="F426" s="477">
        <v>44273</v>
      </c>
      <c r="G426" s="312" t="s">
        <v>2903</v>
      </c>
      <c r="H426" s="213" t="s">
        <v>2904</v>
      </c>
      <c r="I426" s="213" t="s">
        <v>391</v>
      </c>
      <c r="J426" s="474">
        <v>60690000</v>
      </c>
      <c r="K426" s="211" t="s">
        <v>2974</v>
      </c>
      <c r="L426" s="213" t="s">
        <v>2975</v>
      </c>
      <c r="M426" s="213" t="s">
        <v>44</v>
      </c>
      <c r="N426" s="213" t="s">
        <v>45</v>
      </c>
      <c r="O426" s="213" t="s">
        <v>63</v>
      </c>
      <c r="P426" s="213" t="s">
        <v>678</v>
      </c>
      <c r="R426" s="483">
        <v>457</v>
      </c>
      <c r="S426" s="487">
        <v>44274</v>
      </c>
      <c r="T426" s="483" t="s">
        <v>4228</v>
      </c>
      <c r="U426" s="474">
        <v>60690000</v>
      </c>
      <c r="V426" s="407"/>
      <c r="W426" s="363"/>
      <c r="X426" s="480" t="s">
        <v>4229</v>
      </c>
      <c r="Y426" s="481">
        <v>44307</v>
      </c>
      <c r="Z426" s="481">
        <v>44307</v>
      </c>
      <c r="AA426" s="481">
        <v>44550</v>
      </c>
      <c r="AB426" s="482" t="s">
        <v>2913</v>
      </c>
      <c r="AC426" s="480" t="s">
        <v>4072</v>
      </c>
      <c r="AD426" s="482" t="s">
        <v>4230</v>
      </c>
      <c r="AE426" s="483" t="s">
        <v>4231</v>
      </c>
      <c r="AF426" s="472">
        <v>57120000</v>
      </c>
      <c r="AG426" s="473">
        <f t="shared" si="7"/>
        <v>3570000</v>
      </c>
      <c r="AL426" s="474">
        <v>2380000</v>
      </c>
      <c r="AM426" s="307">
        <v>7140000</v>
      </c>
    </row>
    <row r="427" spans="1:39" hidden="1" x14ac:dyDescent="0.25">
      <c r="A427" s="475" t="s">
        <v>2683</v>
      </c>
      <c r="B427" s="476">
        <v>64260000</v>
      </c>
      <c r="C427" s="213" t="s">
        <v>2909</v>
      </c>
      <c r="D427" s="312">
        <v>422</v>
      </c>
      <c r="E427" s="312">
        <v>20212000015603</v>
      </c>
      <c r="F427" s="477">
        <v>44273</v>
      </c>
      <c r="G427" s="312" t="s">
        <v>2903</v>
      </c>
      <c r="H427" s="213" t="s">
        <v>2904</v>
      </c>
      <c r="I427" s="213" t="s">
        <v>391</v>
      </c>
      <c r="J427" s="474">
        <v>64260000</v>
      </c>
      <c r="K427" s="213" t="s">
        <v>396</v>
      </c>
      <c r="L427" s="213" t="s">
        <v>397</v>
      </c>
      <c r="M427" s="213" t="s">
        <v>44</v>
      </c>
      <c r="N427" s="213" t="s">
        <v>45</v>
      </c>
      <c r="O427" s="213" t="s">
        <v>63</v>
      </c>
      <c r="P427" s="213" t="s">
        <v>678</v>
      </c>
      <c r="R427" s="483">
        <v>458</v>
      </c>
      <c r="S427" s="487">
        <v>44274</v>
      </c>
      <c r="T427" s="483" t="s">
        <v>4232</v>
      </c>
      <c r="U427" s="474">
        <v>64260000</v>
      </c>
      <c r="V427" s="407"/>
      <c r="W427" s="363"/>
      <c r="X427" s="480" t="s">
        <v>4233</v>
      </c>
      <c r="Y427" s="481">
        <v>44307</v>
      </c>
      <c r="Z427" s="481">
        <v>44307</v>
      </c>
      <c r="AA427" s="481">
        <v>44549</v>
      </c>
      <c r="AB427" s="482" t="s">
        <v>2913</v>
      </c>
      <c r="AC427" s="480" t="s">
        <v>2106</v>
      </c>
      <c r="AD427" s="482" t="s">
        <v>4234</v>
      </c>
      <c r="AE427" s="483" t="s">
        <v>4235</v>
      </c>
      <c r="AF427" s="472">
        <v>57120000</v>
      </c>
      <c r="AG427" s="473">
        <f t="shared" si="7"/>
        <v>7140000</v>
      </c>
      <c r="AL427" s="474">
        <v>2380000</v>
      </c>
      <c r="AM427" s="307">
        <v>7140000</v>
      </c>
    </row>
    <row r="428" spans="1:39" hidden="1" x14ac:dyDescent="0.25">
      <c r="A428" s="475" t="s">
        <v>2684</v>
      </c>
      <c r="B428" s="476">
        <v>64260000</v>
      </c>
      <c r="C428" s="213" t="s">
        <v>2909</v>
      </c>
      <c r="D428" s="312">
        <v>423</v>
      </c>
      <c r="E428" s="312">
        <v>20212000015633</v>
      </c>
      <c r="F428" s="477">
        <v>44273</v>
      </c>
      <c r="G428" s="312" t="s">
        <v>2903</v>
      </c>
      <c r="H428" s="213" t="s">
        <v>2904</v>
      </c>
      <c r="I428" s="213" t="s">
        <v>391</v>
      </c>
      <c r="J428" s="474">
        <v>64260000</v>
      </c>
      <c r="K428" s="211" t="s">
        <v>2974</v>
      </c>
      <c r="L428" s="213" t="s">
        <v>2975</v>
      </c>
      <c r="M428" s="213" t="s">
        <v>44</v>
      </c>
      <c r="N428" s="213" t="s">
        <v>45</v>
      </c>
      <c r="O428" s="213" t="s">
        <v>63</v>
      </c>
      <c r="P428" s="213" t="s">
        <v>678</v>
      </c>
      <c r="R428" s="483">
        <v>459</v>
      </c>
      <c r="S428" s="487">
        <v>44274</v>
      </c>
      <c r="T428" s="483" t="s">
        <v>4236</v>
      </c>
      <c r="U428" s="474">
        <v>64260000</v>
      </c>
      <c r="V428" s="407"/>
      <c r="W428" s="363"/>
      <c r="X428" s="480" t="s">
        <v>4237</v>
      </c>
      <c r="Y428" s="481">
        <v>44319</v>
      </c>
      <c r="Z428" s="481">
        <v>44319</v>
      </c>
      <c r="AA428" s="481">
        <v>44561</v>
      </c>
      <c r="AB428" s="483" t="s">
        <v>2913</v>
      </c>
      <c r="AC428" s="480" t="s">
        <v>3617</v>
      </c>
      <c r="AD428" s="483" t="s">
        <v>4238</v>
      </c>
      <c r="AE428" s="483" t="s">
        <v>4239</v>
      </c>
      <c r="AF428" s="472">
        <v>57120000</v>
      </c>
      <c r="AG428" s="473">
        <f t="shared" si="7"/>
        <v>7140000</v>
      </c>
      <c r="AM428" s="307">
        <v>6188000</v>
      </c>
    </row>
    <row r="429" spans="1:39" hidden="1" x14ac:dyDescent="0.25">
      <c r="A429" s="465" t="s">
        <v>2685</v>
      </c>
      <c r="B429" s="466">
        <v>64260000</v>
      </c>
      <c r="C429" s="213" t="s">
        <v>2909</v>
      </c>
      <c r="D429" s="468">
        <v>424</v>
      </c>
      <c r="E429" s="468">
        <v>20212000015643</v>
      </c>
      <c r="F429" s="469">
        <v>44273</v>
      </c>
      <c r="G429" s="468" t="s">
        <v>2903</v>
      </c>
      <c r="H429" s="467" t="s">
        <v>2904</v>
      </c>
      <c r="I429" s="467" t="s">
        <v>391</v>
      </c>
      <c r="J429" s="470">
        <v>64260000</v>
      </c>
      <c r="K429" s="467" t="s">
        <v>396</v>
      </c>
      <c r="L429" s="467" t="s">
        <v>397</v>
      </c>
      <c r="M429" s="467" t="s">
        <v>44</v>
      </c>
      <c r="N429" s="467" t="s">
        <v>45</v>
      </c>
      <c r="O429" s="467" t="s">
        <v>63</v>
      </c>
      <c r="P429" s="213" t="s">
        <v>678</v>
      </c>
      <c r="Q429" s="467"/>
      <c r="R429" s="526">
        <v>460</v>
      </c>
      <c r="S429" s="525">
        <v>44274</v>
      </c>
      <c r="T429" s="526" t="s">
        <v>4240</v>
      </c>
      <c r="U429" s="470">
        <v>64260000</v>
      </c>
      <c r="V429" s="415"/>
      <c r="W429" s="380"/>
      <c r="X429" s="480" t="s">
        <v>4241</v>
      </c>
      <c r="Y429" s="481">
        <v>44299</v>
      </c>
      <c r="Z429" s="481">
        <v>44299</v>
      </c>
      <c r="AA429" s="481">
        <v>44561</v>
      </c>
      <c r="AB429" s="482" t="s">
        <v>2913</v>
      </c>
      <c r="AC429" s="480" t="s">
        <v>3911</v>
      </c>
      <c r="AD429" s="482" t="s">
        <v>4242</v>
      </c>
      <c r="AE429" s="483" t="s">
        <v>4243</v>
      </c>
      <c r="AF429" s="472">
        <v>60690000</v>
      </c>
      <c r="AG429" s="473">
        <f t="shared" si="7"/>
        <v>3570000</v>
      </c>
      <c r="AI429" s="470"/>
      <c r="AJ429" s="470"/>
      <c r="AK429" s="470"/>
      <c r="AL429" s="470">
        <v>4046000</v>
      </c>
      <c r="AM429" s="307">
        <v>7140000</v>
      </c>
    </row>
    <row r="430" spans="1:39" hidden="1" x14ac:dyDescent="0.25">
      <c r="A430" s="475" t="s">
        <v>2661</v>
      </c>
      <c r="B430" s="476">
        <v>64260000</v>
      </c>
      <c r="C430" s="213" t="s">
        <v>2909</v>
      </c>
      <c r="D430" s="312">
        <v>425</v>
      </c>
      <c r="E430" s="312">
        <v>20212000015653</v>
      </c>
      <c r="F430" s="477">
        <v>44273</v>
      </c>
      <c r="G430" s="312" t="s">
        <v>2903</v>
      </c>
      <c r="H430" s="213" t="s">
        <v>2904</v>
      </c>
      <c r="I430" s="213" t="s">
        <v>391</v>
      </c>
      <c r="J430" s="474">
        <v>49470000</v>
      </c>
      <c r="K430" s="213" t="s">
        <v>396</v>
      </c>
      <c r="L430" s="213" t="s">
        <v>397</v>
      </c>
      <c r="M430" s="213" t="s">
        <v>44</v>
      </c>
      <c r="N430" s="213" t="s">
        <v>45</v>
      </c>
      <c r="O430" s="213" t="s">
        <v>63</v>
      </c>
      <c r="P430" s="213" t="s">
        <v>678</v>
      </c>
      <c r="R430" s="483">
        <v>461</v>
      </c>
      <c r="S430" s="487">
        <v>44274</v>
      </c>
      <c r="T430" s="483" t="s">
        <v>4244</v>
      </c>
      <c r="U430" s="474">
        <v>49470000</v>
      </c>
      <c r="V430" s="407"/>
      <c r="W430" s="363"/>
      <c r="X430" s="480" t="s">
        <v>4245</v>
      </c>
      <c r="Y430" s="481">
        <v>44294</v>
      </c>
      <c r="Z430" s="481">
        <v>44294</v>
      </c>
      <c r="AA430" s="481">
        <v>44550</v>
      </c>
      <c r="AB430" s="482" t="s">
        <v>2913</v>
      </c>
      <c r="AC430" s="480" t="s">
        <v>3915</v>
      </c>
      <c r="AD430" s="482" t="s">
        <v>4246</v>
      </c>
      <c r="AE430" s="483" t="s">
        <v>4247</v>
      </c>
      <c r="AF430" s="472">
        <v>49470000</v>
      </c>
      <c r="AG430" s="473">
        <f t="shared" si="7"/>
        <v>0</v>
      </c>
      <c r="AL430" s="474">
        <v>4462000</v>
      </c>
      <c r="AM430" s="307">
        <v>5820000</v>
      </c>
    </row>
    <row r="431" spans="1:39" hidden="1" x14ac:dyDescent="0.25">
      <c r="B431" s="498" t="s">
        <v>2946</v>
      </c>
      <c r="C431" s="213" t="s">
        <v>4248</v>
      </c>
      <c r="D431" s="312">
        <v>426</v>
      </c>
      <c r="E431" s="312">
        <v>20211300015853</v>
      </c>
      <c r="F431" s="477">
        <v>44274</v>
      </c>
      <c r="G431" s="312" t="s">
        <v>2910</v>
      </c>
      <c r="H431" s="213" t="s">
        <v>2911</v>
      </c>
      <c r="I431" s="213" t="s">
        <v>210</v>
      </c>
      <c r="J431" s="474">
        <v>11411438</v>
      </c>
      <c r="K431" s="213" t="s">
        <v>138</v>
      </c>
      <c r="L431" s="213" t="s">
        <v>139</v>
      </c>
      <c r="M431" s="213" t="s">
        <v>44</v>
      </c>
      <c r="N431" s="213" t="s">
        <v>45</v>
      </c>
      <c r="O431" s="213" t="s">
        <v>142</v>
      </c>
      <c r="P431" s="213" t="s">
        <v>43</v>
      </c>
      <c r="R431" s="483">
        <v>462</v>
      </c>
      <c r="S431" s="487">
        <v>44274</v>
      </c>
      <c r="T431" s="483" t="s">
        <v>4249</v>
      </c>
      <c r="U431" s="474">
        <v>11411438</v>
      </c>
      <c r="V431" s="407"/>
      <c r="W431" s="363"/>
      <c r="X431" s="480" t="s">
        <v>3975</v>
      </c>
      <c r="Y431" s="481">
        <v>44285</v>
      </c>
      <c r="Z431" s="481">
        <v>44287</v>
      </c>
      <c r="AA431" s="481">
        <v>44347</v>
      </c>
      <c r="AB431" s="482" t="s">
        <v>2913</v>
      </c>
      <c r="AC431" s="480" t="s">
        <v>4250</v>
      </c>
      <c r="AD431" s="482" t="s">
        <v>4251</v>
      </c>
      <c r="AE431" s="483" t="s">
        <v>4252</v>
      </c>
      <c r="AF431" s="472">
        <v>11411438</v>
      </c>
      <c r="AG431" s="473">
        <f t="shared" si="7"/>
        <v>0</v>
      </c>
      <c r="AL431" s="474">
        <v>5705719</v>
      </c>
      <c r="AM431" s="307">
        <v>5705719</v>
      </c>
    </row>
    <row r="432" spans="1:39" hidden="1" x14ac:dyDescent="0.25">
      <c r="B432" s="498" t="s">
        <v>2946</v>
      </c>
      <c r="C432" s="213" t="s">
        <v>4253</v>
      </c>
      <c r="D432" s="312">
        <v>427</v>
      </c>
      <c r="E432" s="312">
        <v>20211300015873</v>
      </c>
      <c r="F432" s="477">
        <v>44274</v>
      </c>
      <c r="G432" s="312" t="s">
        <v>2910</v>
      </c>
      <c r="H432" s="213" t="s">
        <v>2911</v>
      </c>
      <c r="I432" s="213" t="s">
        <v>210</v>
      </c>
      <c r="J432" s="474">
        <v>12874444</v>
      </c>
      <c r="K432" s="213" t="s">
        <v>138</v>
      </c>
      <c r="L432" s="213" t="s">
        <v>139</v>
      </c>
      <c r="M432" s="213" t="s">
        <v>44</v>
      </c>
      <c r="N432" s="213" t="s">
        <v>45</v>
      </c>
      <c r="O432" s="213" t="s">
        <v>142</v>
      </c>
      <c r="P432" s="213" t="s">
        <v>43</v>
      </c>
      <c r="R432" s="483">
        <v>464</v>
      </c>
      <c r="S432" s="487">
        <v>44274</v>
      </c>
      <c r="T432" s="483" t="s">
        <v>4254</v>
      </c>
      <c r="U432" s="474">
        <v>12874444</v>
      </c>
      <c r="V432" s="407"/>
      <c r="W432" s="363"/>
      <c r="X432" s="480" t="s">
        <v>3190</v>
      </c>
      <c r="Y432" s="481">
        <v>44285</v>
      </c>
      <c r="Z432" s="481">
        <v>44286</v>
      </c>
      <c r="AA432" s="481">
        <v>44340</v>
      </c>
      <c r="AB432" s="482" t="s">
        <v>2913</v>
      </c>
      <c r="AC432" s="480" t="s">
        <v>4255</v>
      </c>
      <c r="AD432" s="482" t="s">
        <v>4256</v>
      </c>
      <c r="AE432" s="483" t="s">
        <v>4257</v>
      </c>
      <c r="AF432" s="472">
        <v>12874444</v>
      </c>
      <c r="AG432" s="473">
        <f t="shared" si="7"/>
        <v>0</v>
      </c>
      <c r="AL432" s="474">
        <v>7022424</v>
      </c>
      <c r="AM432" s="307">
        <v>5617939</v>
      </c>
    </row>
    <row r="433" spans="1:39" hidden="1" x14ac:dyDescent="0.25">
      <c r="B433" s="498" t="s">
        <v>2946</v>
      </c>
      <c r="C433" s="213" t="s">
        <v>4258</v>
      </c>
      <c r="D433" s="312">
        <v>428</v>
      </c>
      <c r="E433" s="312">
        <v>20211300015863</v>
      </c>
      <c r="F433" s="477">
        <v>44274</v>
      </c>
      <c r="G433" s="312" t="s">
        <v>2910</v>
      </c>
      <c r="H433" s="213" t="s">
        <v>2911</v>
      </c>
      <c r="I433" s="213" t="s">
        <v>210</v>
      </c>
      <c r="J433" s="474">
        <v>11411438</v>
      </c>
      <c r="K433" s="213" t="s">
        <v>138</v>
      </c>
      <c r="L433" s="213" t="s">
        <v>139</v>
      </c>
      <c r="M433" s="213" t="s">
        <v>44</v>
      </c>
      <c r="N433" s="213" t="s">
        <v>45</v>
      </c>
      <c r="O433" s="213" t="s">
        <v>142</v>
      </c>
      <c r="P433" s="213" t="s">
        <v>43</v>
      </c>
      <c r="R433" s="483">
        <v>463</v>
      </c>
      <c r="S433" s="487">
        <v>44274</v>
      </c>
      <c r="T433" s="483" t="s">
        <v>4259</v>
      </c>
      <c r="U433" s="474">
        <v>11411438</v>
      </c>
      <c r="V433" s="407"/>
      <c r="W433" s="363"/>
      <c r="X433" s="480" t="s">
        <v>4177</v>
      </c>
      <c r="Y433" s="481">
        <v>44285</v>
      </c>
      <c r="Z433" s="481">
        <v>44287</v>
      </c>
      <c r="AA433" s="481">
        <v>44347</v>
      </c>
      <c r="AB433" s="482" t="s">
        <v>2913</v>
      </c>
      <c r="AC433" s="480" t="s">
        <v>4260</v>
      </c>
      <c r="AD433" s="482" t="s">
        <v>4261</v>
      </c>
      <c r="AE433" s="483" t="s">
        <v>4262</v>
      </c>
      <c r="AF433" s="472">
        <v>11411438</v>
      </c>
      <c r="AG433" s="473">
        <f t="shared" si="7"/>
        <v>0</v>
      </c>
      <c r="AL433" s="474">
        <v>5705719</v>
      </c>
      <c r="AM433" s="307">
        <v>5705719</v>
      </c>
    </row>
    <row r="434" spans="1:39" hidden="1" x14ac:dyDescent="0.25">
      <c r="A434" s="475" t="s">
        <v>2673</v>
      </c>
      <c r="B434" s="476">
        <v>65413872</v>
      </c>
      <c r="C434" s="213" t="s">
        <v>2909</v>
      </c>
      <c r="D434" s="312">
        <v>429</v>
      </c>
      <c r="E434" s="312">
        <v>20217000015983</v>
      </c>
      <c r="F434" s="477">
        <v>44274</v>
      </c>
      <c r="G434" s="312" t="s">
        <v>2910</v>
      </c>
      <c r="H434" s="213" t="s">
        <v>2911</v>
      </c>
      <c r="I434" s="213" t="s">
        <v>164</v>
      </c>
      <c r="J434" s="474">
        <v>62400000</v>
      </c>
      <c r="K434" s="213" t="s">
        <v>138</v>
      </c>
      <c r="L434" s="213" t="s">
        <v>139</v>
      </c>
      <c r="M434" s="213" t="s">
        <v>44</v>
      </c>
      <c r="N434" s="213" t="s">
        <v>45</v>
      </c>
      <c r="O434" s="213" t="s">
        <v>142</v>
      </c>
      <c r="P434" s="213" t="s">
        <v>43</v>
      </c>
      <c r="R434" s="483">
        <v>469</v>
      </c>
      <c r="S434" s="487">
        <v>44274</v>
      </c>
      <c r="T434" s="483" t="s">
        <v>4263</v>
      </c>
      <c r="U434" s="474">
        <v>62400000</v>
      </c>
      <c r="V434" s="407"/>
      <c r="W434" s="363"/>
      <c r="X434" s="480" t="s">
        <v>4264</v>
      </c>
      <c r="Y434" s="481">
        <v>44299</v>
      </c>
      <c r="Z434" s="481">
        <v>44299</v>
      </c>
      <c r="AA434" s="481">
        <v>44543</v>
      </c>
      <c r="AB434" s="482" t="s">
        <v>2913</v>
      </c>
      <c r="AC434" s="480" t="s">
        <v>4119</v>
      </c>
      <c r="AD434" s="482" t="s">
        <v>4265</v>
      </c>
      <c r="AE434" s="483" t="s">
        <v>2968</v>
      </c>
      <c r="AF434" s="472">
        <v>62400000</v>
      </c>
      <c r="AG434" s="473">
        <f t="shared" si="7"/>
        <v>0</v>
      </c>
      <c r="AL434" s="474">
        <v>4160000</v>
      </c>
      <c r="AM434" s="307">
        <v>7800000</v>
      </c>
    </row>
    <row r="435" spans="1:39" hidden="1" x14ac:dyDescent="0.25">
      <c r="A435" s="475" t="s">
        <v>2674</v>
      </c>
      <c r="B435" s="476">
        <v>65413872</v>
      </c>
      <c r="C435" s="213" t="s">
        <v>2909</v>
      </c>
      <c r="D435" s="312">
        <v>430</v>
      </c>
      <c r="E435" s="312">
        <v>20217000015993</v>
      </c>
      <c r="F435" s="477">
        <v>44274</v>
      </c>
      <c r="G435" s="312" t="s">
        <v>2910</v>
      </c>
      <c r="H435" s="213" t="s">
        <v>2911</v>
      </c>
      <c r="I435" s="213" t="s">
        <v>164</v>
      </c>
      <c r="J435" s="474">
        <v>54600000</v>
      </c>
      <c r="K435" s="213" t="s">
        <v>138</v>
      </c>
      <c r="L435" s="213" t="s">
        <v>139</v>
      </c>
      <c r="M435" s="213" t="s">
        <v>44</v>
      </c>
      <c r="N435" s="213" t="s">
        <v>45</v>
      </c>
      <c r="O435" s="213" t="s">
        <v>142</v>
      </c>
      <c r="P435" s="213" t="s">
        <v>43</v>
      </c>
      <c r="R435" s="483">
        <v>470</v>
      </c>
      <c r="S435" s="487">
        <v>44274</v>
      </c>
      <c r="T435" s="483" t="s">
        <v>4266</v>
      </c>
      <c r="U435" s="474">
        <v>54600000</v>
      </c>
      <c r="V435" s="407"/>
      <c r="W435" s="363"/>
      <c r="X435" s="212" t="s">
        <v>4267</v>
      </c>
      <c r="Y435" s="471">
        <v>44300</v>
      </c>
      <c r="Z435" s="471">
        <v>44300</v>
      </c>
      <c r="AA435" s="471">
        <v>44514</v>
      </c>
      <c r="AB435" s="3" t="s">
        <v>2913</v>
      </c>
      <c r="AC435" s="212" t="s">
        <v>4268</v>
      </c>
      <c r="AD435" s="3" t="s">
        <v>4269</v>
      </c>
      <c r="AE435" s="213" t="s">
        <v>3074</v>
      </c>
      <c r="AF435" s="472">
        <v>54600000</v>
      </c>
      <c r="AG435" s="473">
        <f t="shared" si="7"/>
        <v>0</v>
      </c>
      <c r="AL435" s="474">
        <v>4160000</v>
      </c>
      <c r="AM435" s="307">
        <v>7800000</v>
      </c>
    </row>
    <row r="436" spans="1:39" hidden="1" x14ac:dyDescent="0.25">
      <c r="A436" s="475" t="s">
        <v>2561</v>
      </c>
      <c r="B436" s="476">
        <v>27500000</v>
      </c>
      <c r="C436" s="213" t="s">
        <v>2909</v>
      </c>
      <c r="D436" s="312">
        <v>431</v>
      </c>
      <c r="E436" s="312">
        <v>20211100014113</v>
      </c>
      <c r="F436" s="311">
        <v>44265</v>
      </c>
      <c r="G436" s="310" t="s">
        <v>2910</v>
      </c>
      <c r="H436" s="211" t="s">
        <v>2911</v>
      </c>
      <c r="I436" s="211" t="s">
        <v>206</v>
      </c>
      <c r="J436" s="408">
        <v>27500000</v>
      </c>
      <c r="K436" s="211" t="s">
        <v>138</v>
      </c>
      <c r="L436" s="211" t="s">
        <v>139</v>
      </c>
      <c r="M436" s="211" t="s">
        <v>44</v>
      </c>
      <c r="N436" s="211" t="s">
        <v>45</v>
      </c>
      <c r="O436" s="211" t="s">
        <v>142</v>
      </c>
      <c r="P436" s="211" t="s">
        <v>43</v>
      </c>
      <c r="Q436" s="211"/>
      <c r="R436" s="213">
        <v>405</v>
      </c>
      <c r="S436" s="487">
        <v>44266</v>
      </c>
      <c r="T436" s="483" t="s">
        <v>4270</v>
      </c>
      <c r="U436" s="474">
        <v>27500000</v>
      </c>
      <c r="V436" s="407"/>
      <c r="W436" s="363"/>
      <c r="X436" s="480" t="s">
        <v>3872</v>
      </c>
      <c r="Y436" s="481">
        <v>44281</v>
      </c>
      <c r="Z436" s="481">
        <v>44281</v>
      </c>
      <c r="AA436" s="481">
        <v>44434</v>
      </c>
      <c r="AB436" s="482" t="s">
        <v>2913</v>
      </c>
      <c r="AC436" s="480" t="s">
        <v>4271</v>
      </c>
      <c r="AD436" s="482" t="s">
        <v>4272</v>
      </c>
      <c r="AE436" s="483" t="s">
        <v>4273</v>
      </c>
      <c r="AF436" s="472">
        <v>27500000</v>
      </c>
      <c r="AG436" s="473">
        <f t="shared" si="7"/>
        <v>0</v>
      </c>
      <c r="AL436" s="474">
        <v>5866666</v>
      </c>
      <c r="AM436" s="307">
        <v>5500000</v>
      </c>
    </row>
    <row r="437" spans="1:39" hidden="1" x14ac:dyDescent="0.25">
      <c r="A437" s="475" t="s">
        <v>2040</v>
      </c>
      <c r="B437" s="476">
        <v>59500000</v>
      </c>
      <c r="C437" s="213" t="s">
        <v>2909</v>
      </c>
      <c r="D437" s="312">
        <v>432</v>
      </c>
      <c r="E437" s="312">
        <v>20211400015033</v>
      </c>
      <c r="F437" s="477">
        <v>44274</v>
      </c>
      <c r="G437" s="312" t="s">
        <v>2910</v>
      </c>
      <c r="H437" s="213" t="s">
        <v>2911</v>
      </c>
      <c r="I437" s="213" t="s">
        <v>184</v>
      </c>
      <c r="J437" s="474">
        <v>59500000</v>
      </c>
      <c r="K437" s="213" t="s">
        <v>138</v>
      </c>
      <c r="L437" s="213" t="s">
        <v>2915</v>
      </c>
      <c r="M437" s="213" t="s">
        <v>44</v>
      </c>
      <c r="N437" s="213" t="s">
        <v>45</v>
      </c>
      <c r="O437" s="213" t="s">
        <v>142</v>
      </c>
      <c r="P437" s="213" t="s">
        <v>43</v>
      </c>
      <c r="R437" s="483">
        <v>467</v>
      </c>
      <c r="S437" s="487">
        <v>44274</v>
      </c>
      <c r="T437" s="483" t="s">
        <v>4274</v>
      </c>
      <c r="U437" s="474">
        <v>59500000</v>
      </c>
      <c r="V437" s="407"/>
      <c r="W437" s="363"/>
      <c r="X437" s="480" t="s">
        <v>4275</v>
      </c>
      <c r="Y437" s="481">
        <v>44299</v>
      </c>
      <c r="Z437" s="481">
        <v>44299</v>
      </c>
      <c r="AA437" s="481">
        <v>44513</v>
      </c>
      <c r="AB437" s="482" t="s">
        <v>2913</v>
      </c>
      <c r="AC437" s="480" t="s">
        <v>4194</v>
      </c>
      <c r="AD437" s="482" t="s">
        <v>4276</v>
      </c>
      <c r="AE437" s="483" t="s">
        <v>4277</v>
      </c>
      <c r="AF437" s="472">
        <v>59500000</v>
      </c>
      <c r="AG437" s="473">
        <f t="shared" si="7"/>
        <v>0</v>
      </c>
      <c r="AL437" s="474">
        <v>5100000</v>
      </c>
      <c r="AM437" s="307">
        <v>8500000</v>
      </c>
    </row>
    <row r="438" spans="1:39" hidden="1" x14ac:dyDescent="0.25">
      <c r="A438" s="475" t="s">
        <v>2035</v>
      </c>
      <c r="B438" s="476">
        <v>59500000</v>
      </c>
      <c r="C438" s="213" t="s">
        <v>2909</v>
      </c>
      <c r="D438" s="312">
        <v>433</v>
      </c>
      <c r="E438" s="312">
        <v>20211400015053</v>
      </c>
      <c r="F438" s="477">
        <v>44274</v>
      </c>
      <c r="G438" s="312" t="s">
        <v>2910</v>
      </c>
      <c r="H438" s="213" t="s">
        <v>2911</v>
      </c>
      <c r="I438" s="213" t="s">
        <v>184</v>
      </c>
      <c r="J438" s="474">
        <v>59500000</v>
      </c>
      <c r="K438" s="213" t="s">
        <v>138</v>
      </c>
      <c r="L438" s="213" t="s">
        <v>2915</v>
      </c>
      <c r="M438" s="213" t="s">
        <v>44</v>
      </c>
      <c r="N438" s="213" t="s">
        <v>45</v>
      </c>
      <c r="O438" s="213" t="s">
        <v>142</v>
      </c>
      <c r="P438" s="213" t="s">
        <v>43</v>
      </c>
      <c r="R438" s="483">
        <v>468</v>
      </c>
      <c r="S438" s="487">
        <v>44274</v>
      </c>
      <c r="T438" s="483" t="s">
        <v>4278</v>
      </c>
      <c r="U438" s="474">
        <v>59500000</v>
      </c>
      <c r="V438" s="407"/>
      <c r="W438" s="363"/>
      <c r="X438" s="480" t="s">
        <v>4279</v>
      </c>
      <c r="Y438" s="481">
        <v>44286</v>
      </c>
      <c r="Z438" s="481">
        <v>44286</v>
      </c>
      <c r="AA438" s="481">
        <v>44500</v>
      </c>
      <c r="AB438" s="482" t="s">
        <v>2913</v>
      </c>
      <c r="AC438" s="480" t="s">
        <v>4280</v>
      </c>
      <c r="AD438" s="482" t="s">
        <v>4281</v>
      </c>
      <c r="AE438" s="483" t="s">
        <v>4282</v>
      </c>
      <c r="AF438" s="472">
        <v>59500000</v>
      </c>
      <c r="AG438" s="473">
        <f t="shared" si="7"/>
        <v>0</v>
      </c>
      <c r="AL438" s="474">
        <v>8500000</v>
      </c>
      <c r="AM438" s="307">
        <v>8500000</v>
      </c>
    </row>
    <row r="439" spans="1:39" hidden="1" x14ac:dyDescent="0.25">
      <c r="A439" s="475" t="s">
        <v>2732</v>
      </c>
      <c r="B439" s="476">
        <v>44972037</v>
      </c>
      <c r="C439" s="213" t="s">
        <v>2909</v>
      </c>
      <c r="D439" s="312">
        <v>434</v>
      </c>
      <c r="E439" s="312">
        <v>20216000016103</v>
      </c>
      <c r="F439" s="477">
        <v>44274</v>
      </c>
      <c r="G439" s="312" t="s">
        <v>2910</v>
      </c>
      <c r="H439" s="213" t="s">
        <v>2911</v>
      </c>
      <c r="I439" s="213" t="s">
        <v>214</v>
      </c>
      <c r="J439" s="474">
        <v>44972037</v>
      </c>
      <c r="K439" s="213" t="s">
        <v>138</v>
      </c>
      <c r="L439" s="213" t="s">
        <v>139</v>
      </c>
      <c r="M439" s="213" t="s">
        <v>44</v>
      </c>
      <c r="N439" s="213" t="s">
        <v>45</v>
      </c>
      <c r="O439" s="213" t="s">
        <v>142</v>
      </c>
      <c r="P439" s="213" t="s">
        <v>43</v>
      </c>
      <c r="R439" s="483">
        <v>471</v>
      </c>
      <c r="S439" s="487">
        <v>44274</v>
      </c>
      <c r="T439" s="483" t="s">
        <v>4283</v>
      </c>
      <c r="U439" s="474">
        <v>44972037</v>
      </c>
      <c r="V439" s="407"/>
      <c r="W439" s="363"/>
      <c r="X439" s="480" t="s">
        <v>4284</v>
      </c>
      <c r="Y439" s="481">
        <v>44285</v>
      </c>
      <c r="Z439" s="481">
        <v>44285</v>
      </c>
      <c r="AA439" s="481">
        <v>44560</v>
      </c>
      <c r="AB439" s="482" t="s">
        <v>2913</v>
      </c>
      <c r="AC439" s="480" t="s">
        <v>4285</v>
      </c>
      <c r="AD439" s="482" t="s">
        <v>4286</v>
      </c>
      <c r="AE439" s="483" t="s">
        <v>4287</v>
      </c>
      <c r="AF439" s="472">
        <v>44972037</v>
      </c>
      <c r="AG439" s="473">
        <f t="shared" si="7"/>
        <v>0</v>
      </c>
      <c r="AL439" s="474">
        <v>4996893</v>
      </c>
      <c r="AM439" s="307">
        <v>4996893</v>
      </c>
    </row>
    <row r="440" spans="1:39" hidden="1" x14ac:dyDescent="0.25">
      <c r="A440" s="475" t="s">
        <v>2248</v>
      </c>
      <c r="B440" s="476">
        <v>28618569</v>
      </c>
      <c r="C440" s="213" t="s">
        <v>2909</v>
      </c>
      <c r="D440" s="312">
        <v>435</v>
      </c>
      <c r="E440" s="312">
        <v>20217000016153</v>
      </c>
      <c r="F440" s="477">
        <v>44274</v>
      </c>
      <c r="G440" s="312" t="s">
        <v>2910</v>
      </c>
      <c r="H440" s="213" t="s">
        <v>2911</v>
      </c>
      <c r="I440" s="213" t="s">
        <v>164</v>
      </c>
      <c r="J440" s="474">
        <v>19079046</v>
      </c>
      <c r="K440" s="213" t="s">
        <v>138</v>
      </c>
      <c r="L440" s="213" t="s">
        <v>139</v>
      </c>
      <c r="M440" s="213" t="s">
        <v>44</v>
      </c>
      <c r="N440" s="213" t="s">
        <v>45</v>
      </c>
      <c r="O440" s="213" t="s">
        <v>142</v>
      </c>
      <c r="P440" s="213" t="s">
        <v>43</v>
      </c>
      <c r="R440" s="483">
        <v>472</v>
      </c>
      <c r="S440" s="487">
        <v>44274</v>
      </c>
      <c r="T440" s="483" t="s">
        <v>4288</v>
      </c>
      <c r="U440" s="474">
        <v>19079046</v>
      </c>
      <c r="V440" s="407"/>
      <c r="W440" s="363"/>
      <c r="X440" s="480" t="s">
        <v>4289</v>
      </c>
      <c r="Y440" s="481">
        <v>44298</v>
      </c>
      <c r="Z440" s="481">
        <v>44298</v>
      </c>
      <c r="AA440" s="481">
        <v>44481</v>
      </c>
      <c r="AB440" s="482" t="s">
        <v>2913</v>
      </c>
      <c r="AC440" s="480" t="s">
        <v>4290</v>
      </c>
      <c r="AD440" s="482" t="s">
        <v>4291</v>
      </c>
      <c r="AE440" s="483" t="s">
        <v>4292</v>
      </c>
      <c r="AF440" s="472">
        <v>19079046</v>
      </c>
      <c r="AG440" s="473">
        <f t="shared" si="7"/>
        <v>0</v>
      </c>
      <c r="AL440" s="474">
        <v>2013899</v>
      </c>
      <c r="AM440" s="307">
        <v>3179841</v>
      </c>
    </row>
    <row r="441" spans="1:39" hidden="1" x14ac:dyDescent="0.25">
      <c r="A441" s="475" t="s">
        <v>2606</v>
      </c>
      <c r="B441" s="476">
        <v>64800000</v>
      </c>
      <c r="C441" s="213" t="s">
        <v>2909</v>
      </c>
      <c r="D441" s="312">
        <v>436</v>
      </c>
      <c r="E441" s="312">
        <v>20216000016203</v>
      </c>
      <c r="F441" s="477">
        <v>44278</v>
      </c>
      <c r="G441" s="312" t="s">
        <v>2910</v>
      </c>
      <c r="H441" s="213" t="s">
        <v>2911</v>
      </c>
      <c r="I441" s="213" t="s">
        <v>214</v>
      </c>
      <c r="J441" s="474">
        <v>64000000</v>
      </c>
      <c r="K441" s="213" t="s">
        <v>138</v>
      </c>
      <c r="L441" s="213" t="s">
        <v>139</v>
      </c>
      <c r="M441" s="213" t="s">
        <v>44</v>
      </c>
      <c r="N441" s="213" t="s">
        <v>45</v>
      </c>
      <c r="O441" s="213" t="s">
        <v>142</v>
      </c>
      <c r="P441" s="213" t="s">
        <v>43</v>
      </c>
      <c r="R441" s="483">
        <v>476</v>
      </c>
      <c r="S441" s="487">
        <v>44278</v>
      </c>
      <c r="T441" s="483" t="s">
        <v>4293</v>
      </c>
      <c r="U441" s="474">
        <v>64000000</v>
      </c>
      <c r="V441" s="407"/>
      <c r="W441" s="363"/>
      <c r="X441" s="480"/>
      <c r="Y441" s="481"/>
      <c r="Z441" s="481"/>
      <c r="AA441" s="481"/>
      <c r="AB441" s="483"/>
      <c r="AC441" s="480"/>
      <c r="AD441" s="483"/>
      <c r="AE441" s="483"/>
      <c r="AF441" s="493"/>
      <c r="AG441" s="473"/>
      <c r="AM441" s="213"/>
    </row>
    <row r="442" spans="1:39" hidden="1" x14ac:dyDescent="0.25">
      <c r="A442" s="475" t="s">
        <v>4294</v>
      </c>
      <c r="B442" s="476">
        <v>45000000</v>
      </c>
      <c r="C442" s="213" t="s">
        <v>2909</v>
      </c>
      <c r="D442" s="312">
        <v>437</v>
      </c>
      <c r="E442" s="312">
        <v>20216000016213</v>
      </c>
      <c r="F442" s="477">
        <v>44278</v>
      </c>
      <c r="G442" s="312" t="s">
        <v>2910</v>
      </c>
      <c r="H442" s="213" t="s">
        <v>2911</v>
      </c>
      <c r="I442" s="213" t="s">
        <v>214</v>
      </c>
      <c r="J442" s="474">
        <v>45000000</v>
      </c>
      <c r="K442" s="213" t="s">
        <v>138</v>
      </c>
      <c r="L442" s="213" t="s">
        <v>139</v>
      </c>
      <c r="M442" s="213" t="s">
        <v>44</v>
      </c>
      <c r="N442" s="213" t="s">
        <v>45</v>
      </c>
      <c r="O442" s="213" t="s">
        <v>142</v>
      </c>
      <c r="P442" s="213" t="s">
        <v>43</v>
      </c>
      <c r="R442" s="483">
        <v>477</v>
      </c>
      <c r="S442" s="487">
        <v>44278</v>
      </c>
      <c r="T442" s="483" t="s">
        <v>4295</v>
      </c>
      <c r="U442" s="474">
        <v>45000000</v>
      </c>
      <c r="V442" s="407"/>
      <c r="W442" s="363"/>
      <c r="AG442" s="473">
        <f t="shared" si="7"/>
        <v>45000000</v>
      </c>
      <c r="AM442" s="213"/>
    </row>
    <row r="443" spans="1:39" hidden="1" x14ac:dyDescent="0.25">
      <c r="A443" s="475" t="s">
        <v>2328</v>
      </c>
      <c r="B443" s="476">
        <v>24530202</v>
      </c>
      <c r="C443" s="213" t="s">
        <v>2909</v>
      </c>
      <c r="D443" s="312">
        <v>438</v>
      </c>
      <c r="E443" s="312">
        <v>20217000015823</v>
      </c>
      <c r="F443" s="477">
        <v>44278</v>
      </c>
      <c r="G443" s="312" t="s">
        <v>2910</v>
      </c>
      <c r="H443" s="213" t="s">
        <v>2911</v>
      </c>
      <c r="I443" s="213" t="s">
        <v>164</v>
      </c>
      <c r="J443" s="474">
        <v>16400000</v>
      </c>
      <c r="K443" s="213" t="s">
        <v>138</v>
      </c>
      <c r="L443" s="213" t="s">
        <v>139</v>
      </c>
      <c r="M443" s="213" t="s">
        <v>44</v>
      </c>
      <c r="N443" s="213" t="s">
        <v>45</v>
      </c>
      <c r="O443" s="213" t="s">
        <v>142</v>
      </c>
      <c r="P443" s="213" t="s">
        <v>43</v>
      </c>
      <c r="R443" s="483">
        <v>474</v>
      </c>
      <c r="S443" s="487">
        <v>44278</v>
      </c>
      <c r="T443" s="483" t="s">
        <v>4296</v>
      </c>
      <c r="U443" s="474">
        <v>16400000</v>
      </c>
      <c r="V443" s="407"/>
      <c r="W443" s="363"/>
      <c r="X443" s="480" t="s">
        <v>4297</v>
      </c>
      <c r="Y443" s="481">
        <v>44298</v>
      </c>
      <c r="Z443" s="481">
        <v>44298</v>
      </c>
      <c r="AA443" s="481">
        <v>44481</v>
      </c>
      <c r="AB443" s="482" t="s">
        <v>2913</v>
      </c>
      <c r="AC443" s="480" t="s">
        <v>4298</v>
      </c>
      <c r="AD443" s="482" t="s">
        <v>4299</v>
      </c>
      <c r="AE443" s="483" t="s">
        <v>4300</v>
      </c>
      <c r="AF443" s="472">
        <v>16353468</v>
      </c>
      <c r="AG443" s="473">
        <f t="shared" si="7"/>
        <v>46532</v>
      </c>
      <c r="AL443" s="474">
        <v>1726199</v>
      </c>
      <c r="AM443" s="307">
        <v>2725578</v>
      </c>
    </row>
    <row r="444" spans="1:39" s="313" customFormat="1" hidden="1" x14ac:dyDescent="0.25">
      <c r="A444" s="362" t="s">
        <v>4301</v>
      </c>
      <c r="B444" s="418">
        <v>54000000</v>
      </c>
      <c r="C444" s="313" t="s">
        <v>3025</v>
      </c>
      <c r="D444" s="326">
        <v>439</v>
      </c>
      <c r="E444" s="326">
        <v>20216000016193</v>
      </c>
      <c r="F444" s="316">
        <v>44278</v>
      </c>
      <c r="G444" s="326" t="s">
        <v>2910</v>
      </c>
      <c r="H444" s="313" t="s">
        <v>2911</v>
      </c>
      <c r="I444" s="313" t="s">
        <v>214</v>
      </c>
      <c r="J444" s="406">
        <v>54000000</v>
      </c>
      <c r="K444" s="313" t="s">
        <v>138</v>
      </c>
      <c r="L444" s="313" t="s">
        <v>139</v>
      </c>
      <c r="M444" s="313" t="s">
        <v>44</v>
      </c>
      <c r="N444" s="313" t="s">
        <v>45</v>
      </c>
      <c r="O444" s="313" t="s">
        <v>142</v>
      </c>
      <c r="P444" s="313" t="s">
        <v>43</v>
      </c>
      <c r="R444" s="361">
        <v>475</v>
      </c>
      <c r="S444" s="364">
        <v>44278</v>
      </c>
      <c r="T444" s="361" t="s">
        <v>4302</v>
      </c>
      <c r="U444" s="406">
        <f>54000000-54000000</f>
        <v>0</v>
      </c>
      <c r="V444" s="407">
        <f>54000000</f>
        <v>54000000</v>
      </c>
      <c r="W444" s="363" t="s">
        <v>1757</v>
      </c>
      <c r="X444" s="315"/>
      <c r="Y444" s="359"/>
      <c r="Z444" s="359"/>
      <c r="AA444" s="359"/>
      <c r="AB444" s="318"/>
      <c r="AC444" s="317"/>
      <c r="AD444" s="318"/>
      <c r="AF444" s="411"/>
      <c r="AG444" s="319">
        <f t="shared" si="7"/>
        <v>0</v>
      </c>
      <c r="AH444" s="406"/>
      <c r="AI444" s="406"/>
      <c r="AJ444" s="406"/>
      <c r="AK444" s="406"/>
      <c r="AL444" s="406"/>
      <c r="AM444" s="213"/>
    </row>
    <row r="445" spans="1:39" hidden="1" x14ac:dyDescent="0.25">
      <c r="A445" s="475" t="s">
        <v>2009</v>
      </c>
      <c r="B445" s="476">
        <v>161928000</v>
      </c>
      <c r="C445" s="213" t="s">
        <v>2009</v>
      </c>
      <c r="D445" s="312">
        <v>440</v>
      </c>
      <c r="E445" s="312">
        <v>20215000016333</v>
      </c>
      <c r="F445" s="477">
        <v>44279</v>
      </c>
      <c r="G445" s="312" t="s">
        <v>2903</v>
      </c>
      <c r="H445" s="213" t="s">
        <v>2904</v>
      </c>
      <c r="I445" s="213" t="s">
        <v>228</v>
      </c>
      <c r="J445" s="427">
        <v>161928000</v>
      </c>
      <c r="K445" s="213" t="s">
        <v>223</v>
      </c>
      <c r="L445" s="213" t="s">
        <v>224</v>
      </c>
      <c r="M445" s="213" t="s">
        <v>44</v>
      </c>
      <c r="N445" s="213" t="s">
        <v>45</v>
      </c>
      <c r="O445" s="213" t="s">
        <v>63</v>
      </c>
      <c r="P445" s="213" t="s">
        <v>678</v>
      </c>
      <c r="R445" s="483">
        <v>479</v>
      </c>
      <c r="S445" s="487">
        <v>44279</v>
      </c>
      <c r="T445" s="483" t="s">
        <v>4303</v>
      </c>
      <c r="U445" s="474">
        <v>161928000</v>
      </c>
      <c r="V445" s="407"/>
      <c r="W445" s="363"/>
      <c r="X445" s="480" t="s">
        <v>4304</v>
      </c>
      <c r="Y445" s="481">
        <v>44302</v>
      </c>
      <c r="Z445" s="481">
        <v>44302</v>
      </c>
      <c r="AA445" s="481">
        <v>44561</v>
      </c>
      <c r="AB445" s="482" t="s">
        <v>4305</v>
      </c>
      <c r="AC445" s="480" t="s">
        <v>4129</v>
      </c>
      <c r="AD445" s="482" t="s">
        <v>4306</v>
      </c>
      <c r="AE445" s="483" t="s">
        <v>4307</v>
      </c>
      <c r="AF445" s="472">
        <v>161928000</v>
      </c>
      <c r="AG445" s="473">
        <f t="shared" si="7"/>
        <v>0</v>
      </c>
      <c r="AL445" s="474">
        <v>13494000</v>
      </c>
      <c r="AM445" s="213"/>
    </row>
    <row r="446" spans="1:39" hidden="1" x14ac:dyDescent="0.25">
      <c r="A446" s="475" t="s">
        <v>2811</v>
      </c>
      <c r="B446" s="476">
        <v>48000000</v>
      </c>
      <c r="C446" s="213" t="s">
        <v>2909</v>
      </c>
      <c r="D446" s="312">
        <v>441</v>
      </c>
      <c r="E446" s="312">
        <v>20213000016803</v>
      </c>
      <c r="F446" s="477">
        <v>44279</v>
      </c>
      <c r="G446" s="312" t="s">
        <v>2903</v>
      </c>
      <c r="H446" s="213" t="s">
        <v>2904</v>
      </c>
      <c r="I446" s="213" t="s">
        <v>432</v>
      </c>
      <c r="J446" s="474">
        <v>45000000</v>
      </c>
      <c r="K446" s="213" t="s">
        <v>342</v>
      </c>
      <c r="L446" s="213" t="s">
        <v>351</v>
      </c>
      <c r="M446" s="213" t="s">
        <v>44</v>
      </c>
      <c r="N446" s="213" t="s">
        <v>45</v>
      </c>
      <c r="O446" s="213" t="s">
        <v>63</v>
      </c>
      <c r="P446" s="213" t="s">
        <v>678</v>
      </c>
      <c r="R446" s="483">
        <v>480</v>
      </c>
      <c r="S446" s="487">
        <v>44279</v>
      </c>
      <c r="T446" s="483" t="s">
        <v>4308</v>
      </c>
      <c r="U446" s="474">
        <v>45000000</v>
      </c>
      <c r="V446" s="407"/>
      <c r="W446" s="363"/>
      <c r="X446" s="480" t="s">
        <v>4309</v>
      </c>
      <c r="Y446" s="481">
        <v>44298</v>
      </c>
      <c r="Z446" s="481">
        <v>44298</v>
      </c>
      <c r="AA446" s="481">
        <v>44451</v>
      </c>
      <c r="AB446" s="482" t="s">
        <v>2913</v>
      </c>
      <c r="AC446" s="480" t="s">
        <v>4026</v>
      </c>
      <c r="AD446" s="482" t="s">
        <v>4310</v>
      </c>
      <c r="AE446" s="483" t="s">
        <v>4311</v>
      </c>
      <c r="AF446" s="472">
        <v>45000000</v>
      </c>
      <c r="AG446" s="473">
        <f t="shared" si="7"/>
        <v>0</v>
      </c>
      <c r="AL446" s="474">
        <v>5100000</v>
      </c>
      <c r="AM446" s="307">
        <v>9000000</v>
      </c>
    </row>
    <row r="447" spans="1:39" hidden="1" x14ac:dyDescent="0.25">
      <c r="A447" s="475" t="s">
        <v>2730</v>
      </c>
      <c r="B447" s="476">
        <v>90000000</v>
      </c>
      <c r="C447" s="213" t="s">
        <v>2909</v>
      </c>
      <c r="D447" s="312">
        <v>442</v>
      </c>
      <c r="E447" s="312">
        <v>20213000016813</v>
      </c>
      <c r="F447" s="477">
        <v>44279</v>
      </c>
      <c r="G447" s="312" t="s">
        <v>2903</v>
      </c>
      <c r="H447" s="213" t="s">
        <v>2904</v>
      </c>
      <c r="I447" s="213" t="s">
        <v>432</v>
      </c>
      <c r="J447" s="474">
        <v>76200000</v>
      </c>
      <c r="K447" s="213" t="s">
        <v>342</v>
      </c>
      <c r="L447" s="213" t="s">
        <v>351</v>
      </c>
      <c r="M447" s="213" t="s">
        <v>44</v>
      </c>
      <c r="N447" s="213" t="s">
        <v>45</v>
      </c>
      <c r="O447" s="213" t="s">
        <v>63</v>
      </c>
      <c r="P447" s="213" t="s">
        <v>678</v>
      </c>
      <c r="R447" s="483">
        <v>481</v>
      </c>
      <c r="S447" s="487">
        <v>44279</v>
      </c>
      <c r="T447" s="483" t="s">
        <v>4312</v>
      </c>
      <c r="U447" s="474">
        <v>76200000</v>
      </c>
      <c r="V447" s="407"/>
      <c r="W447" s="363"/>
      <c r="X447" s="480" t="s">
        <v>4313</v>
      </c>
      <c r="Y447" s="481">
        <v>44302</v>
      </c>
      <c r="Z447" s="481">
        <v>44302</v>
      </c>
      <c r="AA447" s="481">
        <v>44485</v>
      </c>
      <c r="AB447" s="482" t="s">
        <v>2913</v>
      </c>
      <c r="AC447" s="480" t="s">
        <v>4284</v>
      </c>
      <c r="AD447" s="482" t="s">
        <v>4314</v>
      </c>
      <c r="AE447" s="483" t="s">
        <v>4315</v>
      </c>
      <c r="AF447" s="472">
        <v>76200000</v>
      </c>
      <c r="AG447" s="473">
        <f t="shared" si="7"/>
        <v>0</v>
      </c>
      <c r="AL447" s="474">
        <v>5080000</v>
      </c>
      <c r="AM447" s="307">
        <v>12700000</v>
      </c>
    </row>
    <row r="448" spans="1:39" hidden="1" x14ac:dyDescent="0.25">
      <c r="A448" s="475" t="s">
        <v>2234</v>
      </c>
      <c r="B448" s="476">
        <v>89035548</v>
      </c>
      <c r="C448" s="213" t="s">
        <v>2909</v>
      </c>
      <c r="D448" s="312">
        <v>443</v>
      </c>
      <c r="E448" s="312">
        <v>20217000016993</v>
      </c>
      <c r="F448" s="477">
        <v>44279</v>
      </c>
      <c r="G448" s="312" t="s">
        <v>2910</v>
      </c>
      <c r="H448" s="213" t="s">
        <v>2911</v>
      </c>
      <c r="I448" s="213" t="s">
        <v>164</v>
      </c>
      <c r="J448" s="474">
        <v>77400000</v>
      </c>
      <c r="K448" s="213" t="s">
        <v>138</v>
      </c>
      <c r="L448" s="213" t="s">
        <v>139</v>
      </c>
      <c r="M448" s="213" t="s">
        <v>44</v>
      </c>
      <c r="N448" s="213" t="s">
        <v>45</v>
      </c>
      <c r="O448" s="213" t="s">
        <v>142</v>
      </c>
      <c r="P448" s="213" t="s">
        <v>43</v>
      </c>
      <c r="R448" s="483">
        <v>482</v>
      </c>
      <c r="S448" s="487">
        <v>44279</v>
      </c>
      <c r="T448" s="483" t="s">
        <v>4316</v>
      </c>
      <c r="U448" s="474">
        <v>77400000</v>
      </c>
      <c r="V448" s="407"/>
      <c r="W448" s="363"/>
      <c r="X448" s="480" t="s">
        <v>3907</v>
      </c>
      <c r="Y448" s="481">
        <v>44285</v>
      </c>
      <c r="Z448" s="481">
        <v>44285</v>
      </c>
      <c r="AA448" s="481">
        <v>44560</v>
      </c>
      <c r="AB448" s="482" t="s">
        <v>2913</v>
      </c>
      <c r="AC448" s="480" t="s">
        <v>4317</v>
      </c>
      <c r="AD448" s="482" t="s">
        <v>4318</v>
      </c>
      <c r="AE448" s="483" t="s">
        <v>4319</v>
      </c>
      <c r="AF448" s="472">
        <v>77400000</v>
      </c>
      <c r="AG448" s="473">
        <f t="shared" si="7"/>
        <v>0</v>
      </c>
      <c r="AL448" s="474">
        <v>8886667</v>
      </c>
      <c r="AM448" s="307">
        <v>8600000</v>
      </c>
    </row>
    <row r="449" spans="1:39" hidden="1" x14ac:dyDescent="0.25">
      <c r="A449" s="475" t="s">
        <v>2642</v>
      </c>
      <c r="B449" s="476">
        <v>65413872</v>
      </c>
      <c r="C449" s="213" t="s">
        <v>2909</v>
      </c>
      <c r="D449" s="312">
        <v>444</v>
      </c>
      <c r="E449" s="312">
        <v>20217000014913</v>
      </c>
      <c r="F449" s="477">
        <v>44279</v>
      </c>
      <c r="G449" s="312" t="s">
        <v>2910</v>
      </c>
      <c r="H449" s="213" t="s">
        <v>2911</v>
      </c>
      <c r="I449" s="213" t="s">
        <v>164</v>
      </c>
      <c r="J449" s="474">
        <v>43609248</v>
      </c>
      <c r="K449" s="213" t="s">
        <v>138</v>
      </c>
      <c r="L449" s="213" t="s">
        <v>139</v>
      </c>
      <c r="M449" s="213" t="s">
        <v>44</v>
      </c>
      <c r="N449" s="213" t="s">
        <v>45</v>
      </c>
      <c r="O449" s="213" t="s">
        <v>142</v>
      </c>
      <c r="P449" s="213" t="s">
        <v>43</v>
      </c>
      <c r="R449" s="483">
        <v>478</v>
      </c>
      <c r="S449" s="487">
        <v>44279</v>
      </c>
      <c r="T449" s="483" t="s">
        <v>4320</v>
      </c>
      <c r="U449" s="474">
        <v>43609248</v>
      </c>
      <c r="V449" s="407"/>
      <c r="W449" s="363"/>
      <c r="X449" s="480" t="s">
        <v>4321</v>
      </c>
      <c r="Y449" s="481">
        <v>44295</v>
      </c>
      <c r="Z449" s="481">
        <v>44295</v>
      </c>
      <c r="AA449" s="481">
        <v>44478</v>
      </c>
      <c r="AB449" s="482" t="s">
        <v>2913</v>
      </c>
      <c r="AC449" s="480" t="s">
        <v>3978</v>
      </c>
      <c r="AD449" s="482" t="s">
        <v>4322</v>
      </c>
      <c r="AE449" s="483" t="s">
        <v>2914</v>
      </c>
      <c r="AF449" s="472">
        <v>43609248</v>
      </c>
      <c r="AG449" s="473">
        <f t="shared" si="7"/>
        <v>0</v>
      </c>
      <c r="AL449" s="474">
        <v>4603198</v>
      </c>
      <c r="AM449" s="307">
        <v>7268208</v>
      </c>
    </row>
    <row r="450" spans="1:39" hidden="1" x14ac:dyDescent="0.25">
      <c r="B450" s="498" t="s">
        <v>2946</v>
      </c>
      <c r="C450" s="213" t="s">
        <v>4323</v>
      </c>
      <c r="D450" s="312">
        <v>445</v>
      </c>
      <c r="E450" s="312">
        <v>20211300017063</v>
      </c>
      <c r="F450" s="477">
        <v>44281</v>
      </c>
      <c r="G450" s="312" t="s">
        <v>2910</v>
      </c>
      <c r="H450" s="213" t="s">
        <v>2911</v>
      </c>
      <c r="I450" s="213" t="s">
        <v>210</v>
      </c>
      <c r="J450" s="474">
        <v>8558579</v>
      </c>
      <c r="K450" s="213" t="s">
        <v>138</v>
      </c>
      <c r="L450" s="213" t="s">
        <v>139</v>
      </c>
      <c r="M450" s="213" t="s">
        <v>44</v>
      </c>
      <c r="N450" s="213" t="s">
        <v>45</v>
      </c>
      <c r="O450" s="213" t="s">
        <v>142</v>
      </c>
      <c r="P450" s="213" t="s">
        <v>43</v>
      </c>
      <c r="R450" s="483">
        <v>486</v>
      </c>
      <c r="S450" s="487">
        <v>44281</v>
      </c>
      <c r="T450" s="483" t="s">
        <v>4324</v>
      </c>
      <c r="U450" s="474">
        <v>8558579</v>
      </c>
      <c r="V450" s="407"/>
      <c r="W450" s="363"/>
      <c r="X450" s="480" t="s">
        <v>4207</v>
      </c>
      <c r="Y450" s="481">
        <v>44285</v>
      </c>
      <c r="Z450" s="481">
        <v>44285</v>
      </c>
      <c r="AA450" s="481">
        <v>44330</v>
      </c>
      <c r="AB450" s="482" t="s">
        <v>2913</v>
      </c>
      <c r="AC450" s="480" t="s">
        <v>4325</v>
      </c>
      <c r="AD450" s="482" t="s">
        <v>4326</v>
      </c>
      <c r="AE450" s="483" t="s">
        <v>4327</v>
      </c>
      <c r="AF450" s="472">
        <v>8558579</v>
      </c>
      <c r="AG450" s="473">
        <f t="shared" si="7"/>
        <v>0</v>
      </c>
      <c r="AK450" s="474">
        <v>190190</v>
      </c>
      <c r="AL450" s="474">
        <v>5705719</v>
      </c>
      <c r="AM450" s="307">
        <v>2662670</v>
      </c>
    </row>
    <row r="451" spans="1:39" hidden="1" x14ac:dyDescent="0.25">
      <c r="B451" s="498" t="s">
        <v>2946</v>
      </c>
      <c r="C451" s="213" t="s">
        <v>4328</v>
      </c>
      <c r="D451" s="312">
        <v>446</v>
      </c>
      <c r="E451" s="312">
        <v>20217000017323</v>
      </c>
      <c r="F451" s="477">
        <v>44281</v>
      </c>
      <c r="G451" s="312" t="s">
        <v>2910</v>
      </c>
      <c r="H451" s="213" t="s">
        <v>2911</v>
      </c>
      <c r="I451" s="213" t="s">
        <v>164</v>
      </c>
      <c r="J451" s="474">
        <v>19750567</v>
      </c>
      <c r="K451" s="213" t="s">
        <v>138</v>
      </c>
      <c r="L451" s="213" t="s">
        <v>139</v>
      </c>
      <c r="M451" s="213" t="s">
        <v>44</v>
      </c>
      <c r="N451" s="213" t="s">
        <v>45</v>
      </c>
      <c r="O451" s="213" t="s">
        <v>142</v>
      </c>
      <c r="P451" s="213" t="s">
        <v>43</v>
      </c>
      <c r="R451" s="483">
        <v>484</v>
      </c>
      <c r="S451" s="487">
        <v>44281</v>
      </c>
      <c r="T451" s="483" t="s">
        <v>4329</v>
      </c>
      <c r="U451" s="474">
        <v>19750567</v>
      </c>
      <c r="V451" s="407"/>
      <c r="W451" s="363"/>
      <c r="X451" s="480" t="s">
        <v>4036</v>
      </c>
      <c r="Y451" s="481">
        <v>44281</v>
      </c>
      <c r="Z451" s="481">
        <v>44283</v>
      </c>
      <c r="AA451" s="481">
        <v>44358</v>
      </c>
      <c r="AB451" s="482" t="s">
        <v>2913</v>
      </c>
      <c r="AC451" s="480" t="s">
        <v>4330</v>
      </c>
      <c r="AD451" s="482" t="s">
        <v>4331</v>
      </c>
      <c r="AE451" s="483" t="s">
        <v>4332</v>
      </c>
      <c r="AF451" s="472">
        <v>19750567</v>
      </c>
      <c r="AG451" s="473">
        <f t="shared" si="7"/>
        <v>0</v>
      </c>
      <c r="AK451" s="474">
        <v>7900227</v>
      </c>
      <c r="AL451" s="474">
        <v>7900227</v>
      </c>
      <c r="AM451" s="213"/>
    </row>
    <row r="452" spans="1:39" s="313" customFormat="1" hidden="1" x14ac:dyDescent="0.25">
      <c r="A452" s="362" t="s">
        <v>4333</v>
      </c>
      <c r="B452" s="418">
        <v>63000000</v>
      </c>
      <c r="C452" s="313" t="s">
        <v>3025</v>
      </c>
      <c r="D452" s="326">
        <v>447</v>
      </c>
      <c r="E452" s="326">
        <v>20217000017333</v>
      </c>
      <c r="F452" s="316">
        <v>44281</v>
      </c>
      <c r="G452" s="326" t="s">
        <v>2910</v>
      </c>
      <c r="H452" s="313" t="s">
        <v>2911</v>
      </c>
      <c r="I452" s="313" t="s">
        <v>164</v>
      </c>
      <c r="J452" s="406">
        <v>49100000</v>
      </c>
      <c r="K452" s="313" t="s">
        <v>138</v>
      </c>
      <c r="L452" s="313" t="s">
        <v>139</v>
      </c>
      <c r="M452" s="313" t="s">
        <v>44</v>
      </c>
      <c r="N452" s="313" t="s">
        <v>45</v>
      </c>
      <c r="O452" s="313" t="s">
        <v>142</v>
      </c>
      <c r="P452" s="313" t="s">
        <v>43</v>
      </c>
      <c r="R452" s="361">
        <v>487</v>
      </c>
      <c r="S452" s="364">
        <v>44281</v>
      </c>
      <c r="T452" s="361" t="s">
        <v>4334</v>
      </c>
      <c r="U452" s="406">
        <f>49100000-49100000</f>
        <v>0</v>
      </c>
      <c r="V452" s="407">
        <v>49100000</v>
      </c>
      <c r="W452" s="363"/>
      <c r="X452" s="315"/>
      <c r="Y452" s="359"/>
      <c r="Z452" s="359"/>
      <c r="AA452" s="359"/>
      <c r="AB452" s="318"/>
      <c r="AC452" s="317"/>
      <c r="AD452" s="318"/>
      <c r="AF452" s="411"/>
      <c r="AG452" s="473">
        <f t="shared" si="7"/>
        <v>0</v>
      </c>
      <c r="AH452" s="406"/>
      <c r="AI452" s="406"/>
      <c r="AJ452" s="406"/>
      <c r="AK452" s="406"/>
      <c r="AL452" s="406"/>
      <c r="AM452" s="213"/>
    </row>
    <row r="453" spans="1:39" hidden="1" x14ac:dyDescent="0.25">
      <c r="A453" s="475" t="s">
        <v>2267</v>
      </c>
      <c r="B453" s="476">
        <v>39975144</v>
      </c>
      <c r="C453" s="213" t="s">
        <v>2909</v>
      </c>
      <c r="D453" s="312">
        <v>448</v>
      </c>
      <c r="E453" s="312">
        <v>20217000017363</v>
      </c>
      <c r="F453" s="477">
        <v>44281</v>
      </c>
      <c r="G453" s="312" t="s">
        <v>2910</v>
      </c>
      <c r="H453" s="213" t="s">
        <v>2911</v>
      </c>
      <c r="I453" s="213" t="s">
        <v>164</v>
      </c>
      <c r="J453" s="474">
        <v>19079046</v>
      </c>
      <c r="K453" s="213" t="s">
        <v>138</v>
      </c>
      <c r="L453" s="213" t="s">
        <v>139</v>
      </c>
      <c r="M453" s="213" t="s">
        <v>44</v>
      </c>
      <c r="N453" s="213" t="s">
        <v>45</v>
      </c>
      <c r="O453" s="213" t="s">
        <v>142</v>
      </c>
      <c r="P453" s="213" t="s">
        <v>43</v>
      </c>
      <c r="R453" s="483">
        <v>488</v>
      </c>
      <c r="S453" s="487">
        <v>44281</v>
      </c>
      <c r="T453" s="483" t="s">
        <v>4335</v>
      </c>
      <c r="U453" s="474">
        <v>19079046</v>
      </c>
      <c r="V453" s="427"/>
      <c r="W453" s="517"/>
      <c r="AG453" s="473">
        <f t="shared" si="7"/>
        <v>19079046</v>
      </c>
      <c r="AM453" s="213"/>
    </row>
    <row r="454" spans="1:39" s="313" customFormat="1" hidden="1" x14ac:dyDescent="0.25">
      <c r="A454" s="362" t="s">
        <v>4336</v>
      </c>
      <c r="B454" s="418">
        <v>55000000</v>
      </c>
      <c r="C454" s="313" t="s">
        <v>3025</v>
      </c>
      <c r="D454" s="326">
        <v>449</v>
      </c>
      <c r="E454" s="326">
        <v>20215000012883</v>
      </c>
      <c r="F454" s="316">
        <v>44281</v>
      </c>
      <c r="G454" s="326" t="s">
        <v>2903</v>
      </c>
      <c r="H454" s="313" t="s">
        <v>2904</v>
      </c>
      <c r="I454" s="313" t="s">
        <v>228</v>
      </c>
      <c r="J454" s="406">
        <v>55000000</v>
      </c>
      <c r="K454" s="313" t="s">
        <v>223</v>
      </c>
      <c r="L454" s="313" t="s">
        <v>257</v>
      </c>
      <c r="M454" s="313" t="s">
        <v>44</v>
      </c>
      <c r="N454" s="313" t="s">
        <v>45</v>
      </c>
      <c r="O454" s="313" t="s">
        <v>63</v>
      </c>
      <c r="P454" s="313" t="s">
        <v>678</v>
      </c>
      <c r="R454" s="361">
        <v>485</v>
      </c>
      <c r="S454" s="364">
        <v>44281</v>
      </c>
      <c r="T454" s="361" t="s">
        <v>4337</v>
      </c>
      <c r="U454" s="406">
        <f>55000000-55000000</f>
        <v>0</v>
      </c>
      <c r="V454" s="407">
        <v>55000000</v>
      </c>
      <c r="W454" s="363" t="s">
        <v>1757</v>
      </c>
      <c r="X454" s="315"/>
      <c r="Y454" s="359"/>
      <c r="Z454" s="359"/>
      <c r="AA454" s="359"/>
      <c r="AB454" s="318"/>
      <c r="AC454" s="317"/>
      <c r="AD454" s="318"/>
      <c r="AF454" s="411"/>
      <c r="AG454" s="319">
        <f t="shared" si="7"/>
        <v>0</v>
      </c>
      <c r="AH454" s="406"/>
      <c r="AI454" s="406"/>
      <c r="AJ454" s="406"/>
      <c r="AK454" s="406"/>
      <c r="AL454" s="406"/>
      <c r="AM454" s="213"/>
    </row>
    <row r="455" spans="1:39" hidden="1" x14ac:dyDescent="0.25">
      <c r="A455" s="475" t="s">
        <v>2696</v>
      </c>
      <c r="B455" s="476">
        <v>42400000</v>
      </c>
      <c r="C455" s="213" t="s">
        <v>2909</v>
      </c>
      <c r="D455" s="312">
        <v>450</v>
      </c>
      <c r="E455" s="312">
        <v>20215000017553</v>
      </c>
      <c r="F455" s="477">
        <v>44281</v>
      </c>
      <c r="G455" s="312" t="s">
        <v>2903</v>
      </c>
      <c r="H455" s="213" t="s">
        <v>2904</v>
      </c>
      <c r="I455" s="213" t="s">
        <v>228</v>
      </c>
      <c r="J455" s="474">
        <v>34000000</v>
      </c>
      <c r="K455" s="213" t="s">
        <v>223</v>
      </c>
      <c r="L455" s="213" t="s">
        <v>3021</v>
      </c>
      <c r="M455" s="213" t="s">
        <v>44</v>
      </c>
      <c r="N455" s="213" t="s">
        <v>45</v>
      </c>
      <c r="O455" s="213" t="s">
        <v>63</v>
      </c>
      <c r="P455" s="213" t="s">
        <v>678</v>
      </c>
      <c r="R455" s="483">
        <v>491</v>
      </c>
      <c r="S455" s="487">
        <v>44281</v>
      </c>
      <c r="T455" s="483" t="s">
        <v>4338</v>
      </c>
      <c r="U455" s="474">
        <v>34000000</v>
      </c>
      <c r="V455" s="407"/>
      <c r="W455" s="363"/>
      <c r="X455" s="212" t="s">
        <v>4339</v>
      </c>
      <c r="Y455" s="471">
        <v>44300</v>
      </c>
      <c r="Z455" s="471">
        <v>44300</v>
      </c>
      <c r="AA455" s="471">
        <v>44561</v>
      </c>
      <c r="AB455" s="3" t="s">
        <v>2913</v>
      </c>
      <c r="AC455" s="212" t="s">
        <v>4224</v>
      </c>
      <c r="AD455" s="3" t="s">
        <v>4340</v>
      </c>
      <c r="AE455" s="213" t="s">
        <v>4341</v>
      </c>
      <c r="AF455" s="472">
        <v>34000000</v>
      </c>
      <c r="AG455" s="473">
        <f t="shared" si="7"/>
        <v>0</v>
      </c>
      <c r="AL455" s="474">
        <v>2266667</v>
      </c>
      <c r="AM455" s="307">
        <v>4000000</v>
      </c>
    </row>
    <row r="456" spans="1:39" hidden="1" x14ac:dyDescent="0.25">
      <c r="A456" s="475" t="s">
        <v>2093</v>
      </c>
      <c r="B456" s="476">
        <v>64000000</v>
      </c>
      <c r="C456" s="213" t="s">
        <v>2909</v>
      </c>
      <c r="D456" s="312">
        <v>451</v>
      </c>
      <c r="E456" s="312">
        <v>20213000017453</v>
      </c>
      <c r="F456" s="477">
        <v>44281</v>
      </c>
      <c r="G456" s="312" t="s">
        <v>2903</v>
      </c>
      <c r="H456" s="213" t="s">
        <v>2904</v>
      </c>
      <c r="I456" s="213" t="s">
        <v>432</v>
      </c>
      <c r="J456" s="474">
        <v>64000000</v>
      </c>
      <c r="K456" s="213" t="s">
        <v>342</v>
      </c>
      <c r="L456" s="213" t="s">
        <v>351</v>
      </c>
      <c r="M456" s="213" t="s">
        <v>44</v>
      </c>
      <c r="N456" s="213" t="s">
        <v>45</v>
      </c>
      <c r="O456" s="213" t="s">
        <v>63</v>
      </c>
      <c r="P456" s="213" t="s">
        <v>678</v>
      </c>
      <c r="R456" s="483">
        <v>490</v>
      </c>
      <c r="S456" s="487">
        <v>44281</v>
      </c>
      <c r="T456" s="483" t="s">
        <v>4342</v>
      </c>
      <c r="U456" s="474">
        <v>64000000</v>
      </c>
      <c r="V456" s="407"/>
      <c r="W456" s="363"/>
      <c r="X456" s="480" t="s">
        <v>4343</v>
      </c>
      <c r="Y456" s="481">
        <v>44295</v>
      </c>
      <c r="Z456" s="481">
        <v>44295</v>
      </c>
      <c r="AA456" s="481">
        <v>44538</v>
      </c>
      <c r="AB456" s="482" t="s">
        <v>2913</v>
      </c>
      <c r="AC456" s="480" t="s">
        <v>4077</v>
      </c>
      <c r="AD456" s="482" t="s">
        <v>4344</v>
      </c>
      <c r="AE456" s="483" t="s">
        <v>4345</v>
      </c>
      <c r="AF456" s="472">
        <v>64000000</v>
      </c>
      <c r="AG456" s="473">
        <f t="shared" si="7"/>
        <v>0</v>
      </c>
      <c r="AL456" s="474">
        <v>5066667</v>
      </c>
      <c r="AM456" s="307">
        <v>8000000</v>
      </c>
    </row>
    <row r="457" spans="1:39" hidden="1" x14ac:dyDescent="0.25">
      <c r="B457" s="476" t="s">
        <v>2946</v>
      </c>
      <c r="C457" s="213" t="s">
        <v>4346</v>
      </c>
      <c r="D457" s="312">
        <v>452</v>
      </c>
      <c r="E457" s="312">
        <v>20211300017443</v>
      </c>
      <c r="F457" s="477">
        <v>44281</v>
      </c>
      <c r="G457" s="312" t="s">
        <v>2910</v>
      </c>
      <c r="H457" s="213" t="s">
        <v>2911</v>
      </c>
      <c r="I457" s="213" t="s">
        <v>210</v>
      </c>
      <c r="J457" s="474">
        <v>5266812</v>
      </c>
      <c r="K457" s="213" t="s">
        <v>138</v>
      </c>
      <c r="L457" s="213" t="s">
        <v>139</v>
      </c>
      <c r="M457" s="213" t="s">
        <v>44</v>
      </c>
      <c r="N457" s="213" t="s">
        <v>45</v>
      </c>
      <c r="O457" s="213" t="s">
        <v>142</v>
      </c>
      <c r="P457" s="213" t="s">
        <v>43</v>
      </c>
      <c r="R457" s="483">
        <v>489</v>
      </c>
      <c r="S457" s="487">
        <v>44281</v>
      </c>
      <c r="T457" s="483" t="s">
        <v>4347</v>
      </c>
      <c r="U457" s="474">
        <v>5266812</v>
      </c>
      <c r="V457" s="407"/>
      <c r="W457" s="363"/>
      <c r="X457" s="480" t="s">
        <v>3888</v>
      </c>
      <c r="Y457" s="481">
        <v>44285</v>
      </c>
      <c r="Z457" s="481">
        <v>44285</v>
      </c>
      <c r="AA457" s="481">
        <v>44330</v>
      </c>
      <c r="AB457" s="482" t="s">
        <v>2913</v>
      </c>
      <c r="AC457" s="480" t="s">
        <v>4348</v>
      </c>
      <c r="AD457" s="482" t="s">
        <v>4349</v>
      </c>
      <c r="AE457" s="483" t="s">
        <v>4350</v>
      </c>
      <c r="AF457" s="472">
        <v>5266812</v>
      </c>
      <c r="AG457" s="473">
        <f t="shared" si="7"/>
        <v>0</v>
      </c>
      <c r="AK457" s="474">
        <v>3511208</v>
      </c>
      <c r="AL457" s="474">
        <v>117040</v>
      </c>
      <c r="AM457" s="307">
        <v>1638564</v>
      </c>
    </row>
    <row r="458" spans="1:39" hidden="1" x14ac:dyDescent="0.25">
      <c r="A458" s="475" t="s">
        <v>2672</v>
      </c>
      <c r="B458" s="476">
        <v>65413872</v>
      </c>
      <c r="C458" s="213" t="s">
        <v>2909</v>
      </c>
      <c r="D458" s="312">
        <v>453</v>
      </c>
      <c r="E458" s="312">
        <v>20217000017583</v>
      </c>
      <c r="F458" s="477">
        <v>44281</v>
      </c>
      <c r="G458" s="312" t="s">
        <v>2910</v>
      </c>
      <c r="H458" s="213" t="s">
        <v>2911</v>
      </c>
      <c r="I458" s="213" t="s">
        <v>164</v>
      </c>
      <c r="J458" s="474">
        <v>52500000</v>
      </c>
      <c r="K458" s="213" t="s">
        <v>138</v>
      </c>
      <c r="L458" s="213" t="s">
        <v>139</v>
      </c>
      <c r="M458" s="213" t="s">
        <v>44</v>
      </c>
      <c r="N458" s="213" t="s">
        <v>45</v>
      </c>
      <c r="O458" s="213" t="s">
        <v>142</v>
      </c>
      <c r="P458" s="213" t="s">
        <v>43</v>
      </c>
      <c r="R458" s="483">
        <v>492</v>
      </c>
      <c r="S458" s="487">
        <v>44281</v>
      </c>
      <c r="T458" s="483" t="s">
        <v>4351</v>
      </c>
      <c r="U458" s="474">
        <v>52500000</v>
      </c>
      <c r="V458" s="407"/>
      <c r="W458" s="363"/>
      <c r="X458" s="480" t="s">
        <v>4352</v>
      </c>
      <c r="Y458" s="481">
        <v>44302</v>
      </c>
      <c r="Z458" s="481">
        <v>44302</v>
      </c>
      <c r="AA458" s="481">
        <v>44516</v>
      </c>
      <c r="AB458" s="482" t="s">
        <v>2913</v>
      </c>
      <c r="AC458" s="480" t="s">
        <v>4092</v>
      </c>
      <c r="AD458" s="482" t="s">
        <v>4353</v>
      </c>
      <c r="AE458" s="483" t="s">
        <v>3076</v>
      </c>
      <c r="AF458" s="472">
        <v>52500000</v>
      </c>
      <c r="AG458" s="473">
        <f t="shared" si="7"/>
        <v>0</v>
      </c>
      <c r="AL458" s="474">
        <v>4000000</v>
      </c>
      <c r="AM458" s="307">
        <v>7500000</v>
      </c>
    </row>
    <row r="459" spans="1:39" hidden="1" x14ac:dyDescent="0.25">
      <c r="A459" s="475" t="s">
        <v>2333</v>
      </c>
      <c r="B459" s="476">
        <v>27800895</v>
      </c>
      <c r="C459" s="213" t="s">
        <v>2909</v>
      </c>
      <c r="D459" s="312">
        <v>454</v>
      </c>
      <c r="E459" s="312">
        <v>20217000017593</v>
      </c>
      <c r="F459" s="477">
        <v>44281</v>
      </c>
      <c r="G459" s="312" t="s">
        <v>2910</v>
      </c>
      <c r="H459" s="213" t="s">
        <v>2911</v>
      </c>
      <c r="I459" s="213" t="s">
        <v>164</v>
      </c>
      <c r="J459" s="474">
        <v>16353468</v>
      </c>
      <c r="K459" s="213" t="s">
        <v>138</v>
      </c>
      <c r="L459" s="213" t="s">
        <v>139</v>
      </c>
      <c r="M459" s="213" t="s">
        <v>44</v>
      </c>
      <c r="N459" s="213" t="s">
        <v>45</v>
      </c>
      <c r="O459" s="213" t="s">
        <v>142</v>
      </c>
      <c r="P459" s="213" t="s">
        <v>43</v>
      </c>
      <c r="R459" s="483">
        <v>493</v>
      </c>
      <c r="S459" s="487">
        <v>44281</v>
      </c>
      <c r="T459" s="483" t="s">
        <v>4354</v>
      </c>
      <c r="U459" s="474">
        <v>16353468</v>
      </c>
      <c r="V459" s="407"/>
      <c r="W459" s="363"/>
      <c r="X459" s="480" t="s">
        <v>4355</v>
      </c>
      <c r="Y459" s="481">
        <v>44302</v>
      </c>
      <c r="Z459" s="481">
        <v>44302</v>
      </c>
      <c r="AA459" s="481">
        <v>44485</v>
      </c>
      <c r="AB459" s="482" t="s">
        <v>2913</v>
      </c>
      <c r="AC459" s="480" t="s">
        <v>4067</v>
      </c>
      <c r="AD459" s="482" t="s">
        <v>4356</v>
      </c>
      <c r="AE459" s="483" t="s">
        <v>4357</v>
      </c>
      <c r="AF459" s="472">
        <v>16353468</v>
      </c>
      <c r="AG459" s="473">
        <f t="shared" si="7"/>
        <v>0</v>
      </c>
      <c r="AM459" s="307">
        <v>4088367</v>
      </c>
    </row>
    <row r="460" spans="1:39" s="313" customFormat="1" hidden="1" x14ac:dyDescent="0.25">
      <c r="A460" s="362" t="s">
        <v>2718</v>
      </c>
      <c r="B460" s="418">
        <v>44958672</v>
      </c>
      <c r="C460" s="313" t="s">
        <v>3025</v>
      </c>
      <c r="D460" s="326">
        <v>455</v>
      </c>
      <c r="E460" s="326">
        <v>20217000017633</v>
      </c>
      <c r="F460" s="316">
        <v>44281</v>
      </c>
      <c r="G460" s="326" t="s">
        <v>2910</v>
      </c>
      <c r="H460" s="313" t="s">
        <v>2911</v>
      </c>
      <c r="I460" s="313" t="s">
        <v>164</v>
      </c>
      <c r="J460" s="406">
        <v>24530300</v>
      </c>
      <c r="K460" s="313" t="s">
        <v>138</v>
      </c>
      <c r="L460" s="313" t="s">
        <v>139</v>
      </c>
      <c r="M460" s="313" t="s">
        <v>44</v>
      </c>
      <c r="N460" s="313" t="s">
        <v>45</v>
      </c>
      <c r="O460" s="313" t="s">
        <v>142</v>
      </c>
      <c r="P460" s="313" t="s">
        <v>43</v>
      </c>
      <c r="R460" s="361">
        <v>494</v>
      </c>
      <c r="S460" s="364">
        <v>44281</v>
      </c>
      <c r="T460" s="361" t="s">
        <v>4358</v>
      </c>
      <c r="U460" s="406">
        <f>24530300-24530300</f>
        <v>0</v>
      </c>
      <c r="V460" s="407">
        <v>24530300</v>
      </c>
      <c r="W460" s="363"/>
      <c r="X460" s="315"/>
      <c r="Y460" s="359"/>
      <c r="Z460" s="359"/>
      <c r="AA460" s="359"/>
      <c r="AB460" s="318"/>
      <c r="AC460" s="317"/>
      <c r="AD460" s="318"/>
      <c r="AF460" s="411"/>
      <c r="AG460" s="319">
        <f t="shared" si="7"/>
        <v>0</v>
      </c>
      <c r="AH460" s="406"/>
      <c r="AI460" s="406"/>
      <c r="AJ460" s="406"/>
      <c r="AK460" s="406"/>
      <c r="AL460" s="406"/>
      <c r="AM460" s="213"/>
    </row>
    <row r="461" spans="1:39" hidden="1" x14ac:dyDescent="0.25">
      <c r="A461" s="475" t="s">
        <v>2676</v>
      </c>
      <c r="B461" s="476">
        <v>65413872</v>
      </c>
      <c r="C461" s="213" t="s">
        <v>2909</v>
      </c>
      <c r="D461" s="312">
        <v>456</v>
      </c>
      <c r="E461" s="312">
        <v>20217000017663</v>
      </c>
      <c r="F461" s="477">
        <v>44281</v>
      </c>
      <c r="G461" s="312" t="s">
        <v>2910</v>
      </c>
      <c r="H461" s="213" t="s">
        <v>2911</v>
      </c>
      <c r="I461" s="213" t="s">
        <v>164</v>
      </c>
      <c r="J461" s="474">
        <v>43609248</v>
      </c>
      <c r="K461" s="213" t="s">
        <v>138</v>
      </c>
      <c r="L461" s="213" t="s">
        <v>139</v>
      </c>
      <c r="M461" s="213" t="s">
        <v>44</v>
      </c>
      <c r="N461" s="213" t="s">
        <v>45</v>
      </c>
      <c r="O461" s="213" t="s">
        <v>142</v>
      </c>
      <c r="P461" s="213" t="s">
        <v>43</v>
      </c>
      <c r="R461" s="483">
        <v>495</v>
      </c>
      <c r="S461" s="487">
        <v>44281</v>
      </c>
      <c r="T461" s="483" t="s">
        <v>4359</v>
      </c>
      <c r="U461" s="474">
        <v>43609248</v>
      </c>
      <c r="V461" s="407"/>
      <c r="W461" s="363"/>
      <c r="X461" s="480" t="s">
        <v>4360</v>
      </c>
      <c r="Y461" s="481">
        <v>44299</v>
      </c>
      <c r="Z461" s="481">
        <v>44299</v>
      </c>
      <c r="AA461" s="481">
        <v>44482</v>
      </c>
      <c r="AB461" s="482" t="s">
        <v>2913</v>
      </c>
      <c r="AC461" s="480" t="s">
        <v>4181</v>
      </c>
      <c r="AD461" s="482" t="s">
        <v>4361</v>
      </c>
      <c r="AE461" s="483" t="s">
        <v>2964</v>
      </c>
      <c r="AF461" s="472">
        <v>43609248</v>
      </c>
      <c r="AG461" s="473">
        <f t="shared" si="7"/>
        <v>0</v>
      </c>
      <c r="AL461" s="474">
        <v>4360925</v>
      </c>
      <c r="AM461" s="307">
        <v>7268208</v>
      </c>
    </row>
    <row r="462" spans="1:39" hidden="1" x14ac:dyDescent="0.25">
      <c r="A462" s="475" t="s">
        <v>2330</v>
      </c>
      <c r="B462" s="476">
        <v>73590606</v>
      </c>
      <c r="C462" s="213" t="s">
        <v>2909</v>
      </c>
      <c r="D462" s="312">
        <v>457</v>
      </c>
      <c r="E462" s="312">
        <v>20217000017723</v>
      </c>
      <c r="F462" s="477">
        <v>44281</v>
      </c>
      <c r="G462" s="312" t="s">
        <v>2910</v>
      </c>
      <c r="H462" s="213" t="s">
        <v>2911</v>
      </c>
      <c r="I462" s="213" t="s">
        <v>164</v>
      </c>
      <c r="J462" s="474">
        <v>65413872</v>
      </c>
      <c r="K462" s="213" t="s">
        <v>138</v>
      </c>
      <c r="L462" s="213" t="s">
        <v>139</v>
      </c>
      <c r="M462" s="213" t="s">
        <v>44</v>
      </c>
      <c r="N462" s="213" t="s">
        <v>45</v>
      </c>
      <c r="O462" s="213" t="s">
        <v>142</v>
      </c>
      <c r="P462" s="213" t="s">
        <v>43</v>
      </c>
      <c r="R462" s="483">
        <v>497</v>
      </c>
      <c r="S462" s="487">
        <v>44281</v>
      </c>
      <c r="T462" s="483" t="s">
        <v>4362</v>
      </c>
      <c r="U462" s="474">
        <v>65413872</v>
      </c>
      <c r="V462" s="407"/>
      <c r="W462" s="363"/>
      <c r="X462" s="212" t="s">
        <v>4363</v>
      </c>
      <c r="Y462" s="471">
        <v>44301</v>
      </c>
      <c r="Z462" s="471">
        <v>44301</v>
      </c>
      <c r="AA462" s="471">
        <v>44545</v>
      </c>
      <c r="AB462" s="3" t="s">
        <v>2913</v>
      </c>
      <c r="AC462" s="212" t="s">
        <v>3782</v>
      </c>
      <c r="AD462" s="3" t="s">
        <v>4364</v>
      </c>
      <c r="AE462" s="213" t="s">
        <v>4365</v>
      </c>
      <c r="AF462" s="472">
        <v>65413872</v>
      </c>
      <c r="AG462" s="473">
        <f t="shared" si="7"/>
        <v>0</v>
      </c>
      <c r="AL462" s="474">
        <v>4360925</v>
      </c>
      <c r="AM462" s="307">
        <v>8176734</v>
      </c>
    </row>
    <row r="463" spans="1:39" hidden="1" x14ac:dyDescent="0.25">
      <c r="A463" s="475" t="s">
        <v>4366</v>
      </c>
      <c r="B463" s="476">
        <v>44000000</v>
      </c>
      <c r="C463" s="213" t="s">
        <v>2909</v>
      </c>
      <c r="D463" s="312">
        <v>458</v>
      </c>
      <c r="E463" s="312">
        <v>20211200017713</v>
      </c>
      <c r="F463" s="477">
        <v>44281</v>
      </c>
      <c r="G463" s="310" t="s">
        <v>2910</v>
      </c>
      <c r="H463" s="211" t="s">
        <v>2911</v>
      </c>
      <c r="I463" s="213" t="s">
        <v>143</v>
      </c>
      <c r="J463" s="408">
        <v>27500000</v>
      </c>
      <c r="K463" s="211" t="s">
        <v>138</v>
      </c>
      <c r="L463" s="211" t="s">
        <v>139</v>
      </c>
      <c r="M463" s="211" t="s">
        <v>44</v>
      </c>
      <c r="N463" s="211" t="s">
        <v>45</v>
      </c>
      <c r="O463" s="211" t="s">
        <v>142</v>
      </c>
      <c r="P463" s="211" t="s">
        <v>43</v>
      </c>
      <c r="R463" s="483">
        <v>496</v>
      </c>
      <c r="S463" s="487">
        <v>44281</v>
      </c>
      <c r="T463" s="483" t="s">
        <v>4367</v>
      </c>
      <c r="U463" s="474">
        <v>27500000</v>
      </c>
      <c r="V463" s="407"/>
      <c r="W463" s="363"/>
      <c r="AG463" s="473">
        <f t="shared" si="7"/>
        <v>27500000</v>
      </c>
      <c r="AM463" s="213"/>
    </row>
    <row r="464" spans="1:39" hidden="1" x14ac:dyDescent="0.25">
      <c r="A464" s="475" t="s">
        <v>2331</v>
      </c>
      <c r="B464" s="476">
        <v>57000000</v>
      </c>
      <c r="C464" s="213" t="s">
        <v>2909</v>
      </c>
      <c r="D464" s="312">
        <v>459</v>
      </c>
      <c r="E464" s="312">
        <v>20217000017773</v>
      </c>
      <c r="F464" s="477">
        <v>44281</v>
      </c>
      <c r="G464" s="312" t="s">
        <v>2910</v>
      </c>
      <c r="H464" s="213" t="s">
        <v>2911</v>
      </c>
      <c r="I464" s="213" t="s">
        <v>164</v>
      </c>
      <c r="J464" s="474">
        <v>54511560</v>
      </c>
      <c r="K464" s="213" t="s">
        <v>138</v>
      </c>
      <c r="L464" s="213" t="s">
        <v>139</v>
      </c>
      <c r="M464" s="213" t="s">
        <v>44</v>
      </c>
      <c r="N464" s="213" t="s">
        <v>45</v>
      </c>
      <c r="O464" s="213" t="s">
        <v>142</v>
      </c>
      <c r="P464" s="213" t="s">
        <v>43</v>
      </c>
      <c r="R464" s="483">
        <v>499</v>
      </c>
      <c r="S464" s="487">
        <v>44281</v>
      </c>
      <c r="T464" s="483" t="s">
        <v>4368</v>
      </c>
      <c r="U464" s="474">
        <v>54511560</v>
      </c>
      <c r="V464" s="407"/>
      <c r="W464" s="363"/>
      <c r="X464" s="480" t="s">
        <v>4369</v>
      </c>
      <c r="Y464" s="481">
        <v>44298</v>
      </c>
      <c r="Z464" s="481">
        <v>44298</v>
      </c>
      <c r="AA464" s="481">
        <v>44542</v>
      </c>
      <c r="AB464" s="482" t="s">
        <v>2913</v>
      </c>
      <c r="AC464" s="480" t="s">
        <v>4370</v>
      </c>
      <c r="AD464" s="482" t="s">
        <v>4371</v>
      </c>
      <c r="AE464" s="483" t="s">
        <v>4372</v>
      </c>
      <c r="AF464" s="472">
        <v>54511560</v>
      </c>
      <c r="AG464" s="473">
        <f t="shared" si="7"/>
        <v>0</v>
      </c>
      <c r="AL464" s="474">
        <v>4088367</v>
      </c>
      <c r="AM464" s="307">
        <v>6813945</v>
      </c>
    </row>
    <row r="465" spans="1:39" hidden="1" x14ac:dyDescent="0.25">
      <c r="B465" s="476" t="s">
        <v>2946</v>
      </c>
      <c r="C465" s="213" t="s">
        <v>4373</v>
      </c>
      <c r="D465" s="312">
        <v>460</v>
      </c>
      <c r="E465" s="312">
        <v>20217000017643</v>
      </c>
      <c r="F465" s="477">
        <v>44281</v>
      </c>
      <c r="G465" s="312" t="s">
        <v>2910</v>
      </c>
      <c r="H465" s="213" t="s">
        <v>2911</v>
      </c>
      <c r="I465" s="213" t="s">
        <v>164</v>
      </c>
      <c r="J465" s="474">
        <v>9875283</v>
      </c>
      <c r="K465" s="213" t="s">
        <v>138</v>
      </c>
      <c r="L465" s="213" t="s">
        <v>139</v>
      </c>
      <c r="M465" s="213" t="s">
        <v>44</v>
      </c>
      <c r="N465" s="213" t="s">
        <v>45</v>
      </c>
      <c r="O465" s="213" t="s">
        <v>142</v>
      </c>
      <c r="P465" s="213" t="s">
        <v>43</v>
      </c>
      <c r="R465" s="483">
        <v>498</v>
      </c>
      <c r="S465" s="487">
        <v>44281</v>
      </c>
      <c r="T465" s="483" t="s">
        <v>4374</v>
      </c>
      <c r="U465" s="474">
        <v>9875283</v>
      </c>
      <c r="V465" s="407"/>
      <c r="W465" s="363"/>
      <c r="X465" s="480" t="s">
        <v>4375</v>
      </c>
      <c r="Y465" s="481">
        <v>44292</v>
      </c>
      <c r="Z465" s="481">
        <v>44292</v>
      </c>
      <c r="AA465" s="481">
        <v>44367</v>
      </c>
      <c r="AB465" s="482" t="s">
        <v>2913</v>
      </c>
      <c r="AC465" s="480" t="s">
        <v>4376</v>
      </c>
      <c r="AD465" s="482" t="s">
        <v>4377</v>
      </c>
      <c r="AE465" s="483" t="s">
        <v>4378</v>
      </c>
      <c r="AF465" s="472">
        <v>9875283</v>
      </c>
      <c r="AG465" s="473">
        <f t="shared" si="7"/>
        <v>0</v>
      </c>
      <c r="AL465" s="474">
        <v>3291760</v>
      </c>
      <c r="AM465" s="307">
        <v>3950113</v>
      </c>
    </row>
    <row r="466" spans="1:39" hidden="1" x14ac:dyDescent="0.25">
      <c r="A466" s="475" t="s">
        <v>2468</v>
      </c>
      <c r="B466" s="476">
        <v>60000000</v>
      </c>
      <c r="C466" s="213" t="s">
        <v>2909</v>
      </c>
      <c r="D466" s="312">
        <v>461</v>
      </c>
      <c r="E466" s="312">
        <v>20211200018003</v>
      </c>
      <c r="F466" s="477">
        <v>44284</v>
      </c>
      <c r="G466" s="310" t="s">
        <v>2910</v>
      </c>
      <c r="H466" s="211" t="s">
        <v>2911</v>
      </c>
      <c r="I466" s="213" t="s">
        <v>143</v>
      </c>
      <c r="J466" s="408">
        <v>60000000</v>
      </c>
      <c r="K466" s="211" t="s">
        <v>138</v>
      </c>
      <c r="L466" s="211" t="s">
        <v>139</v>
      </c>
      <c r="M466" s="211" t="s">
        <v>44</v>
      </c>
      <c r="N466" s="211" t="s">
        <v>45</v>
      </c>
      <c r="O466" s="211" t="s">
        <v>142</v>
      </c>
      <c r="P466" s="211" t="s">
        <v>43</v>
      </c>
      <c r="R466" s="497">
        <v>500</v>
      </c>
      <c r="S466" s="520">
        <v>44284</v>
      </c>
      <c r="T466" s="497" t="s">
        <v>4379</v>
      </c>
      <c r="U466" s="474">
        <v>60000000</v>
      </c>
      <c r="V466" s="407"/>
      <c r="W466" s="363"/>
      <c r="X466" s="480" t="s">
        <v>4380</v>
      </c>
      <c r="Y466" s="481">
        <v>44302</v>
      </c>
      <c r="Z466" s="481">
        <v>44302</v>
      </c>
      <c r="AA466" s="481">
        <v>44546</v>
      </c>
      <c r="AB466" s="482" t="s">
        <v>2913</v>
      </c>
      <c r="AC466" s="480" t="s">
        <v>3772</v>
      </c>
      <c r="AD466" s="482" t="s">
        <v>4381</v>
      </c>
      <c r="AE466" s="483" t="s">
        <v>2950</v>
      </c>
      <c r="AF466" s="472">
        <v>60000000</v>
      </c>
      <c r="AG466" s="473">
        <f t="shared" si="7"/>
        <v>0</v>
      </c>
      <c r="AM466" s="307">
        <f>3750000+7500000</f>
        <v>11250000</v>
      </c>
    </row>
    <row r="467" spans="1:39" ht="15.75" hidden="1" x14ac:dyDescent="0.25">
      <c r="C467" s="213" t="s">
        <v>4382</v>
      </c>
      <c r="D467" s="312">
        <v>462</v>
      </c>
      <c r="E467" s="312">
        <v>20214000018033</v>
      </c>
      <c r="F467" s="477">
        <v>44284</v>
      </c>
      <c r="G467" s="312" t="s">
        <v>2943</v>
      </c>
      <c r="H467" s="213" t="s">
        <v>2944</v>
      </c>
      <c r="I467" s="213" t="s">
        <v>47</v>
      </c>
      <c r="J467" s="427">
        <v>6000000</v>
      </c>
      <c r="K467" s="213" t="s">
        <v>37</v>
      </c>
      <c r="L467" s="512" t="s">
        <v>3443</v>
      </c>
      <c r="M467" s="213" t="s">
        <v>44</v>
      </c>
      <c r="N467" s="213" t="s">
        <v>45</v>
      </c>
      <c r="O467" s="213" t="s">
        <v>310</v>
      </c>
      <c r="P467" s="213" t="s">
        <v>43</v>
      </c>
      <c r="R467" s="483">
        <v>501</v>
      </c>
      <c r="S467" s="487">
        <v>44284</v>
      </c>
      <c r="T467" s="483" t="s">
        <v>4383</v>
      </c>
      <c r="U467" s="486">
        <v>6000000</v>
      </c>
      <c r="V467" s="407"/>
      <c r="W467" s="400"/>
      <c r="X467" s="480" t="s">
        <v>4384</v>
      </c>
      <c r="Y467" s="481">
        <v>44292</v>
      </c>
      <c r="Z467" s="481">
        <v>44292</v>
      </c>
      <c r="AA467" s="481">
        <v>44316</v>
      </c>
      <c r="AB467" s="482" t="s">
        <v>3369</v>
      </c>
      <c r="AC467" s="480" t="s">
        <v>4385</v>
      </c>
      <c r="AD467" s="482" t="s">
        <v>3730</v>
      </c>
      <c r="AE467" s="483" t="s">
        <v>3731</v>
      </c>
      <c r="AF467" s="472">
        <v>2129646</v>
      </c>
      <c r="AG467" s="473">
        <f t="shared" si="7"/>
        <v>3870354</v>
      </c>
      <c r="AH467" s="427"/>
      <c r="AI467" s="427"/>
      <c r="AK467" s="474">
        <v>2129646</v>
      </c>
      <c r="AM467" s="213"/>
    </row>
    <row r="468" spans="1:39" hidden="1" x14ac:dyDescent="0.25">
      <c r="B468" s="476" t="s">
        <v>2946</v>
      </c>
      <c r="C468" s="213" t="s">
        <v>4386</v>
      </c>
      <c r="D468" s="312">
        <v>463</v>
      </c>
      <c r="E468" s="312">
        <v>20211400015003</v>
      </c>
      <c r="F468" s="477">
        <v>44285</v>
      </c>
      <c r="G468" s="312" t="s">
        <v>2910</v>
      </c>
      <c r="H468" s="213" t="s">
        <v>2911</v>
      </c>
      <c r="I468" s="213" t="s">
        <v>184</v>
      </c>
      <c r="J468" s="474">
        <v>3950100</v>
      </c>
      <c r="K468" s="213" t="s">
        <v>138</v>
      </c>
      <c r="L468" s="213" t="s">
        <v>2915</v>
      </c>
      <c r="M468" s="213" t="s">
        <v>44</v>
      </c>
      <c r="N468" s="213" t="s">
        <v>45</v>
      </c>
      <c r="O468" s="213" t="s">
        <v>142</v>
      </c>
      <c r="P468" s="213" t="s">
        <v>43</v>
      </c>
      <c r="R468" s="483">
        <v>502</v>
      </c>
      <c r="S468" s="487">
        <v>44285</v>
      </c>
      <c r="T468" s="483" t="s">
        <v>4387</v>
      </c>
      <c r="U468" s="474">
        <v>3950100</v>
      </c>
      <c r="V468" s="407"/>
      <c r="W468" s="363"/>
      <c r="X468" s="480" t="s">
        <v>4212</v>
      </c>
      <c r="Y468" s="481">
        <v>44285</v>
      </c>
      <c r="Z468" s="481">
        <v>44286</v>
      </c>
      <c r="AA468" s="481">
        <v>44331</v>
      </c>
      <c r="AB468" s="482" t="s">
        <v>2913</v>
      </c>
      <c r="AC468" s="480" t="s">
        <v>4388</v>
      </c>
      <c r="AD468" s="482" t="s">
        <v>4389</v>
      </c>
      <c r="AE468" s="483" t="s">
        <v>4390</v>
      </c>
      <c r="AF468" s="472">
        <v>3950100</v>
      </c>
      <c r="AG468" s="473">
        <f t="shared" si="7"/>
        <v>0</v>
      </c>
      <c r="AL468" s="474">
        <v>2633400</v>
      </c>
      <c r="AM468" s="307">
        <v>1316700</v>
      </c>
    </row>
    <row r="469" spans="1:39" hidden="1" x14ac:dyDescent="0.25">
      <c r="A469" s="475" t="s">
        <v>2298</v>
      </c>
      <c r="B469" s="476">
        <v>33000000</v>
      </c>
      <c r="C469" s="213" t="s">
        <v>2909</v>
      </c>
      <c r="D469" s="312">
        <v>464</v>
      </c>
      <c r="E469" s="312">
        <v>20215000018313</v>
      </c>
      <c r="F469" s="477">
        <v>44285</v>
      </c>
      <c r="G469" s="312" t="s">
        <v>2903</v>
      </c>
      <c r="H469" s="213" t="s">
        <v>2904</v>
      </c>
      <c r="I469" s="213" t="s">
        <v>228</v>
      </c>
      <c r="J469" s="427">
        <v>17600000</v>
      </c>
      <c r="K469" s="213" t="s">
        <v>223</v>
      </c>
      <c r="L469" s="213" t="s">
        <v>3021</v>
      </c>
      <c r="M469" s="213" t="s">
        <v>44</v>
      </c>
      <c r="N469" s="213" t="s">
        <v>45</v>
      </c>
      <c r="O469" s="213" t="s">
        <v>63</v>
      </c>
      <c r="P469" s="213" t="s">
        <v>678</v>
      </c>
      <c r="R469" s="483">
        <v>503</v>
      </c>
      <c r="S469" s="487">
        <v>44285</v>
      </c>
      <c r="T469" s="483" t="s">
        <v>4391</v>
      </c>
      <c r="U469" s="474">
        <f>17600000-17600000</f>
        <v>0</v>
      </c>
      <c r="V469" s="407">
        <v>17600000</v>
      </c>
      <c r="W469" s="363" t="s">
        <v>1757</v>
      </c>
      <c r="AG469" s="473">
        <f t="shared" si="7"/>
        <v>0</v>
      </c>
      <c r="AM469" s="213"/>
    </row>
    <row r="470" spans="1:39" hidden="1" x14ac:dyDescent="0.25">
      <c r="A470" s="475" t="s">
        <v>2738</v>
      </c>
      <c r="B470" s="476">
        <v>32400000</v>
      </c>
      <c r="C470" s="213" t="s">
        <v>2909</v>
      </c>
      <c r="D470" s="312">
        <v>465</v>
      </c>
      <c r="E470" s="312">
        <v>20215000018333</v>
      </c>
      <c r="F470" s="477">
        <v>44285</v>
      </c>
      <c r="G470" s="312" t="s">
        <v>2903</v>
      </c>
      <c r="H470" s="213" t="s">
        <v>2904</v>
      </c>
      <c r="I470" s="213" t="s">
        <v>228</v>
      </c>
      <c r="J470" s="427">
        <v>28800000</v>
      </c>
      <c r="K470" s="213" t="s">
        <v>223</v>
      </c>
      <c r="L470" s="213" t="s">
        <v>3021</v>
      </c>
      <c r="M470" s="213" t="s">
        <v>44</v>
      </c>
      <c r="N470" s="213" t="s">
        <v>45</v>
      </c>
      <c r="O470" s="213" t="s">
        <v>63</v>
      </c>
      <c r="P470" s="213" t="s">
        <v>678</v>
      </c>
      <c r="R470" s="483">
        <v>504</v>
      </c>
      <c r="S470" s="487">
        <v>44285</v>
      </c>
      <c r="T470" s="483" t="s">
        <v>4392</v>
      </c>
      <c r="U470" s="474">
        <f>28800000-800000</f>
        <v>28000000</v>
      </c>
      <c r="V470" s="407">
        <v>800000</v>
      </c>
      <c r="W470" s="363" t="s">
        <v>1757</v>
      </c>
      <c r="X470" s="480" t="s">
        <v>4393</v>
      </c>
      <c r="Y470" s="481">
        <v>44321</v>
      </c>
      <c r="Z470" s="481">
        <v>44321</v>
      </c>
      <c r="AA470" s="481">
        <v>44534</v>
      </c>
      <c r="AB470" s="483" t="s">
        <v>2913</v>
      </c>
      <c r="AC470" s="480" t="s">
        <v>3986</v>
      </c>
      <c r="AD470" s="483" t="s">
        <v>4394</v>
      </c>
      <c r="AE470" s="483" t="s">
        <v>4395</v>
      </c>
      <c r="AF470" s="472">
        <v>28000000</v>
      </c>
      <c r="AG470" s="473">
        <f t="shared" si="7"/>
        <v>0</v>
      </c>
      <c r="AM470" s="307">
        <v>3333333</v>
      </c>
    </row>
    <row r="471" spans="1:39" hidden="1" x14ac:dyDescent="0.25">
      <c r="A471" s="475" t="s">
        <v>4396</v>
      </c>
      <c r="B471" s="476">
        <v>325067484</v>
      </c>
      <c r="C471" s="467" t="s">
        <v>4397</v>
      </c>
      <c r="D471" s="468">
        <v>466</v>
      </c>
      <c r="E471" s="468">
        <v>20215000018343</v>
      </c>
      <c r="F471" s="469">
        <v>44285</v>
      </c>
      <c r="G471" s="468" t="s">
        <v>2903</v>
      </c>
      <c r="H471" s="467" t="s">
        <v>2904</v>
      </c>
      <c r="I471" s="467" t="s">
        <v>228</v>
      </c>
      <c r="J471" s="528">
        <v>325067484</v>
      </c>
      <c r="K471" s="467" t="s">
        <v>223</v>
      </c>
      <c r="L471" s="467" t="s">
        <v>224</v>
      </c>
      <c r="M471" s="467" t="s">
        <v>44</v>
      </c>
      <c r="N471" s="467" t="s">
        <v>45</v>
      </c>
      <c r="O471" s="467" t="s">
        <v>63</v>
      </c>
      <c r="P471" s="213" t="s">
        <v>678</v>
      </c>
      <c r="Q471" s="467"/>
      <c r="R471" s="526">
        <v>505</v>
      </c>
      <c r="S471" s="525">
        <v>44285</v>
      </c>
      <c r="T471" s="526" t="s">
        <v>4398</v>
      </c>
      <c r="U471" s="470">
        <v>325067484</v>
      </c>
      <c r="V471" s="415"/>
      <c r="W471" s="380"/>
      <c r="X471" s="480" t="s">
        <v>4399</v>
      </c>
      <c r="Y471" s="481">
        <v>44316</v>
      </c>
      <c r="Z471" s="481">
        <v>44316</v>
      </c>
      <c r="AA471" s="481">
        <v>44561</v>
      </c>
      <c r="AB471" s="482" t="s">
        <v>4305</v>
      </c>
      <c r="AC471" s="480" t="s">
        <v>3622</v>
      </c>
      <c r="AD471" s="482" t="s">
        <v>4400</v>
      </c>
      <c r="AE471" s="483" t="s">
        <v>4401</v>
      </c>
      <c r="AF471" s="472">
        <v>325067484</v>
      </c>
      <c r="AG471" s="473">
        <f t="shared" si="7"/>
        <v>0</v>
      </c>
      <c r="AI471" s="470"/>
      <c r="AJ471" s="470"/>
      <c r="AK471" s="470"/>
      <c r="AL471" s="470">
        <v>27088957</v>
      </c>
      <c r="AM471" s="213"/>
    </row>
    <row r="472" spans="1:39" hidden="1" x14ac:dyDescent="0.25">
      <c r="A472" s="475" t="s">
        <v>2012</v>
      </c>
      <c r="B472" s="476">
        <v>135660000</v>
      </c>
      <c r="C472" s="213" t="s">
        <v>4402</v>
      </c>
      <c r="D472" s="312">
        <v>467</v>
      </c>
      <c r="E472" s="312">
        <v>20215000018353</v>
      </c>
      <c r="F472" s="477">
        <v>44285</v>
      </c>
      <c r="G472" s="312" t="s">
        <v>2903</v>
      </c>
      <c r="H472" s="213" t="s">
        <v>2904</v>
      </c>
      <c r="I472" s="213" t="s">
        <v>228</v>
      </c>
      <c r="J472" s="427">
        <v>135660000</v>
      </c>
      <c r="K472" s="213" t="s">
        <v>223</v>
      </c>
      <c r="L472" s="213" t="s">
        <v>224</v>
      </c>
      <c r="M472" s="213" t="s">
        <v>44</v>
      </c>
      <c r="N472" s="213" t="s">
        <v>45</v>
      </c>
      <c r="O472" s="213" t="s">
        <v>63</v>
      </c>
      <c r="P472" s="213" t="s">
        <v>678</v>
      </c>
      <c r="R472" s="483">
        <v>506</v>
      </c>
      <c r="S472" s="487">
        <v>44285</v>
      </c>
      <c r="T472" s="483" t="s">
        <v>4403</v>
      </c>
      <c r="U472" s="474">
        <v>135660000</v>
      </c>
      <c r="V472" s="407"/>
      <c r="W472" s="363"/>
      <c r="X472" s="309" t="s">
        <v>4404</v>
      </c>
      <c r="Y472" s="471">
        <v>44343</v>
      </c>
      <c r="Z472" s="481">
        <v>44343</v>
      </c>
      <c r="AA472" s="481">
        <v>44526</v>
      </c>
      <c r="AB472" s="481" t="s">
        <v>4305</v>
      </c>
      <c r="AC472" s="481" t="s">
        <v>4369</v>
      </c>
      <c r="AD472" s="529" t="s">
        <v>4405</v>
      </c>
      <c r="AE472" s="529" t="s">
        <v>4406</v>
      </c>
      <c r="AF472" s="472">
        <v>135660000</v>
      </c>
      <c r="AG472" s="473">
        <f t="shared" si="7"/>
        <v>0</v>
      </c>
      <c r="AM472" s="213"/>
    </row>
    <row r="473" spans="1:39" s="313" customFormat="1" ht="15.75" hidden="1" x14ac:dyDescent="0.25">
      <c r="A473" s="362" t="s">
        <v>4407</v>
      </c>
      <c r="B473" s="418">
        <v>59000000</v>
      </c>
      <c r="C473" s="530" t="s">
        <v>4408</v>
      </c>
      <c r="D473" s="382">
        <v>468</v>
      </c>
      <c r="E473" s="382">
        <v>20215000018393</v>
      </c>
      <c r="F473" s="383">
        <v>44285</v>
      </c>
      <c r="G473" s="382" t="s">
        <v>2903</v>
      </c>
      <c r="H473" s="365" t="s">
        <v>2904</v>
      </c>
      <c r="I473" s="365" t="s">
        <v>228</v>
      </c>
      <c r="J473" s="415">
        <v>59000000</v>
      </c>
      <c r="K473" s="365" t="s">
        <v>223</v>
      </c>
      <c r="L473" s="365" t="s">
        <v>257</v>
      </c>
      <c r="M473" s="365" t="s">
        <v>44</v>
      </c>
      <c r="N473" s="365" t="s">
        <v>45</v>
      </c>
      <c r="O473" s="365" t="s">
        <v>46</v>
      </c>
      <c r="P473" s="365" t="s">
        <v>678</v>
      </c>
      <c r="Q473" s="365"/>
      <c r="R473" s="385">
        <v>507</v>
      </c>
      <c r="S473" s="384">
        <v>44285</v>
      </c>
      <c r="T473" s="385" t="s">
        <v>4409</v>
      </c>
      <c r="U473" s="409">
        <f>59000000-59000000</f>
        <v>0</v>
      </c>
      <c r="V473" s="415">
        <v>59000000</v>
      </c>
      <c r="W473" s="380" t="s">
        <v>1757</v>
      </c>
      <c r="X473" s="315"/>
      <c r="Y473" s="359"/>
      <c r="Z473" s="359"/>
      <c r="AA473" s="359"/>
      <c r="AB473" s="318"/>
      <c r="AC473" s="317"/>
      <c r="AD473" s="318"/>
      <c r="AF473" s="411"/>
      <c r="AG473" s="319">
        <f t="shared" si="7"/>
        <v>0</v>
      </c>
      <c r="AH473" s="406"/>
      <c r="AI473" s="409"/>
      <c r="AJ473" s="409"/>
      <c r="AK473" s="409"/>
      <c r="AL473" s="409"/>
      <c r="AM473" s="213"/>
    </row>
    <row r="474" spans="1:39" ht="15.75" hidden="1" x14ac:dyDescent="0.25">
      <c r="B474" s="466" t="s">
        <v>2946</v>
      </c>
      <c r="C474" s="531" t="s">
        <v>4410</v>
      </c>
      <c r="D474" s="468">
        <v>469</v>
      </c>
      <c r="E474" s="468">
        <v>20211300018303</v>
      </c>
      <c r="F474" s="469">
        <v>44285</v>
      </c>
      <c r="G474" s="468" t="s">
        <v>2910</v>
      </c>
      <c r="H474" s="467" t="s">
        <v>2911</v>
      </c>
      <c r="I474" s="467" t="s">
        <v>210</v>
      </c>
      <c r="J474" s="528">
        <v>11411438</v>
      </c>
      <c r="K474" s="467" t="s">
        <v>138</v>
      </c>
      <c r="L474" s="467" t="s">
        <v>139</v>
      </c>
      <c r="M474" s="467" t="s">
        <v>44</v>
      </c>
      <c r="N474" s="467" t="s">
        <v>45</v>
      </c>
      <c r="O474" s="467" t="s">
        <v>142</v>
      </c>
      <c r="P474" s="467" t="s">
        <v>43</v>
      </c>
      <c r="Q474" s="467"/>
      <c r="R474" s="526">
        <v>508</v>
      </c>
      <c r="S474" s="525">
        <v>44285</v>
      </c>
      <c r="T474" s="526" t="s">
        <v>4411</v>
      </c>
      <c r="U474" s="470">
        <v>11411438</v>
      </c>
      <c r="V474" s="415"/>
      <c r="W474" s="380"/>
      <c r="X474" s="309" t="s">
        <v>4412</v>
      </c>
      <c r="Y474" s="471">
        <v>44295</v>
      </c>
      <c r="Z474" s="471">
        <v>44298</v>
      </c>
      <c r="AA474" s="471">
        <v>44358</v>
      </c>
      <c r="AB474" s="3" t="s">
        <v>2913</v>
      </c>
      <c r="AC474" s="212" t="s">
        <v>4413</v>
      </c>
      <c r="AD474" s="3" t="s">
        <v>4414</v>
      </c>
      <c r="AE474" s="213" t="s">
        <v>4415</v>
      </c>
      <c r="AF474" s="472">
        <v>11411438</v>
      </c>
      <c r="AG474" s="473">
        <f t="shared" si="7"/>
        <v>0</v>
      </c>
      <c r="AI474" s="470"/>
      <c r="AJ474" s="470"/>
      <c r="AK474" s="470"/>
      <c r="AL474" s="470">
        <v>3423431</v>
      </c>
      <c r="AM474" s="307">
        <v>5705719</v>
      </c>
    </row>
    <row r="475" spans="1:39" hidden="1" x14ac:dyDescent="0.25">
      <c r="A475" s="475" t="s">
        <v>2480</v>
      </c>
      <c r="B475" s="476">
        <v>56838880</v>
      </c>
      <c r="C475" s="213" t="s">
        <v>2909</v>
      </c>
      <c r="D475" s="312">
        <v>470</v>
      </c>
      <c r="E475" s="312">
        <v>20211300018483</v>
      </c>
      <c r="F475" s="477">
        <v>44285</v>
      </c>
      <c r="G475" s="312" t="s">
        <v>2910</v>
      </c>
      <c r="H475" s="213" t="s">
        <v>2911</v>
      </c>
      <c r="I475" s="213" t="s">
        <v>210</v>
      </c>
      <c r="J475" s="427">
        <v>32479360</v>
      </c>
      <c r="K475" s="213" t="s">
        <v>138</v>
      </c>
      <c r="L475" s="213" t="s">
        <v>139</v>
      </c>
      <c r="M475" s="213" t="s">
        <v>44</v>
      </c>
      <c r="N475" s="213" t="s">
        <v>45</v>
      </c>
      <c r="O475" s="213" t="s">
        <v>142</v>
      </c>
      <c r="P475" s="213" t="s">
        <v>43</v>
      </c>
      <c r="R475" s="483">
        <v>509</v>
      </c>
      <c r="S475" s="487">
        <v>44285</v>
      </c>
      <c r="T475" s="483" t="s">
        <v>4416</v>
      </c>
      <c r="U475" s="474">
        <v>32479360</v>
      </c>
      <c r="V475" s="407"/>
      <c r="W475" s="363"/>
      <c r="X475" s="480" t="s">
        <v>4417</v>
      </c>
      <c r="Y475" s="481">
        <v>44307</v>
      </c>
      <c r="Z475" s="481">
        <v>44307</v>
      </c>
      <c r="AA475" s="481">
        <v>44428</v>
      </c>
      <c r="AB475" s="482" t="s">
        <v>2913</v>
      </c>
      <c r="AC475" s="480" t="s">
        <v>4418</v>
      </c>
      <c r="AD475" s="482" t="s">
        <v>4419</v>
      </c>
      <c r="AE475" s="483" t="s">
        <v>3082</v>
      </c>
      <c r="AF475" s="472">
        <v>32479360</v>
      </c>
      <c r="AG475" s="473">
        <f t="shared" si="7"/>
        <v>0</v>
      </c>
      <c r="AL475" s="474">
        <v>2706613</v>
      </c>
      <c r="AM475" s="307">
        <v>8119840</v>
      </c>
    </row>
    <row r="476" spans="1:39" hidden="1" x14ac:dyDescent="0.25">
      <c r="A476" s="475" t="s">
        <v>2249</v>
      </c>
      <c r="B476" s="476">
        <v>24530202</v>
      </c>
      <c r="C476" s="213" t="s">
        <v>2909</v>
      </c>
      <c r="D476" s="312">
        <v>471</v>
      </c>
      <c r="E476" s="312">
        <v>20217000018863</v>
      </c>
      <c r="F476" s="477">
        <v>44291</v>
      </c>
      <c r="G476" s="312" t="s">
        <v>2910</v>
      </c>
      <c r="H476" s="213" t="s">
        <v>2911</v>
      </c>
      <c r="I476" s="213" t="s">
        <v>164</v>
      </c>
      <c r="J476" s="474">
        <v>19079046</v>
      </c>
      <c r="K476" s="213" t="s">
        <v>138</v>
      </c>
      <c r="L476" s="213" t="s">
        <v>139</v>
      </c>
      <c r="M476" s="213" t="s">
        <v>44</v>
      </c>
      <c r="N476" s="213" t="s">
        <v>45</v>
      </c>
      <c r="O476" s="213" t="s">
        <v>142</v>
      </c>
      <c r="P476" s="213" t="s">
        <v>43</v>
      </c>
      <c r="R476" s="213">
        <v>511</v>
      </c>
      <c r="S476" s="487">
        <v>44292</v>
      </c>
      <c r="T476" s="483" t="s">
        <v>4420</v>
      </c>
      <c r="U476" s="474">
        <v>19079046</v>
      </c>
      <c r="V476" s="407"/>
      <c r="W476" s="363"/>
      <c r="X476" s="480" t="s">
        <v>4421</v>
      </c>
      <c r="Y476" s="481">
        <v>44305</v>
      </c>
      <c r="Z476" s="481">
        <v>44305</v>
      </c>
      <c r="AA476" s="481">
        <v>44484</v>
      </c>
      <c r="AB476" s="482" t="s">
        <v>2913</v>
      </c>
      <c r="AC476" s="480" t="s">
        <v>4087</v>
      </c>
      <c r="AD476" s="482" t="s">
        <v>4422</v>
      </c>
      <c r="AE476" s="483" t="s">
        <v>4423</v>
      </c>
      <c r="AF476" s="472">
        <v>19048760</v>
      </c>
      <c r="AG476" s="473">
        <f t="shared" si="7"/>
        <v>30286</v>
      </c>
      <c r="AL476" s="474">
        <v>1232567</v>
      </c>
      <c r="AM476" s="307">
        <v>3361546</v>
      </c>
    </row>
    <row r="477" spans="1:39" hidden="1" x14ac:dyDescent="0.25">
      <c r="A477" s="475" t="s">
        <v>2669</v>
      </c>
      <c r="B477" s="476">
        <v>36000000</v>
      </c>
      <c r="C477" s="213" t="s">
        <v>2909</v>
      </c>
      <c r="D477" s="312">
        <v>472</v>
      </c>
      <c r="E477" s="312">
        <v>20217000018963</v>
      </c>
      <c r="F477" s="477">
        <v>44291</v>
      </c>
      <c r="G477" s="312" t="s">
        <v>2910</v>
      </c>
      <c r="H477" s="213" t="s">
        <v>2911</v>
      </c>
      <c r="I477" s="213" t="s">
        <v>164</v>
      </c>
      <c r="J477" s="474">
        <v>24530202</v>
      </c>
      <c r="K477" s="213" t="s">
        <v>138</v>
      </c>
      <c r="L477" s="213" t="s">
        <v>139</v>
      </c>
      <c r="M477" s="213" t="s">
        <v>44</v>
      </c>
      <c r="N477" s="213" t="s">
        <v>45</v>
      </c>
      <c r="O477" s="213" t="s">
        <v>142</v>
      </c>
      <c r="P477" s="213" t="s">
        <v>43</v>
      </c>
      <c r="R477" s="213">
        <v>513</v>
      </c>
      <c r="S477" s="487">
        <v>44292</v>
      </c>
      <c r="T477" s="483" t="s">
        <v>4424</v>
      </c>
      <c r="U477" s="474">
        <v>24530202</v>
      </c>
      <c r="V477" s="407"/>
      <c r="W477" s="363"/>
      <c r="X477" s="480" t="s">
        <v>4425</v>
      </c>
      <c r="Y477" s="481">
        <v>44298</v>
      </c>
      <c r="Z477" s="481">
        <v>44298</v>
      </c>
      <c r="AA477" s="481">
        <v>44481</v>
      </c>
      <c r="AB477" s="482" t="s">
        <v>2913</v>
      </c>
      <c r="AC477" s="480" t="s">
        <v>4045</v>
      </c>
      <c r="AD477" s="482" t="s">
        <v>4426</v>
      </c>
      <c r="AE477" s="483" t="s">
        <v>3072</v>
      </c>
      <c r="AF477" s="472">
        <v>24530202</v>
      </c>
      <c r="AG477" s="473">
        <f t="shared" si="7"/>
        <v>0</v>
      </c>
      <c r="AL477" s="474">
        <v>2453020</v>
      </c>
      <c r="AM477" s="307">
        <v>4088367</v>
      </c>
    </row>
    <row r="478" spans="1:39" hidden="1" x14ac:dyDescent="0.25">
      <c r="A478" s="475" t="s">
        <v>2344</v>
      </c>
      <c r="B478" s="476">
        <v>16000000</v>
      </c>
      <c r="C478" s="213" t="s">
        <v>2909</v>
      </c>
      <c r="D478" s="312">
        <v>473</v>
      </c>
      <c r="E478" s="312">
        <v>20211200018903</v>
      </c>
      <c r="F478" s="477">
        <v>44291</v>
      </c>
      <c r="G478" s="310" t="s">
        <v>2910</v>
      </c>
      <c r="H478" s="211" t="s">
        <v>2911</v>
      </c>
      <c r="I478" s="213" t="s">
        <v>143</v>
      </c>
      <c r="J478" s="408">
        <v>13500000</v>
      </c>
      <c r="K478" s="211" t="s">
        <v>138</v>
      </c>
      <c r="L478" s="211" t="s">
        <v>139</v>
      </c>
      <c r="M478" s="211" t="s">
        <v>44</v>
      </c>
      <c r="N478" s="211" t="s">
        <v>45</v>
      </c>
      <c r="O478" s="211" t="s">
        <v>142</v>
      </c>
      <c r="P478" s="211" t="s">
        <v>43</v>
      </c>
      <c r="R478" s="213">
        <v>512</v>
      </c>
      <c r="S478" s="487">
        <v>44292</v>
      </c>
      <c r="T478" s="483" t="s">
        <v>4427</v>
      </c>
      <c r="U478" s="474">
        <v>13500000</v>
      </c>
      <c r="V478" s="407"/>
      <c r="W478" s="363"/>
      <c r="X478" s="480" t="s">
        <v>4428</v>
      </c>
      <c r="Y478" s="481">
        <v>44299</v>
      </c>
      <c r="Z478" s="481">
        <v>44299</v>
      </c>
      <c r="AA478" s="481">
        <v>44390</v>
      </c>
      <c r="AB478" s="482" t="s">
        <v>2913</v>
      </c>
      <c r="AC478" s="480" t="s">
        <v>4153</v>
      </c>
      <c r="AD478" s="482" t="s">
        <v>4429</v>
      </c>
      <c r="AE478" s="483" t="s">
        <v>3598</v>
      </c>
      <c r="AF478" s="472">
        <v>13500000</v>
      </c>
      <c r="AG478" s="473">
        <f t="shared" si="7"/>
        <v>0</v>
      </c>
      <c r="AL478" s="474">
        <v>2700000</v>
      </c>
      <c r="AM478" s="307">
        <v>4500000</v>
      </c>
    </row>
    <row r="479" spans="1:39" hidden="1" x14ac:dyDescent="0.25">
      <c r="A479" s="475" t="s">
        <v>2719</v>
      </c>
      <c r="B479" s="476">
        <v>43056000</v>
      </c>
      <c r="C479" s="213" t="s">
        <v>2909</v>
      </c>
      <c r="D479" s="312">
        <v>474</v>
      </c>
      <c r="E479" s="312">
        <v>20211400015013</v>
      </c>
      <c r="F479" s="477">
        <v>44291</v>
      </c>
      <c r="G479" s="312" t="s">
        <v>2910</v>
      </c>
      <c r="H479" s="213" t="s">
        <v>2911</v>
      </c>
      <c r="I479" s="213" t="s">
        <v>184</v>
      </c>
      <c r="J479" s="474">
        <v>43056000</v>
      </c>
      <c r="K479" s="213" t="s">
        <v>138</v>
      </c>
      <c r="L479" s="213" t="s">
        <v>2915</v>
      </c>
      <c r="M479" s="213" t="s">
        <v>44</v>
      </c>
      <c r="N479" s="213" t="s">
        <v>45</v>
      </c>
      <c r="O479" s="213" t="s">
        <v>142</v>
      </c>
      <c r="P479" s="213" t="s">
        <v>43</v>
      </c>
      <c r="R479" s="213">
        <v>510</v>
      </c>
      <c r="S479" s="487">
        <v>44292</v>
      </c>
      <c r="T479" s="483" t="s">
        <v>4430</v>
      </c>
      <c r="U479" s="474">
        <v>43056000</v>
      </c>
      <c r="V479" s="407"/>
      <c r="W479" s="363"/>
      <c r="X479" s="480" t="s">
        <v>4431</v>
      </c>
      <c r="Y479" s="481">
        <v>44305</v>
      </c>
      <c r="Z479" s="481">
        <v>44305</v>
      </c>
      <c r="AA479" s="481">
        <v>44548</v>
      </c>
      <c r="AB479" s="482" t="s">
        <v>2913</v>
      </c>
      <c r="AC479" s="480" t="s">
        <v>3589</v>
      </c>
      <c r="AD479" s="482" t="s">
        <v>4432</v>
      </c>
      <c r="AE479" s="483" t="s">
        <v>4433</v>
      </c>
      <c r="AF479" s="472">
        <v>43056000</v>
      </c>
      <c r="AG479" s="473">
        <f t="shared" si="7"/>
        <v>0</v>
      </c>
      <c r="AL479" s="474">
        <v>2152800</v>
      </c>
      <c r="AM479" s="307">
        <v>5382000</v>
      </c>
    </row>
    <row r="480" spans="1:39" hidden="1" x14ac:dyDescent="0.25">
      <c r="A480" s="475" t="s">
        <v>2560</v>
      </c>
      <c r="B480" s="476">
        <v>32500000</v>
      </c>
      <c r="C480" s="213" t="s">
        <v>2909</v>
      </c>
      <c r="D480" s="312">
        <v>475</v>
      </c>
      <c r="E480" s="312">
        <v>20211100019133</v>
      </c>
      <c r="F480" s="477">
        <v>44291</v>
      </c>
      <c r="G480" s="310" t="s">
        <v>2910</v>
      </c>
      <c r="H480" s="211" t="s">
        <v>2911</v>
      </c>
      <c r="I480" s="211" t="s">
        <v>206</v>
      </c>
      <c r="J480" s="408">
        <v>32500000</v>
      </c>
      <c r="K480" s="211" t="s">
        <v>138</v>
      </c>
      <c r="L480" s="211" t="s">
        <v>139</v>
      </c>
      <c r="M480" s="211" t="s">
        <v>44</v>
      </c>
      <c r="N480" s="211" t="s">
        <v>45</v>
      </c>
      <c r="O480" s="211" t="s">
        <v>142</v>
      </c>
      <c r="P480" s="211" t="s">
        <v>43</v>
      </c>
      <c r="Q480" s="211"/>
      <c r="R480" s="213">
        <v>514</v>
      </c>
      <c r="S480" s="487">
        <v>44292</v>
      </c>
      <c r="T480" s="483" t="s">
        <v>4434</v>
      </c>
      <c r="U480" s="474">
        <v>32500000</v>
      </c>
      <c r="V480" s="407"/>
      <c r="W480" s="363"/>
      <c r="X480" s="480" t="s">
        <v>4435</v>
      </c>
      <c r="Y480" s="481">
        <v>44298</v>
      </c>
      <c r="Z480" s="481">
        <v>44298</v>
      </c>
      <c r="AA480" s="481">
        <v>44451</v>
      </c>
      <c r="AB480" s="482" t="s">
        <v>2913</v>
      </c>
      <c r="AC480" s="480" t="s">
        <v>4005</v>
      </c>
      <c r="AD480" s="482" t="s">
        <v>4436</v>
      </c>
      <c r="AE480" s="483" t="s">
        <v>4437</v>
      </c>
      <c r="AF480" s="472">
        <v>32500000</v>
      </c>
      <c r="AG480" s="473">
        <f t="shared" si="7"/>
        <v>0</v>
      </c>
      <c r="AL480" s="474">
        <v>4116667</v>
      </c>
      <c r="AM480" s="307">
        <v>6500000</v>
      </c>
    </row>
    <row r="481" spans="1:39" hidden="1" x14ac:dyDescent="0.25">
      <c r="A481" s="475" t="s">
        <v>2275</v>
      </c>
      <c r="B481" s="476">
        <v>24530202</v>
      </c>
      <c r="C481" s="213" t="s">
        <v>2909</v>
      </c>
      <c r="D481" s="312">
        <v>476</v>
      </c>
      <c r="E481" s="312">
        <v>20217000019673</v>
      </c>
      <c r="F481" s="477">
        <v>44294</v>
      </c>
      <c r="G481" s="310" t="s">
        <v>2910</v>
      </c>
      <c r="H481" s="211" t="s">
        <v>2911</v>
      </c>
      <c r="I481" s="213" t="s">
        <v>164</v>
      </c>
      <c r="J481" s="474">
        <v>10902312</v>
      </c>
      <c r="K481" s="211" t="s">
        <v>138</v>
      </c>
      <c r="L481" s="211" t="s">
        <v>139</v>
      </c>
      <c r="M481" s="211" t="s">
        <v>44</v>
      </c>
      <c r="N481" s="211" t="s">
        <v>45</v>
      </c>
      <c r="O481" s="211" t="s">
        <v>142</v>
      </c>
      <c r="P481" s="211" t="s">
        <v>43</v>
      </c>
      <c r="R481" s="213">
        <v>521</v>
      </c>
      <c r="S481" s="487">
        <v>44294</v>
      </c>
      <c r="T481" s="483" t="s">
        <v>4438</v>
      </c>
      <c r="U481" s="474">
        <v>10902312</v>
      </c>
      <c r="V481" s="407"/>
      <c r="W481" s="363"/>
      <c r="X481" s="480" t="s">
        <v>4330</v>
      </c>
      <c r="Y481" s="481">
        <v>44316</v>
      </c>
      <c r="Z481" s="481">
        <v>44316</v>
      </c>
      <c r="AA481" s="481">
        <v>44437</v>
      </c>
      <c r="AB481" s="482" t="s">
        <v>2913</v>
      </c>
      <c r="AC481" s="480" t="s">
        <v>3697</v>
      </c>
      <c r="AD481" s="482" t="s">
        <v>4439</v>
      </c>
      <c r="AE481" s="483" t="s">
        <v>4440</v>
      </c>
      <c r="AF481" s="472">
        <v>10902312</v>
      </c>
      <c r="AG481" s="473">
        <f t="shared" ref="AG481:AG544" si="8">+U481-AF481</f>
        <v>0</v>
      </c>
      <c r="AM481" s="307">
        <v>2543872</v>
      </c>
    </row>
    <row r="482" spans="1:39" hidden="1" x14ac:dyDescent="0.25">
      <c r="A482" s="475" t="s">
        <v>2644</v>
      </c>
      <c r="B482" s="476">
        <v>65413872</v>
      </c>
      <c r="C482" s="213" t="s">
        <v>2909</v>
      </c>
      <c r="D482" s="312">
        <v>477</v>
      </c>
      <c r="E482" s="312">
        <v>20217000019653</v>
      </c>
      <c r="F482" s="477">
        <v>44294</v>
      </c>
      <c r="G482" s="310" t="s">
        <v>2910</v>
      </c>
      <c r="H482" s="211" t="s">
        <v>2911</v>
      </c>
      <c r="I482" s="213" t="s">
        <v>164</v>
      </c>
      <c r="J482" s="474">
        <v>29072832</v>
      </c>
      <c r="K482" s="211" t="s">
        <v>138</v>
      </c>
      <c r="L482" s="211" t="s">
        <v>139</v>
      </c>
      <c r="M482" s="211" t="s">
        <v>44</v>
      </c>
      <c r="N482" s="211" t="s">
        <v>45</v>
      </c>
      <c r="O482" s="211" t="s">
        <v>142</v>
      </c>
      <c r="P482" s="211" t="s">
        <v>43</v>
      </c>
      <c r="R482" s="213">
        <v>520</v>
      </c>
      <c r="S482" s="487">
        <v>44294</v>
      </c>
      <c r="T482" s="483" t="s">
        <v>4441</v>
      </c>
      <c r="U482" s="474">
        <v>29072832</v>
      </c>
      <c r="V482" s="407"/>
      <c r="W482" s="363"/>
      <c r="X482" s="212" t="s">
        <v>4442</v>
      </c>
      <c r="Y482" s="471">
        <v>44301</v>
      </c>
      <c r="Z482" s="471">
        <v>44301</v>
      </c>
      <c r="AA482" s="471">
        <v>44423</v>
      </c>
      <c r="AB482" s="3" t="s">
        <v>2913</v>
      </c>
      <c r="AC482" s="212" t="s">
        <v>3416</v>
      </c>
      <c r="AD482" s="3" t="s">
        <v>4443</v>
      </c>
      <c r="AE482" s="213" t="s">
        <v>4444</v>
      </c>
      <c r="AF482" s="472">
        <v>29072832</v>
      </c>
      <c r="AG482" s="473">
        <f t="shared" si="8"/>
        <v>0</v>
      </c>
      <c r="AL482" s="474">
        <v>3876378</v>
      </c>
      <c r="AM482" s="307">
        <v>7268208</v>
      </c>
    </row>
    <row r="483" spans="1:39" hidden="1" x14ac:dyDescent="0.25">
      <c r="A483" s="475" t="s">
        <v>2203</v>
      </c>
      <c r="B483" s="476">
        <v>46512000</v>
      </c>
      <c r="C483" s="213" t="s">
        <v>2909</v>
      </c>
      <c r="D483" s="312">
        <v>478</v>
      </c>
      <c r="E483" s="312">
        <v>20212000019393</v>
      </c>
      <c r="F483" s="477">
        <v>44294</v>
      </c>
      <c r="G483" s="312" t="s">
        <v>2903</v>
      </c>
      <c r="H483" s="213" t="s">
        <v>2904</v>
      </c>
      <c r="I483" s="213" t="s">
        <v>391</v>
      </c>
      <c r="J483" s="474">
        <v>41616000</v>
      </c>
      <c r="K483" s="211" t="s">
        <v>2974</v>
      </c>
      <c r="L483" s="213" t="s">
        <v>2975</v>
      </c>
      <c r="M483" s="211" t="s">
        <v>44</v>
      </c>
      <c r="N483" s="211" t="s">
        <v>45</v>
      </c>
      <c r="O483" s="213" t="s">
        <v>63</v>
      </c>
      <c r="P483" s="213" t="s">
        <v>678</v>
      </c>
      <c r="R483" s="213">
        <v>515</v>
      </c>
      <c r="S483" s="487">
        <v>44294</v>
      </c>
      <c r="T483" s="483" t="s">
        <v>4445</v>
      </c>
      <c r="U483" s="474">
        <v>41616000</v>
      </c>
      <c r="V483" s="407"/>
      <c r="W483" s="363"/>
      <c r="X483" s="480" t="s">
        <v>4446</v>
      </c>
      <c r="Y483" s="481">
        <v>44323</v>
      </c>
      <c r="Z483" s="481">
        <v>44323</v>
      </c>
      <c r="AA483" s="481">
        <v>44561</v>
      </c>
      <c r="AB483" s="483" t="s">
        <v>2913</v>
      </c>
      <c r="AC483" s="480" t="s">
        <v>4031</v>
      </c>
      <c r="AD483" s="483" t="s">
        <v>4447</v>
      </c>
      <c r="AE483" s="483" t="s">
        <v>4448</v>
      </c>
      <c r="AF483" s="472">
        <v>36720000</v>
      </c>
      <c r="AG483" s="473">
        <f t="shared" si="8"/>
        <v>4896000</v>
      </c>
      <c r="AM483" s="307">
        <v>3264000</v>
      </c>
    </row>
    <row r="484" spans="1:39" hidden="1" x14ac:dyDescent="0.25">
      <c r="A484" s="475" t="s">
        <v>2204</v>
      </c>
      <c r="B484" s="466">
        <v>38275500</v>
      </c>
      <c r="C484" s="213" t="s">
        <v>2909</v>
      </c>
      <c r="D484" s="468">
        <v>479</v>
      </c>
      <c r="E484" s="468">
        <v>20212000019403</v>
      </c>
      <c r="F484" s="469">
        <v>44294</v>
      </c>
      <c r="G484" s="468" t="s">
        <v>2903</v>
      </c>
      <c r="H484" s="467" t="s">
        <v>2904</v>
      </c>
      <c r="I484" s="467" t="s">
        <v>391</v>
      </c>
      <c r="J484" s="470">
        <v>34246500</v>
      </c>
      <c r="K484" s="378" t="s">
        <v>2974</v>
      </c>
      <c r="L484" s="467" t="s">
        <v>2975</v>
      </c>
      <c r="M484" s="378" t="s">
        <v>44</v>
      </c>
      <c r="N484" s="378" t="s">
        <v>45</v>
      </c>
      <c r="O484" s="467" t="s">
        <v>63</v>
      </c>
      <c r="P484" s="213" t="s">
        <v>678</v>
      </c>
      <c r="Q484" s="467"/>
      <c r="R484" s="467">
        <v>516</v>
      </c>
      <c r="S484" s="525">
        <v>44294</v>
      </c>
      <c r="T484" s="526" t="s">
        <v>4449</v>
      </c>
      <c r="U484" s="474">
        <v>34246500</v>
      </c>
      <c r="V484" s="415"/>
      <c r="W484" s="380"/>
      <c r="X484" s="480" t="s">
        <v>4450</v>
      </c>
      <c r="Y484" s="481">
        <v>44308</v>
      </c>
      <c r="Z484" s="481">
        <v>44308</v>
      </c>
      <c r="AA484" s="481">
        <v>44551</v>
      </c>
      <c r="AB484" s="482" t="s">
        <v>2913</v>
      </c>
      <c r="AC484" s="480" t="s">
        <v>4219</v>
      </c>
      <c r="AD484" s="482" t="s">
        <v>4451</v>
      </c>
      <c r="AE484" s="483" t="s">
        <v>4452</v>
      </c>
      <c r="AF484" s="472">
        <v>32232000</v>
      </c>
      <c r="AG484" s="473">
        <f t="shared" si="8"/>
        <v>2014500</v>
      </c>
      <c r="AI484" s="470"/>
      <c r="AJ484" s="470"/>
      <c r="AK484" s="470"/>
      <c r="AL484" s="470"/>
      <c r="AM484" s="307">
        <v>5103400</v>
      </c>
    </row>
    <row r="485" spans="1:39" hidden="1" x14ac:dyDescent="0.25">
      <c r="A485" s="475" t="s">
        <v>2212</v>
      </c>
      <c r="B485" s="476">
        <v>34850000</v>
      </c>
      <c r="C485" s="213" t="s">
        <v>2909</v>
      </c>
      <c r="D485" s="312">
        <v>480</v>
      </c>
      <c r="E485" s="312">
        <v>20212000019423</v>
      </c>
      <c r="F485" s="477">
        <v>44294</v>
      </c>
      <c r="G485" s="312" t="s">
        <v>2903</v>
      </c>
      <c r="H485" s="213" t="s">
        <v>2904</v>
      </c>
      <c r="I485" s="213" t="s">
        <v>391</v>
      </c>
      <c r="J485" s="474">
        <v>16400000</v>
      </c>
      <c r="K485" s="211" t="s">
        <v>2974</v>
      </c>
      <c r="L485" s="213" t="s">
        <v>2975</v>
      </c>
      <c r="M485" s="211" t="s">
        <v>44</v>
      </c>
      <c r="N485" s="211" t="s">
        <v>45</v>
      </c>
      <c r="O485" s="213" t="s">
        <v>63</v>
      </c>
      <c r="P485" s="213" t="s">
        <v>678</v>
      </c>
      <c r="R485" s="213">
        <v>517</v>
      </c>
      <c r="S485" s="487">
        <v>44294</v>
      </c>
      <c r="T485" s="483" t="s">
        <v>4453</v>
      </c>
      <c r="U485" s="474">
        <v>16400000</v>
      </c>
      <c r="V485" s="407"/>
      <c r="W485" s="363"/>
      <c r="X485" s="480" t="s">
        <v>4454</v>
      </c>
      <c r="Y485" s="481">
        <v>44307</v>
      </c>
      <c r="Z485" s="481">
        <v>44307</v>
      </c>
      <c r="AA485" s="481">
        <v>44428</v>
      </c>
      <c r="AB485" s="482" t="s">
        <v>2913</v>
      </c>
      <c r="AC485" s="480" t="s">
        <v>4017</v>
      </c>
      <c r="AD485" s="482" t="s">
        <v>4455</v>
      </c>
      <c r="AE485" s="483" t="s">
        <v>4456</v>
      </c>
      <c r="AF485" s="472">
        <v>16400000</v>
      </c>
      <c r="AG485" s="473">
        <f t="shared" si="8"/>
        <v>0</v>
      </c>
      <c r="AL485" s="474">
        <v>1633333</v>
      </c>
      <c r="AM485" s="307">
        <v>3833333</v>
      </c>
    </row>
    <row r="486" spans="1:39" hidden="1" x14ac:dyDescent="0.25">
      <c r="A486" s="475" t="s">
        <v>2351</v>
      </c>
      <c r="B486" s="476">
        <v>34850000</v>
      </c>
      <c r="C486" s="213" t="s">
        <v>2909</v>
      </c>
      <c r="D486" s="312">
        <v>481</v>
      </c>
      <c r="E486" s="312">
        <v>20212000019433</v>
      </c>
      <c r="F486" s="477">
        <v>44294</v>
      </c>
      <c r="G486" s="312" t="s">
        <v>2903</v>
      </c>
      <c r="H486" s="213" t="s">
        <v>2904</v>
      </c>
      <c r="I486" s="213" t="s">
        <v>391</v>
      </c>
      <c r="J486" s="474">
        <v>16400000</v>
      </c>
      <c r="K486" s="211" t="s">
        <v>2974</v>
      </c>
      <c r="L486" s="213" t="s">
        <v>2975</v>
      </c>
      <c r="M486" s="211" t="s">
        <v>44</v>
      </c>
      <c r="N486" s="211" t="s">
        <v>45</v>
      </c>
      <c r="O486" s="213" t="s">
        <v>63</v>
      </c>
      <c r="P486" s="213" t="s">
        <v>678</v>
      </c>
      <c r="R486" s="213">
        <v>518</v>
      </c>
      <c r="S486" s="487">
        <v>44294</v>
      </c>
      <c r="T486" s="483" t="s">
        <v>4457</v>
      </c>
      <c r="U486" s="474">
        <v>16400000</v>
      </c>
      <c r="V486" s="407"/>
      <c r="W486" s="363"/>
      <c r="X486" s="480" t="s">
        <v>4458</v>
      </c>
      <c r="Y486" s="481">
        <v>44341</v>
      </c>
      <c r="Z486" s="481">
        <v>44341</v>
      </c>
      <c r="AA486" s="481">
        <v>44463</v>
      </c>
      <c r="AB486" s="483" t="s">
        <v>2913</v>
      </c>
      <c r="AC486" s="480" t="s">
        <v>3897</v>
      </c>
      <c r="AD486" s="483" t="s">
        <v>4459</v>
      </c>
      <c r="AE486" s="483" t="s">
        <v>4460</v>
      </c>
      <c r="AF486" s="472">
        <v>16400000</v>
      </c>
      <c r="AG486" s="473">
        <f t="shared" si="8"/>
        <v>0</v>
      </c>
      <c r="AM486" s="213"/>
    </row>
    <row r="487" spans="1:39" hidden="1" x14ac:dyDescent="0.25">
      <c r="A487" s="475" t="s">
        <v>2380</v>
      </c>
      <c r="B487" s="466">
        <v>34850000</v>
      </c>
      <c r="C487" s="213" t="s">
        <v>2909</v>
      </c>
      <c r="D487" s="468">
        <v>482</v>
      </c>
      <c r="E487" s="468">
        <v>20212000019443</v>
      </c>
      <c r="F487" s="469">
        <v>44294</v>
      </c>
      <c r="G487" s="468" t="s">
        <v>2903</v>
      </c>
      <c r="H487" s="467" t="s">
        <v>2904</v>
      </c>
      <c r="I487" s="467" t="s">
        <v>391</v>
      </c>
      <c r="J487" s="470">
        <v>16400000</v>
      </c>
      <c r="K487" s="378" t="s">
        <v>2974</v>
      </c>
      <c r="L487" s="467" t="s">
        <v>2975</v>
      </c>
      <c r="M487" s="378" t="s">
        <v>44</v>
      </c>
      <c r="N487" s="378" t="s">
        <v>45</v>
      </c>
      <c r="O487" s="467" t="s">
        <v>63</v>
      </c>
      <c r="P487" s="213" t="s">
        <v>678</v>
      </c>
      <c r="Q487" s="467"/>
      <c r="R487" s="467">
        <v>519</v>
      </c>
      <c r="S487" s="525">
        <v>44294</v>
      </c>
      <c r="T487" s="526" t="s">
        <v>4461</v>
      </c>
      <c r="U487" s="474">
        <v>16400000</v>
      </c>
      <c r="V487" s="415"/>
      <c r="W487" s="380"/>
      <c r="X487" s="480" t="s">
        <v>4462</v>
      </c>
      <c r="Y487" s="481">
        <v>44308</v>
      </c>
      <c r="Z487" s="481">
        <v>44308</v>
      </c>
      <c r="AA487" s="481">
        <v>44429</v>
      </c>
      <c r="AB487" s="482" t="s">
        <v>2913</v>
      </c>
      <c r="AC487" s="480" t="s">
        <v>3613</v>
      </c>
      <c r="AD487" s="482" t="s">
        <v>4463</v>
      </c>
      <c r="AE487" s="483" t="s">
        <v>4464</v>
      </c>
      <c r="AF487" s="472">
        <v>16400000</v>
      </c>
      <c r="AG487" s="473">
        <f t="shared" si="8"/>
        <v>0</v>
      </c>
      <c r="AI487" s="470"/>
      <c r="AJ487" s="470"/>
      <c r="AK487" s="470"/>
      <c r="AL487" s="470">
        <v>1230000</v>
      </c>
      <c r="AM487" s="307">
        <v>4100000</v>
      </c>
    </row>
    <row r="488" spans="1:39" hidden="1" x14ac:dyDescent="0.25">
      <c r="A488" s="475" t="s">
        <v>2101</v>
      </c>
      <c r="B488" s="476">
        <v>20800000</v>
      </c>
      <c r="C488" s="213" t="s">
        <v>2909</v>
      </c>
      <c r="D488" s="312">
        <v>483</v>
      </c>
      <c r="E488" s="312">
        <v>20215000019753</v>
      </c>
      <c r="F488" s="477">
        <v>44295</v>
      </c>
      <c r="G488" s="312" t="s">
        <v>2903</v>
      </c>
      <c r="H488" s="213" t="s">
        <v>2904</v>
      </c>
      <c r="I488" s="211" t="s">
        <v>228</v>
      </c>
      <c r="J488" s="474">
        <v>20800000</v>
      </c>
      <c r="K488" s="213" t="s">
        <v>288</v>
      </c>
      <c r="L488" s="213" t="s">
        <v>2999</v>
      </c>
      <c r="M488" s="213" t="s">
        <v>44</v>
      </c>
      <c r="N488" s="213" t="s">
        <v>45</v>
      </c>
      <c r="O488" s="213" t="s">
        <v>63</v>
      </c>
      <c r="P488" s="213" t="s">
        <v>678</v>
      </c>
      <c r="R488" s="213">
        <v>522</v>
      </c>
      <c r="S488" s="487">
        <v>44295</v>
      </c>
      <c r="T488" s="483" t="s">
        <v>4465</v>
      </c>
      <c r="U488" s="474">
        <f>20800000-8050000</f>
        <v>12750000</v>
      </c>
      <c r="V488" s="407">
        <v>8050000</v>
      </c>
      <c r="W488" s="363" t="s">
        <v>1757</v>
      </c>
      <c r="X488" s="480" t="s">
        <v>4466</v>
      </c>
      <c r="Y488" s="481">
        <v>44320</v>
      </c>
      <c r="Z488" s="481">
        <v>44320</v>
      </c>
      <c r="AA488" s="481">
        <v>44561</v>
      </c>
      <c r="AB488" s="483" t="s">
        <v>2913</v>
      </c>
      <c r="AC488" s="480" t="s">
        <v>3634</v>
      </c>
      <c r="AD488" s="483" t="s">
        <v>4467</v>
      </c>
      <c r="AE488" s="483" t="s">
        <v>4468</v>
      </c>
      <c r="AF488" s="472">
        <v>12750000</v>
      </c>
      <c r="AG488" s="473">
        <f t="shared" si="8"/>
        <v>0</v>
      </c>
      <c r="AM488" s="307">
        <v>1473333</v>
      </c>
    </row>
    <row r="489" spans="1:39" hidden="1" x14ac:dyDescent="0.25">
      <c r="A489" s="475" t="s">
        <v>2102</v>
      </c>
      <c r="B489" s="476">
        <v>20800000</v>
      </c>
      <c r="C489" s="213" t="s">
        <v>2909</v>
      </c>
      <c r="D489" s="312">
        <v>484</v>
      </c>
      <c r="E489" s="312">
        <v>20215000019763</v>
      </c>
      <c r="F489" s="477">
        <v>44295</v>
      </c>
      <c r="G489" s="312" t="s">
        <v>2903</v>
      </c>
      <c r="H489" s="213" t="s">
        <v>2904</v>
      </c>
      <c r="I489" s="211" t="s">
        <v>228</v>
      </c>
      <c r="J489" s="474">
        <v>20800000</v>
      </c>
      <c r="K489" s="213" t="s">
        <v>288</v>
      </c>
      <c r="L489" s="213" t="s">
        <v>2999</v>
      </c>
      <c r="M489" s="213" t="s">
        <v>44</v>
      </c>
      <c r="N489" s="213" t="s">
        <v>45</v>
      </c>
      <c r="O489" s="213" t="s">
        <v>63</v>
      </c>
      <c r="P489" s="213" t="s">
        <v>678</v>
      </c>
      <c r="R489" s="213">
        <v>523</v>
      </c>
      <c r="S489" s="487">
        <v>44295</v>
      </c>
      <c r="T489" s="483" t="s">
        <v>4469</v>
      </c>
      <c r="U489" s="474">
        <f>20800000-11050000</f>
        <v>9750000</v>
      </c>
      <c r="V489" s="407">
        <v>11050000</v>
      </c>
      <c r="W489" s="363" t="s">
        <v>1757</v>
      </c>
      <c r="X489" s="480" t="s">
        <v>4470</v>
      </c>
      <c r="Y489" s="481">
        <v>44320</v>
      </c>
      <c r="Z489" s="481">
        <v>44320</v>
      </c>
      <c r="AA489" s="481">
        <v>44561</v>
      </c>
      <c r="AB489" s="483" t="s">
        <v>2913</v>
      </c>
      <c r="AC489" s="480" t="s">
        <v>3820</v>
      </c>
      <c r="AD489" s="483" t="s">
        <v>4471</v>
      </c>
      <c r="AE489" s="483" t="s">
        <v>4472</v>
      </c>
      <c r="AF489" s="472">
        <v>9750000</v>
      </c>
      <c r="AG489" s="473">
        <f t="shared" si="8"/>
        <v>0</v>
      </c>
      <c r="AM489" s="307">
        <v>1126667</v>
      </c>
    </row>
    <row r="490" spans="1:39" hidden="1" x14ac:dyDescent="0.25">
      <c r="A490" s="465" t="s">
        <v>2104</v>
      </c>
      <c r="B490" s="466">
        <v>20800000</v>
      </c>
      <c r="C490" s="213" t="s">
        <v>2909</v>
      </c>
      <c r="D490" s="468">
        <v>485</v>
      </c>
      <c r="E490" s="468">
        <v>20215000019773</v>
      </c>
      <c r="F490" s="469">
        <v>44295</v>
      </c>
      <c r="G490" s="468" t="s">
        <v>2903</v>
      </c>
      <c r="H490" s="467" t="s">
        <v>2904</v>
      </c>
      <c r="I490" s="378" t="s">
        <v>228</v>
      </c>
      <c r="J490" s="470">
        <v>20800000</v>
      </c>
      <c r="K490" s="467" t="s">
        <v>288</v>
      </c>
      <c r="L490" s="467" t="s">
        <v>2999</v>
      </c>
      <c r="M490" s="467" t="s">
        <v>44</v>
      </c>
      <c r="N490" s="467" t="s">
        <v>45</v>
      </c>
      <c r="O490" s="467" t="s">
        <v>63</v>
      </c>
      <c r="P490" s="213" t="s">
        <v>678</v>
      </c>
      <c r="Q490" s="467"/>
      <c r="R490" s="467">
        <v>524</v>
      </c>
      <c r="S490" s="525">
        <v>44295</v>
      </c>
      <c r="T490" s="526" t="s">
        <v>4473</v>
      </c>
      <c r="U490" s="474">
        <f>20800000-20800000</f>
        <v>0</v>
      </c>
      <c r="V490" s="415">
        <v>20800000</v>
      </c>
      <c r="W490" s="676" t="s">
        <v>1757</v>
      </c>
      <c r="AG490" s="473">
        <f t="shared" si="8"/>
        <v>0</v>
      </c>
      <c r="AI490" s="470"/>
      <c r="AJ490" s="470"/>
      <c r="AK490" s="470"/>
      <c r="AL490" s="470"/>
      <c r="AM490" s="213"/>
    </row>
    <row r="491" spans="1:39" hidden="1" x14ac:dyDescent="0.25">
      <c r="A491" s="475" t="s">
        <v>2274</v>
      </c>
      <c r="B491" s="476">
        <v>28800000</v>
      </c>
      <c r="C491" s="213" t="s">
        <v>2909</v>
      </c>
      <c r="D491" s="312">
        <v>486</v>
      </c>
      <c r="E491" s="312">
        <v>20215000019793</v>
      </c>
      <c r="F491" s="477">
        <v>44295</v>
      </c>
      <c r="G491" s="312" t="s">
        <v>2903</v>
      </c>
      <c r="H491" s="213" t="s">
        <v>2904</v>
      </c>
      <c r="I491" s="211" t="s">
        <v>228</v>
      </c>
      <c r="J491" s="474">
        <v>20800000</v>
      </c>
      <c r="K491" s="213" t="s">
        <v>288</v>
      </c>
      <c r="L491" s="213" t="s">
        <v>2999</v>
      </c>
      <c r="M491" s="213" t="s">
        <v>44</v>
      </c>
      <c r="N491" s="213" t="s">
        <v>45</v>
      </c>
      <c r="O491" s="213" t="s">
        <v>63</v>
      </c>
      <c r="P491" s="213" t="s">
        <v>678</v>
      </c>
      <c r="R491" s="213">
        <v>525</v>
      </c>
      <c r="S491" s="487">
        <v>44295</v>
      </c>
      <c r="T491" s="483" t="s">
        <v>4474</v>
      </c>
      <c r="U491" s="474">
        <f>28800000-5550000</f>
        <v>23250000</v>
      </c>
      <c r="V491" s="407">
        <f>5550000</f>
        <v>5550000</v>
      </c>
      <c r="W491" s="363" t="s">
        <v>1757</v>
      </c>
      <c r="X491" s="480" t="s">
        <v>4475</v>
      </c>
      <c r="Y491" s="481">
        <v>44319</v>
      </c>
      <c r="Z491" s="481">
        <v>44319</v>
      </c>
      <c r="AA491" s="481">
        <v>44545</v>
      </c>
      <c r="AB491" s="483" t="s">
        <v>2913</v>
      </c>
      <c r="AC491" s="480" t="s">
        <v>4375</v>
      </c>
      <c r="AD491" s="483" t="s">
        <v>4476</v>
      </c>
      <c r="AE491" s="483" t="s">
        <v>4477</v>
      </c>
      <c r="AF491" s="472">
        <v>23250000</v>
      </c>
      <c r="AG491" s="473">
        <f t="shared" si="8"/>
        <v>0</v>
      </c>
      <c r="AM491" s="307">
        <v>2893333</v>
      </c>
    </row>
    <row r="492" spans="1:39" hidden="1" x14ac:dyDescent="0.25">
      <c r="A492" s="475" t="s">
        <v>2697</v>
      </c>
      <c r="B492" s="476">
        <v>42400000</v>
      </c>
      <c r="C492" s="213" t="s">
        <v>2909</v>
      </c>
      <c r="D492" s="312">
        <v>487</v>
      </c>
      <c r="E492" s="312">
        <v>20215000019803</v>
      </c>
      <c r="F492" s="477">
        <v>44295</v>
      </c>
      <c r="G492" s="312" t="s">
        <v>2903</v>
      </c>
      <c r="H492" s="213" t="s">
        <v>2904</v>
      </c>
      <c r="I492" s="211" t="s">
        <v>228</v>
      </c>
      <c r="J492" s="474">
        <v>42400000</v>
      </c>
      <c r="K492" s="213" t="s">
        <v>223</v>
      </c>
      <c r="L492" s="213" t="s">
        <v>283</v>
      </c>
      <c r="M492" s="213" t="s">
        <v>44</v>
      </c>
      <c r="N492" s="213" t="s">
        <v>45</v>
      </c>
      <c r="O492" s="213" t="s">
        <v>63</v>
      </c>
      <c r="P492" s="213" t="s">
        <v>678</v>
      </c>
      <c r="R492" s="213">
        <v>526</v>
      </c>
      <c r="S492" s="487">
        <v>44295</v>
      </c>
      <c r="T492" s="483" t="s">
        <v>4478</v>
      </c>
      <c r="U492" s="474">
        <f>42400000-12400000</f>
        <v>30000000</v>
      </c>
      <c r="V492" s="407">
        <v>12400000</v>
      </c>
      <c r="W492" s="363" t="s">
        <v>1757</v>
      </c>
      <c r="X492" s="480" t="s">
        <v>4479</v>
      </c>
      <c r="Y492" s="481">
        <v>44320</v>
      </c>
      <c r="Z492" s="481">
        <v>44320</v>
      </c>
      <c r="AA492" s="481">
        <v>44561</v>
      </c>
      <c r="AB492" s="483" t="s">
        <v>2913</v>
      </c>
      <c r="AC492" s="480" t="s">
        <v>4245</v>
      </c>
      <c r="AD492" s="483" t="s">
        <v>4480</v>
      </c>
      <c r="AE492" s="483" t="s">
        <v>4481</v>
      </c>
      <c r="AF492" s="472">
        <v>30000000</v>
      </c>
      <c r="AG492" s="473">
        <f t="shared" si="8"/>
        <v>0</v>
      </c>
      <c r="AM492" s="307">
        <v>3466667</v>
      </c>
    </row>
    <row r="493" spans="1:39" s="313" customFormat="1" hidden="1" x14ac:dyDescent="0.25">
      <c r="A493" s="381" t="s">
        <v>2091</v>
      </c>
      <c r="B493" s="422">
        <v>32000000</v>
      </c>
      <c r="C493" s="313" t="s">
        <v>3025</v>
      </c>
      <c r="D493" s="382">
        <v>488</v>
      </c>
      <c r="E493" s="382">
        <v>20215000019813</v>
      </c>
      <c r="F493" s="383">
        <v>44295</v>
      </c>
      <c r="G493" s="382" t="s">
        <v>2903</v>
      </c>
      <c r="H493" s="365" t="s">
        <v>2904</v>
      </c>
      <c r="I493" s="365" t="s">
        <v>228</v>
      </c>
      <c r="J493" s="409">
        <v>32000000</v>
      </c>
      <c r="K493" s="365" t="s">
        <v>223</v>
      </c>
      <c r="L493" s="365" t="s">
        <v>3021</v>
      </c>
      <c r="M493" s="365" t="s">
        <v>44</v>
      </c>
      <c r="N493" s="365" t="s">
        <v>45</v>
      </c>
      <c r="O493" s="365" t="s">
        <v>63</v>
      </c>
      <c r="P493" s="365" t="s">
        <v>678</v>
      </c>
      <c r="Q493" s="365"/>
      <c r="R493" s="365">
        <v>527</v>
      </c>
      <c r="S493" s="384">
        <v>44295</v>
      </c>
      <c r="T493" s="385" t="s">
        <v>4482</v>
      </c>
      <c r="U493" s="409">
        <f>32000000-32000000</f>
        <v>0</v>
      </c>
      <c r="V493" s="415">
        <v>32000000</v>
      </c>
      <c r="W493" s="380"/>
      <c r="X493" s="315"/>
      <c r="Y493" s="359"/>
      <c r="Z493" s="359"/>
      <c r="AA493" s="359"/>
      <c r="AB493" s="318"/>
      <c r="AC493" s="317"/>
      <c r="AD493" s="318"/>
      <c r="AF493" s="411"/>
      <c r="AG493" s="319">
        <f t="shared" si="8"/>
        <v>0</v>
      </c>
      <c r="AH493" s="406"/>
      <c r="AI493" s="409"/>
      <c r="AJ493" s="409"/>
      <c r="AK493" s="409"/>
      <c r="AL493" s="409"/>
      <c r="AM493" s="213"/>
    </row>
    <row r="494" spans="1:39" hidden="1" x14ac:dyDescent="0.25">
      <c r="A494" s="475" t="s">
        <v>4483</v>
      </c>
      <c r="B494" s="476">
        <v>39975144</v>
      </c>
      <c r="C494" s="213" t="s">
        <v>2909</v>
      </c>
      <c r="D494" s="312">
        <v>489</v>
      </c>
      <c r="E494" s="310">
        <v>20213000020353</v>
      </c>
      <c r="F494" s="477">
        <v>44298</v>
      </c>
      <c r="G494" s="312" t="s">
        <v>2903</v>
      </c>
      <c r="H494" s="213" t="s">
        <v>2904</v>
      </c>
      <c r="I494" s="213" t="s">
        <v>432</v>
      </c>
      <c r="J494" s="474">
        <v>34800000</v>
      </c>
      <c r="K494" s="213" t="s">
        <v>342</v>
      </c>
      <c r="L494" s="213" t="s">
        <v>351</v>
      </c>
      <c r="M494" s="213" t="s">
        <v>44</v>
      </c>
      <c r="N494" s="213" t="s">
        <v>45</v>
      </c>
      <c r="O494" s="213" t="s">
        <v>63</v>
      </c>
      <c r="P494" s="213" t="s">
        <v>678</v>
      </c>
      <c r="R494" s="213">
        <v>531</v>
      </c>
      <c r="S494" s="487">
        <v>44299</v>
      </c>
      <c r="T494" s="483" t="s">
        <v>4484</v>
      </c>
      <c r="U494" s="474">
        <v>34800000</v>
      </c>
      <c r="V494" s="407"/>
      <c r="W494" s="363"/>
      <c r="X494" s="480" t="s">
        <v>4485</v>
      </c>
      <c r="Y494" s="481">
        <v>44335</v>
      </c>
      <c r="Z494" s="481">
        <v>44335</v>
      </c>
      <c r="AA494" s="481">
        <v>44519</v>
      </c>
      <c r="AB494" s="483" t="s">
        <v>2913</v>
      </c>
      <c r="AC494" s="480" t="s">
        <v>3787</v>
      </c>
      <c r="AD494" s="483" t="s">
        <v>4486</v>
      </c>
      <c r="AE494" s="483" t="s">
        <v>4487</v>
      </c>
      <c r="AF494" s="472">
        <v>34800000</v>
      </c>
      <c r="AG494" s="473">
        <f t="shared" si="8"/>
        <v>0</v>
      </c>
      <c r="AJ494" s="478"/>
      <c r="AM494" s="307">
        <v>2320000</v>
      </c>
    </row>
    <row r="495" spans="1:39" hidden="1" x14ac:dyDescent="0.25">
      <c r="A495" s="465" t="s">
        <v>2786</v>
      </c>
      <c r="B495" s="466">
        <v>61600000</v>
      </c>
      <c r="C495" s="213" t="s">
        <v>2909</v>
      </c>
      <c r="D495" s="468">
        <v>490</v>
      </c>
      <c r="E495" s="468">
        <v>20213000020363</v>
      </c>
      <c r="F495" s="469">
        <v>44298</v>
      </c>
      <c r="G495" s="468" t="s">
        <v>2903</v>
      </c>
      <c r="H495" s="467" t="s">
        <v>2904</v>
      </c>
      <c r="I495" s="467" t="s">
        <v>432</v>
      </c>
      <c r="J495" s="470">
        <v>46200000</v>
      </c>
      <c r="K495" s="467" t="s">
        <v>342</v>
      </c>
      <c r="L495" s="467" t="s">
        <v>351</v>
      </c>
      <c r="M495" s="467" t="s">
        <v>44</v>
      </c>
      <c r="N495" s="467" t="s">
        <v>45</v>
      </c>
      <c r="O495" s="467" t="s">
        <v>63</v>
      </c>
      <c r="P495" s="213" t="s">
        <v>678</v>
      </c>
      <c r="Q495" s="467"/>
      <c r="R495" s="467">
        <v>532</v>
      </c>
      <c r="S495" s="525">
        <v>44299</v>
      </c>
      <c r="T495" s="526" t="s">
        <v>4488</v>
      </c>
      <c r="U495" s="470">
        <v>46200000</v>
      </c>
      <c r="V495" s="415"/>
      <c r="W495" s="380"/>
      <c r="X495" s="480" t="s">
        <v>4489</v>
      </c>
      <c r="Y495" s="481">
        <v>44308</v>
      </c>
      <c r="Z495" s="481">
        <v>44308</v>
      </c>
      <c r="AA495" s="481">
        <v>44490</v>
      </c>
      <c r="AB495" s="482" t="s">
        <v>2913</v>
      </c>
      <c r="AC495" s="480" t="s">
        <v>3842</v>
      </c>
      <c r="AD495" s="482" t="s">
        <v>4490</v>
      </c>
      <c r="AE495" s="483" t="s">
        <v>4491</v>
      </c>
      <c r="AF495" s="472">
        <v>46200000</v>
      </c>
      <c r="AG495" s="473">
        <f t="shared" si="8"/>
        <v>0</v>
      </c>
      <c r="AI495" s="470"/>
      <c r="AJ495" s="470"/>
      <c r="AK495" s="470"/>
      <c r="AL495" s="470">
        <v>2310000</v>
      </c>
      <c r="AM495" s="307">
        <v>7700000</v>
      </c>
    </row>
    <row r="496" spans="1:39" hidden="1" x14ac:dyDescent="0.25">
      <c r="A496" s="475" t="s">
        <v>2103</v>
      </c>
      <c r="B496" s="476">
        <v>20800000</v>
      </c>
      <c r="C496" s="213" t="s">
        <v>2909</v>
      </c>
      <c r="D496" s="312">
        <v>491</v>
      </c>
      <c r="E496" s="312">
        <v>20215000019783</v>
      </c>
      <c r="F496" s="477">
        <v>44298</v>
      </c>
      <c r="G496" s="312" t="s">
        <v>2903</v>
      </c>
      <c r="H496" s="213" t="s">
        <v>2904</v>
      </c>
      <c r="I496" s="211" t="s">
        <v>228</v>
      </c>
      <c r="J496" s="474">
        <v>20800000</v>
      </c>
      <c r="K496" s="213" t="s">
        <v>288</v>
      </c>
      <c r="L496" s="213" t="s">
        <v>2999</v>
      </c>
      <c r="M496" s="213" t="s">
        <v>44</v>
      </c>
      <c r="N496" s="213" t="s">
        <v>45</v>
      </c>
      <c r="O496" s="213" t="s">
        <v>63</v>
      </c>
      <c r="P496" s="213" t="s">
        <v>678</v>
      </c>
      <c r="R496" s="213">
        <v>529</v>
      </c>
      <c r="S496" s="487">
        <v>44299</v>
      </c>
      <c r="T496" s="483" t="s">
        <v>4492</v>
      </c>
      <c r="U496" s="474">
        <f>20800000-7200000</f>
        <v>13600000</v>
      </c>
      <c r="V496" s="407">
        <v>7200000</v>
      </c>
      <c r="W496" s="363"/>
      <c r="X496" s="480" t="s">
        <v>4493</v>
      </c>
      <c r="Y496" s="481">
        <v>44306</v>
      </c>
      <c r="Z496" s="481">
        <v>44306</v>
      </c>
      <c r="AA496" s="481">
        <v>44550</v>
      </c>
      <c r="AB496" s="482" t="s">
        <v>2913</v>
      </c>
      <c r="AC496" s="480" t="s">
        <v>4134</v>
      </c>
      <c r="AD496" s="482" t="s">
        <v>4494</v>
      </c>
      <c r="AE496" s="483" t="s">
        <v>4495</v>
      </c>
      <c r="AF496" s="472">
        <v>13600000</v>
      </c>
      <c r="AG496" s="473">
        <f t="shared" si="8"/>
        <v>0</v>
      </c>
      <c r="AL496" s="474">
        <v>623333</v>
      </c>
      <c r="AM496" s="213"/>
    </row>
    <row r="497" spans="1:39" s="313" customFormat="1" hidden="1" x14ac:dyDescent="0.25">
      <c r="A497" s="362" t="s">
        <v>2388</v>
      </c>
      <c r="B497" s="418">
        <v>900000000</v>
      </c>
      <c r="C497" s="313" t="s">
        <v>4496</v>
      </c>
      <c r="D497" s="326">
        <v>492</v>
      </c>
      <c r="E497" s="326">
        <v>20215000020523</v>
      </c>
      <c r="F497" s="316">
        <v>44298</v>
      </c>
      <c r="G497" s="326" t="s">
        <v>2903</v>
      </c>
      <c r="H497" s="313" t="s">
        <v>2904</v>
      </c>
      <c r="I497" s="313" t="s">
        <v>228</v>
      </c>
      <c r="J497" s="406">
        <v>900000000</v>
      </c>
      <c r="K497" s="313" t="s">
        <v>223</v>
      </c>
      <c r="L497" s="313" t="s">
        <v>257</v>
      </c>
      <c r="M497" s="313" t="s">
        <v>44</v>
      </c>
      <c r="N497" s="313" t="s">
        <v>45</v>
      </c>
      <c r="O497" s="313" t="s">
        <v>46</v>
      </c>
      <c r="P497" s="313" t="s">
        <v>678</v>
      </c>
      <c r="R497" s="313">
        <v>534</v>
      </c>
      <c r="S497" s="364">
        <v>44299</v>
      </c>
      <c r="T497" s="361" t="s">
        <v>4497</v>
      </c>
      <c r="U497" s="406">
        <f>900000000-900000000</f>
        <v>0</v>
      </c>
      <c r="V497" s="407">
        <v>900000000</v>
      </c>
      <c r="W497" s="363"/>
      <c r="X497" s="315"/>
      <c r="Y497" s="359"/>
      <c r="Z497" s="359"/>
      <c r="AA497" s="359"/>
      <c r="AB497" s="318"/>
      <c r="AC497" s="317"/>
      <c r="AD497" s="318"/>
      <c r="AF497" s="472"/>
      <c r="AG497" s="319">
        <f t="shared" si="8"/>
        <v>0</v>
      </c>
      <c r="AH497" s="406"/>
      <c r="AI497" s="406"/>
      <c r="AJ497" s="406"/>
      <c r="AK497" s="406"/>
      <c r="AL497" s="406"/>
      <c r="AM497" s="213"/>
    </row>
    <row r="498" spans="1:39" hidden="1" x14ac:dyDescent="0.25">
      <c r="A498" s="475" t="s">
        <v>2392</v>
      </c>
      <c r="B498" s="476">
        <v>28800000</v>
      </c>
      <c r="C498" s="213" t="s">
        <v>2909</v>
      </c>
      <c r="D498" s="312">
        <v>493</v>
      </c>
      <c r="E498" s="312">
        <v>20215000020513</v>
      </c>
      <c r="F498" s="477">
        <v>44298</v>
      </c>
      <c r="G498" s="312" t="s">
        <v>2903</v>
      </c>
      <c r="H498" s="213" t="s">
        <v>2904</v>
      </c>
      <c r="I498" s="211" t="s">
        <v>228</v>
      </c>
      <c r="J498" s="474">
        <v>28800000</v>
      </c>
      <c r="K498" s="213" t="s">
        <v>288</v>
      </c>
      <c r="L498" s="213" t="s">
        <v>2999</v>
      </c>
      <c r="M498" s="213" t="s">
        <v>44</v>
      </c>
      <c r="N498" s="213" t="s">
        <v>45</v>
      </c>
      <c r="O498" s="213" t="s">
        <v>63</v>
      </c>
      <c r="P498" s="213" t="s">
        <v>678</v>
      </c>
      <c r="R498" s="213">
        <v>533</v>
      </c>
      <c r="S498" s="487">
        <v>44299</v>
      </c>
      <c r="T498" s="483" t="s">
        <v>4498</v>
      </c>
      <c r="U498" s="474">
        <f>28800000-1800000</f>
        <v>27000000</v>
      </c>
      <c r="V498" s="407">
        <v>1800000</v>
      </c>
      <c r="W498" s="363" t="s">
        <v>1757</v>
      </c>
      <c r="X498" s="480" t="s">
        <v>4499</v>
      </c>
      <c r="Y498" s="481">
        <v>44322</v>
      </c>
      <c r="Z498" s="481">
        <v>44322</v>
      </c>
      <c r="AA498" s="481">
        <v>44561</v>
      </c>
      <c r="AB498" s="483" t="s">
        <v>2913</v>
      </c>
      <c r="AC498" s="480" t="s">
        <v>3810</v>
      </c>
      <c r="AD498" s="483" t="s">
        <v>4500</v>
      </c>
      <c r="AE498" s="483" t="s">
        <v>4501</v>
      </c>
      <c r="AF498" s="472">
        <v>27000000</v>
      </c>
      <c r="AG498" s="473">
        <f t="shared" si="8"/>
        <v>0</v>
      </c>
      <c r="AM498" s="307">
        <v>3000000</v>
      </c>
    </row>
    <row r="499" spans="1:39" hidden="1" x14ac:dyDescent="0.25">
      <c r="A499" s="465" t="s">
        <v>2462</v>
      </c>
      <c r="B499" s="466">
        <v>40000000</v>
      </c>
      <c r="C499" s="213" t="s">
        <v>2909</v>
      </c>
      <c r="D499" s="468">
        <v>494</v>
      </c>
      <c r="E499" s="468">
        <v>20211200020213</v>
      </c>
      <c r="F499" s="469">
        <v>44298</v>
      </c>
      <c r="G499" s="379" t="s">
        <v>2910</v>
      </c>
      <c r="H499" s="378" t="s">
        <v>2911</v>
      </c>
      <c r="I499" s="467" t="s">
        <v>143</v>
      </c>
      <c r="J499" s="425">
        <v>27500000</v>
      </c>
      <c r="K499" s="378" t="s">
        <v>138</v>
      </c>
      <c r="L499" s="378" t="s">
        <v>139</v>
      </c>
      <c r="M499" s="467" t="s">
        <v>44</v>
      </c>
      <c r="N499" s="467" t="s">
        <v>45</v>
      </c>
      <c r="O499" s="526" t="s">
        <v>46</v>
      </c>
      <c r="P499" s="467" t="s">
        <v>43</v>
      </c>
      <c r="Q499" s="467"/>
      <c r="R499" s="467">
        <v>530</v>
      </c>
      <c r="S499" s="525">
        <v>44299</v>
      </c>
      <c r="T499" s="526" t="s">
        <v>4502</v>
      </c>
      <c r="U499" s="470">
        <v>27500000</v>
      </c>
      <c r="V499" s="415"/>
      <c r="W499" s="380"/>
      <c r="X499" s="480" t="s">
        <v>4503</v>
      </c>
      <c r="Y499" s="481">
        <v>44306</v>
      </c>
      <c r="Z499" s="481">
        <v>44306</v>
      </c>
      <c r="AA499" s="481">
        <v>44458</v>
      </c>
      <c r="AB499" s="482" t="s">
        <v>2913</v>
      </c>
      <c r="AC499" s="480" t="s">
        <v>3608</v>
      </c>
      <c r="AD499" s="482" t="s">
        <v>4504</v>
      </c>
      <c r="AE499" s="483" t="s">
        <v>2952</v>
      </c>
      <c r="AF499" s="472">
        <v>27500000</v>
      </c>
      <c r="AG499" s="473">
        <f t="shared" si="8"/>
        <v>0</v>
      </c>
      <c r="AI499" s="470"/>
      <c r="AJ499" s="470"/>
      <c r="AK499" s="470"/>
      <c r="AL499" s="470">
        <v>2016667</v>
      </c>
      <c r="AM499" s="307">
        <v>5500000</v>
      </c>
    </row>
    <row r="500" spans="1:39" hidden="1" x14ac:dyDescent="0.25">
      <c r="A500" s="475" t="s">
        <v>2393</v>
      </c>
      <c r="B500" s="476">
        <v>20000000</v>
      </c>
      <c r="C500" s="213" t="s">
        <v>2909</v>
      </c>
      <c r="D500" s="312">
        <v>495</v>
      </c>
      <c r="E500" s="312">
        <v>20215000020583</v>
      </c>
      <c r="F500" s="477">
        <v>44298</v>
      </c>
      <c r="G500" s="312" t="s">
        <v>2903</v>
      </c>
      <c r="H500" s="213" t="s">
        <v>2904</v>
      </c>
      <c r="I500" s="211" t="s">
        <v>228</v>
      </c>
      <c r="J500" s="474">
        <v>20000000</v>
      </c>
      <c r="K500" s="213" t="s">
        <v>288</v>
      </c>
      <c r="L500" s="213" t="s">
        <v>2999</v>
      </c>
      <c r="M500" s="213" t="s">
        <v>44</v>
      </c>
      <c r="N500" s="213" t="s">
        <v>45</v>
      </c>
      <c r="O500" s="213" t="s">
        <v>63</v>
      </c>
      <c r="P500" s="213" t="s">
        <v>678</v>
      </c>
      <c r="R500" s="213">
        <v>535</v>
      </c>
      <c r="S500" s="487">
        <v>44299</v>
      </c>
      <c r="T500" s="483" t="s">
        <v>4505</v>
      </c>
      <c r="U500" s="474">
        <f>20000000-20000</f>
        <v>19980000</v>
      </c>
      <c r="V500" s="407">
        <v>20000</v>
      </c>
      <c r="W500" s="363"/>
      <c r="X500" s="480" t="s">
        <v>4506</v>
      </c>
      <c r="Y500" s="481">
        <v>44306</v>
      </c>
      <c r="Z500" s="481">
        <v>44306</v>
      </c>
      <c r="AA500" s="481">
        <v>44545</v>
      </c>
      <c r="AB500" s="482" t="s">
        <v>2913</v>
      </c>
      <c r="AC500" s="480" t="s">
        <v>4105</v>
      </c>
      <c r="AD500" s="482" t="s">
        <v>4507</v>
      </c>
      <c r="AE500" s="483" t="s">
        <v>4508</v>
      </c>
      <c r="AF500" s="472">
        <v>19980000</v>
      </c>
      <c r="AG500" s="473">
        <f t="shared" si="8"/>
        <v>0</v>
      </c>
      <c r="AL500" s="474">
        <v>990000</v>
      </c>
      <c r="AM500" s="307">
        <v>2700000</v>
      </c>
    </row>
    <row r="501" spans="1:39" hidden="1" x14ac:dyDescent="0.25">
      <c r="A501" s="475" t="s">
        <v>2605</v>
      </c>
      <c r="B501" s="476">
        <v>81000000</v>
      </c>
      <c r="C501" s="213" t="s">
        <v>2909</v>
      </c>
      <c r="D501" s="312">
        <v>496</v>
      </c>
      <c r="E501" s="312">
        <v>20216000020743</v>
      </c>
      <c r="F501" s="477">
        <v>44299</v>
      </c>
      <c r="G501" s="312" t="s">
        <v>2910</v>
      </c>
      <c r="H501" s="213" t="s">
        <v>2911</v>
      </c>
      <c r="I501" s="213" t="s">
        <v>214</v>
      </c>
      <c r="J501" s="474">
        <v>81000000</v>
      </c>
      <c r="K501" s="213" t="s">
        <v>138</v>
      </c>
      <c r="L501" s="213" t="s">
        <v>139</v>
      </c>
      <c r="M501" s="213" t="s">
        <v>44</v>
      </c>
      <c r="N501" s="213" t="s">
        <v>45</v>
      </c>
      <c r="O501" s="213" t="s">
        <v>142</v>
      </c>
      <c r="P501" s="213" t="s">
        <v>43</v>
      </c>
      <c r="R501" s="213">
        <v>538</v>
      </c>
      <c r="S501" s="487">
        <v>44299</v>
      </c>
      <c r="T501" s="483" t="s">
        <v>4509</v>
      </c>
      <c r="U501" s="474">
        <v>81000000</v>
      </c>
      <c r="V501" s="407"/>
      <c r="W501" s="363"/>
      <c r="X501" s="480" t="s">
        <v>4510</v>
      </c>
      <c r="Y501" s="481">
        <v>44307</v>
      </c>
      <c r="Z501" s="481">
        <v>44307</v>
      </c>
      <c r="AA501" s="481">
        <v>44550</v>
      </c>
      <c r="AB501" s="482" t="s">
        <v>2913</v>
      </c>
      <c r="AC501" s="480" t="s">
        <v>3478</v>
      </c>
      <c r="AD501" s="482" t="s">
        <v>4511</v>
      </c>
      <c r="AE501" s="483" t="s">
        <v>4512</v>
      </c>
      <c r="AF501" s="472">
        <v>72000000</v>
      </c>
      <c r="AG501" s="473">
        <f t="shared" si="8"/>
        <v>9000000</v>
      </c>
      <c r="AL501" s="474">
        <v>3000000</v>
      </c>
      <c r="AM501" s="307">
        <v>9000000</v>
      </c>
    </row>
    <row r="502" spans="1:39" hidden="1" x14ac:dyDescent="0.25">
      <c r="A502" s="475" t="s">
        <v>2840</v>
      </c>
      <c r="B502" s="476">
        <v>35550000</v>
      </c>
      <c r="C502" s="213" t="s">
        <v>2909</v>
      </c>
      <c r="D502" s="312">
        <v>497</v>
      </c>
      <c r="E502" s="312">
        <v>20214000020873</v>
      </c>
      <c r="F502" s="477">
        <v>44299</v>
      </c>
      <c r="G502" s="312" t="s">
        <v>2943</v>
      </c>
      <c r="H502" s="213" t="s">
        <v>2944</v>
      </c>
      <c r="I502" s="213" t="s">
        <v>47</v>
      </c>
      <c r="J502" s="474">
        <v>23700000</v>
      </c>
      <c r="K502" s="213" t="s">
        <v>37</v>
      </c>
      <c r="L502" s="213" t="s">
        <v>2945</v>
      </c>
      <c r="M502" s="213" t="s">
        <v>44</v>
      </c>
      <c r="N502" s="213" t="s">
        <v>45</v>
      </c>
      <c r="O502" s="213" t="s">
        <v>310</v>
      </c>
      <c r="P502" s="213" t="s">
        <v>43</v>
      </c>
      <c r="R502" s="213">
        <v>539</v>
      </c>
      <c r="S502" s="487">
        <v>44299</v>
      </c>
      <c r="T502" s="483" t="s">
        <v>4513</v>
      </c>
      <c r="U502" s="474">
        <v>23700000</v>
      </c>
      <c r="V502" s="407"/>
      <c r="W502" s="363"/>
      <c r="X502" s="480" t="s">
        <v>4514</v>
      </c>
      <c r="Y502" s="481">
        <v>44315</v>
      </c>
      <c r="Z502" s="481">
        <v>44315</v>
      </c>
      <c r="AA502" s="481">
        <v>44497</v>
      </c>
      <c r="AB502" s="482" t="s">
        <v>2913</v>
      </c>
      <c r="AC502" s="480" t="s">
        <v>3543</v>
      </c>
      <c r="AD502" s="482" t="s">
        <v>4515</v>
      </c>
      <c r="AE502" s="483" t="s">
        <v>4516</v>
      </c>
      <c r="AF502" s="472">
        <v>23700000</v>
      </c>
      <c r="AG502" s="473">
        <f t="shared" si="8"/>
        <v>0</v>
      </c>
      <c r="AM502" s="307">
        <v>4213333</v>
      </c>
    </row>
    <row r="503" spans="1:39" hidden="1" x14ac:dyDescent="0.25">
      <c r="A503" s="475" t="s">
        <v>2386</v>
      </c>
      <c r="B503" s="476">
        <v>38250000</v>
      </c>
      <c r="C503" s="213" t="s">
        <v>2909</v>
      </c>
      <c r="D503" s="312">
        <v>498</v>
      </c>
      <c r="E503" s="312">
        <v>20212000020623</v>
      </c>
      <c r="F503" s="477">
        <v>44299</v>
      </c>
      <c r="G503" s="312" t="s">
        <v>2903</v>
      </c>
      <c r="H503" s="213" t="s">
        <v>2904</v>
      </c>
      <c r="I503" s="213" t="s">
        <v>391</v>
      </c>
      <c r="J503" s="474">
        <v>36000000</v>
      </c>
      <c r="K503" s="211" t="s">
        <v>2974</v>
      </c>
      <c r="L503" s="213" t="s">
        <v>2975</v>
      </c>
      <c r="M503" s="211" t="s">
        <v>44</v>
      </c>
      <c r="N503" s="211" t="s">
        <v>45</v>
      </c>
      <c r="O503" s="213" t="s">
        <v>63</v>
      </c>
      <c r="P503" s="213" t="s">
        <v>678</v>
      </c>
      <c r="R503" s="213">
        <v>536</v>
      </c>
      <c r="S503" s="487">
        <v>44299</v>
      </c>
      <c r="T503" s="483" t="s">
        <v>4517</v>
      </c>
      <c r="U503" s="474">
        <v>36000000</v>
      </c>
      <c r="V503" s="407"/>
      <c r="W503" s="363"/>
      <c r="X503" s="480" t="s">
        <v>4518</v>
      </c>
      <c r="Y503" s="481">
        <v>44320</v>
      </c>
      <c r="Z503" s="481">
        <v>44320</v>
      </c>
      <c r="AA503" s="481">
        <v>44561</v>
      </c>
      <c r="AB503" s="483" t="s">
        <v>2913</v>
      </c>
      <c r="AC503" s="480" t="s">
        <v>3708</v>
      </c>
      <c r="AD503" s="483" t="s">
        <v>4519</v>
      </c>
      <c r="AE503" s="483" t="s">
        <v>4520</v>
      </c>
      <c r="AF503" s="472">
        <v>36000000</v>
      </c>
      <c r="AG503" s="473">
        <f t="shared" si="8"/>
        <v>0</v>
      </c>
      <c r="AM503" s="307">
        <v>3900000</v>
      </c>
    </row>
    <row r="504" spans="1:39" hidden="1" x14ac:dyDescent="0.25">
      <c r="A504" s="465" t="s">
        <v>2003</v>
      </c>
      <c r="B504" s="466">
        <v>23162500</v>
      </c>
      <c r="C504" s="213" t="s">
        <v>2909</v>
      </c>
      <c r="D504" s="468">
        <v>499</v>
      </c>
      <c r="E504" s="468">
        <v>20212000020753</v>
      </c>
      <c r="F504" s="469">
        <v>44299</v>
      </c>
      <c r="G504" s="468" t="s">
        <v>2903</v>
      </c>
      <c r="H504" s="467" t="s">
        <v>2904</v>
      </c>
      <c r="I504" s="467" t="s">
        <v>391</v>
      </c>
      <c r="J504" s="470">
        <v>21800000</v>
      </c>
      <c r="K504" s="378" t="s">
        <v>2974</v>
      </c>
      <c r="L504" s="467" t="s">
        <v>2975</v>
      </c>
      <c r="M504" s="378" t="s">
        <v>44</v>
      </c>
      <c r="N504" s="378" t="s">
        <v>45</v>
      </c>
      <c r="O504" s="467" t="s">
        <v>63</v>
      </c>
      <c r="P504" s="213" t="s">
        <v>678</v>
      </c>
      <c r="Q504" s="467"/>
      <c r="R504" s="467">
        <v>537</v>
      </c>
      <c r="S504" s="525">
        <v>44299</v>
      </c>
      <c r="T504" s="526" t="s">
        <v>4521</v>
      </c>
      <c r="U504" s="470">
        <v>21800000</v>
      </c>
      <c r="V504" s="415"/>
      <c r="W504" s="380"/>
      <c r="X504" s="480" t="s">
        <v>4522</v>
      </c>
      <c r="Y504" s="481">
        <v>44308</v>
      </c>
      <c r="Z504" s="481">
        <v>44308</v>
      </c>
      <c r="AA504" s="481">
        <v>44551</v>
      </c>
      <c r="AB504" s="482" t="s">
        <v>2913</v>
      </c>
      <c r="AC504" s="480" t="s">
        <v>4523</v>
      </c>
      <c r="AD504" s="482" t="s">
        <v>4524</v>
      </c>
      <c r="AE504" s="483" t="s">
        <v>4525</v>
      </c>
      <c r="AF504" s="472">
        <v>21800000</v>
      </c>
      <c r="AG504" s="473">
        <f t="shared" si="8"/>
        <v>0</v>
      </c>
      <c r="AI504" s="470"/>
      <c r="AJ504" s="470"/>
      <c r="AK504" s="470"/>
      <c r="AL504" s="470">
        <v>817500</v>
      </c>
      <c r="AM504" s="307">
        <v>2725000</v>
      </c>
    </row>
    <row r="505" spans="1:39" hidden="1" x14ac:dyDescent="0.25">
      <c r="A505" s="475" t="s">
        <v>2660</v>
      </c>
      <c r="B505" s="476">
        <v>29700000</v>
      </c>
      <c r="C505" s="213" t="s">
        <v>2909</v>
      </c>
      <c r="D505" s="312">
        <v>500</v>
      </c>
      <c r="E505" s="312">
        <v>20216000020943</v>
      </c>
      <c r="F505" s="477">
        <v>44299</v>
      </c>
      <c r="G505" s="312" t="s">
        <v>2910</v>
      </c>
      <c r="H505" s="213" t="s">
        <v>2911</v>
      </c>
      <c r="I505" s="213" t="s">
        <v>214</v>
      </c>
      <c r="J505" s="474">
        <v>24300000</v>
      </c>
      <c r="K505" s="213" t="s">
        <v>138</v>
      </c>
      <c r="L505" s="213" t="s">
        <v>139</v>
      </c>
      <c r="M505" s="213" t="s">
        <v>44</v>
      </c>
      <c r="N505" s="213" t="s">
        <v>45</v>
      </c>
      <c r="O505" s="213" t="s">
        <v>142</v>
      </c>
      <c r="P505" s="213" t="s">
        <v>43</v>
      </c>
      <c r="R505" s="213">
        <v>540</v>
      </c>
      <c r="S505" s="487">
        <v>44299</v>
      </c>
      <c r="T505" s="483" t="s">
        <v>4526</v>
      </c>
      <c r="U505" s="474">
        <v>24300000</v>
      </c>
      <c r="V505" s="407"/>
      <c r="W505" s="363"/>
      <c r="X505" s="480" t="s">
        <v>4527</v>
      </c>
      <c r="Y505" s="481">
        <v>44302</v>
      </c>
      <c r="Z505" s="481">
        <v>44302</v>
      </c>
      <c r="AA505" s="481">
        <v>44546</v>
      </c>
      <c r="AB505" s="482" t="s">
        <v>2913</v>
      </c>
      <c r="AC505" s="480" t="s">
        <v>4528</v>
      </c>
      <c r="AD505" s="482" t="s">
        <v>4529</v>
      </c>
      <c r="AE505" s="483" t="s">
        <v>4530</v>
      </c>
      <c r="AF505" s="472">
        <v>21600000</v>
      </c>
      <c r="AG505" s="473">
        <f t="shared" si="8"/>
        <v>2700000</v>
      </c>
      <c r="AL505" s="474">
        <v>1080000</v>
      </c>
      <c r="AM505" s="307">
        <v>2700000</v>
      </c>
    </row>
    <row r="506" spans="1:39" hidden="1" x14ac:dyDescent="0.25">
      <c r="A506" s="475" t="s">
        <v>2640</v>
      </c>
      <c r="B506" s="476">
        <v>36784368</v>
      </c>
      <c r="C506" s="213" t="s">
        <v>2909</v>
      </c>
      <c r="D506" s="312">
        <v>501</v>
      </c>
      <c r="E506" s="312">
        <v>20217000021143</v>
      </c>
      <c r="F506" s="477">
        <v>44300</v>
      </c>
      <c r="G506" s="312" t="s">
        <v>2910</v>
      </c>
      <c r="H506" s="213" t="s">
        <v>2911</v>
      </c>
      <c r="I506" s="213" t="s">
        <v>164</v>
      </c>
      <c r="J506" s="474">
        <v>24530202</v>
      </c>
      <c r="K506" s="213" t="s">
        <v>138</v>
      </c>
      <c r="L506" s="213" t="s">
        <v>139</v>
      </c>
      <c r="M506" s="213" t="s">
        <v>44</v>
      </c>
      <c r="N506" s="213" t="s">
        <v>45</v>
      </c>
      <c r="O506" s="213" t="s">
        <v>142</v>
      </c>
      <c r="P506" s="213" t="s">
        <v>43</v>
      </c>
      <c r="R506" s="213">
        <v>544</v>
      </c>
      <c r="S506" s="487">
        <v>44301</v>
      </c>
      <c r="T506" s="483" t="s">
        <v>4531</v>
      </c>
      <c r="U506" s="474">
        <v>24530202</v>
      </c>
      <c r="V506" s="407"/>
      <c r="W506" s="363"/>
      <c r="X506" s="480" t="s">
        <v>4532</v>
      </c>
      <c r="Y506" s="481">
        <v>44314</v>
      </c>
      <c r="Z506" s="481">
        <v>44314</v>
      </c>
      <c r="AA506" s="481">
        <v>44496</v>
      </c>
      <c r="AB506" s="482" t="s">
        <v>2913</v>
      </c>
      <c r="AC506" s="480" t="s">
        <v>4279</v>
      </c>
      <c r="AD506" s="482" t="s">
        <v>4533</v>
      </c>
      <c r="AE506" s="483" t="s">
        <v>3070</v>
      </c>
      <c r="AF506" s="472">
        <v>24530202</v>
      </c>
      <c r="AG506" s="473">
        <f t="shared" si="8"/>
        <v>0</v>
      </c>
      <c r="AM506" s="213"/>
    </row>
    <row r="507" spans="1:39" hidden="1" x14ac:dyDescent="0.25">
      <c r="A507" s="475" t="s">
        <v>2236</v>
      </c>
      <c r="B507" s="476">
        <v>40883670</v>
      </c>
      <c r="C507" s="213" t="s">
        <v>2909</v>
      </c>
      <c r="D507" s="312">
        <v>502</v>
      </c>
      <c r="E507" s="312">
        <v>20217000021073</v>
      </c>
      <c r="F507" s="477">
        <v>44300</v>
      </c>
      <c r="G507" s="312" t="s">
        <v>2910</v>
      </c>
      <c r="H507" s="213" t="s">
        <v>2911</v>
      </c>
      <c r="I507" s="213" t="s">
        <v>164</v>
      </c>
      <c r="J507" s="474">
        <v>16353468</v>
      </c>
      <c r="K507" s="213" t="s">
        <v>138</v>
      </c>
      <c r="L507" s="213" t="s">
        <v>139</v>
      </c>
      <c r="M507" s="213" t="s">
        <v>44</v>
      </c>
      <c r="N507" s="213" t="s">
        <v>45</v>
      </c>
      <c r="O507" s="213" t="s">
        <v>142</v>
      </c>
      <c r="P507" s="213" t="s">
        <v>43</v>
      </c>
      <c r="R507" s="213">
        <v>543</v>
      </c>
      <c r="S507" s="487">
        <v>44301</v>
      </c>
      <c r="T507" s="483" t="s">
        <v>4534</v>
      </c>
      <c r="U507" s="474">
        <v>16353468</v>
      </c>
      <c r="V507" s="407"/>
      <c r="W507" s="363"/>
      <c r="X507" s="480" t="s">
        <v>4535</v>
      </c>
      <c r="Y507" s="481">
        <v>44315</v>
      </c>
      <c r="Z507" s="481">
        <v>44315</v>
      </c>
      <c r="AA507" s="481">
        <v>44436</v>
      </c>
      <c r="AB507" s="482" t="s">
        <v>2913</v>
      </c>
      <c r="AC507" s="480" t="s">
        <v>3959</v>
      </c>
      <c r="AD507" s="482" t="s">
        <v>4536</v>
      </c>
      <c r="AE507" s="483" t="s">
        <v>3538</v>
      </c>
      <c r="AF507" s="472">
        <v>16353468</v>
      </c>
      <c r="AG507" s="473">
        <f t="shared" si="8"/>
        <v>0</v>
      </c>
      <c r="AM507" s="307">
        <v>4360925</v>
      </c>
    </row>
    <row r="508" spans="1:39" s="313" customFormat="1" hidden="1" x14ac:dyDescent="0.25">
      <c r="A508" s="362" t="s">
        <v>2235</v>
      </c>
      <c r="B508" s="418">
        <v>63000000</v>
      </c>
      <c r="C508" s="313" t="s">
        <v>3025</v>
      </c>
      <c r="D508" s="326">
        <v>503</v>
      </c>
      <c r="E508" s="326">
        <v>20217000021483</v>
      </c>
      <c r="F508" s="316">
        <v>44301</v>
      </c>
      <c r="G508" s="326" t="s">
        <v>2910</v>
      </c>
      <c r="H508" s="313" t="s">
        <v>2911</v>
      </c>
      <c r="I508" s="313" t="s">
        <v>164</v>
      </c>
      <c r="J508" s="406">
        <v>49100000</v>
      </c>
      <c r="K508" s="313" t="s">
        <v>138</v>
      </c>
      <c r="L508" s="313" t="s">
        <v>139</v>
      </c>
      <c r="M508" s="313" t="s">
        <v>44</v>
      </c>
      <c r="N508" s="313" t="s">
        <v>45</v>
      </c>
      <c r="O508" s="313" t="s">
        <v>142</v>
      </c>
      <c r="P508" s="313" t="s">
        <v>43</v>
      </c>
      <c r="R508" s="313">
        <v>549</v>
      </c>
      <c r="S508" s="364">
        <v>44302</v>
      </c>
      <c r="T508" s="361" t="s">
        <v>4537</v>
      </c>
      <c r="U508" s="406">
        <f>49100000-49100000</f>
        <v>0</v>
      </c>
      <c r="V508" s="407">
        <v>49100000</v>
      </c>
      <c r="W508" s="363"/>
      <c r="X508" s="315"/>
      <c r="Y508" s="359"/>
      <c r="Z508" s="359"/>
      <c r="AA508" s="359"/>
      <c r="AB508" s="318"/>
      <c r="AC508" s="317"/>
      <c r="AD508" s="318"/>
      <c r="AF508" s="411"/>
      <c r="AG508" s="319">
        <f t="shared" si="8"/>
        <v>0</v>
      </c>
      <c r="AH508" s="406"/>
      <c r="AI508" s="406"/>
      <c r="AJ508" s="406"/>
      <c r="AK508" s="406"/>
      <c r="AL508" s="406"/>
      <c r="AM508" s="213"/>
    </row>
    <row r="509" spans="1:39" hidden="1" x14ac:dyDescent="0.25">
      <c r="A509" s="475" t="s">
        <v>2184</v>
      </c>
      <c r="B509" s="476">
        <v>34967856</v>
      </c>
      <c r="C509" s="213" t="s">
        <v>2909</v>
      </c>
      <c r="D509" s="312">
        <v>504</v>
      </c>
      <c r="E509" s="312">
        <v>20217000021493</v>
      </c>
      <c r="F509" s="477">
        <v>44301</v>
      </c>
      <c r="G509" s="312" t="s">
        <v>2910</v>
      </c>
      <c r="H509" s="213" t="s">
        <v>2911</v>
      </c>
      <c r="I509" s="213" t="s">
        <v>164</v>
      </c>
      <c r="J509" s="474">
        <v>13000000</v>
      </c>
      <c r="K509" s="213" t="s">
        <v>138</v>
      </c>
      <c r="L509" s="213" t="s">
        <v>139</v>
      </c>
      <c r="M509" s="213" t="s">
        <v>44</v>
      </c>
      <c r="N509" s="213" t="s">
        <v>45</v>
      </c>
      <c r="O509" s="213" t="s">
        <v>142</v>
      </c>
      <c r="P509" s="213" t="s">
        <v>43</v>
      </c>
      <c r="R509" s="213">
        <v>550</v>
      </c>
      <c r="S509" s="487">
        <v>44302</v>
      </c>
      <c r="T509" s="483" t="s">
        <v>4538</v>
      </c>
      <c r="U509" s="474">
        <v>13000000</v>
      </c>
      <c r="V509" s="407"/>
      <c r="W509" s="363"/>
      <c r="X509" s="480" t="s">
        <v>4539</v>
      </c>
      <c r="Y509" s="481">
        <v>44312</v>
      </c>
      <c r="Z509" s="481">
        <v>44312</v>
      </c>
      <c r="AA509" s="481">
        <v>44434</v>
      </c>
      <c r="AB509" s="482" t="s">
        <v>2913</v>
      </c>
      <c r="AC509" s="480" t="s">
        <v>4111</v>
      </c>
      <c r="AD509" s="482" t="s">
        <v>4540</v>
      </c>
      <c r="AE509" s="483" t="s">
        <v>4541</v>
      </c>
      <c r="AF509" s="472">
        <v>12719364</v>
      </c>
      <c r="AG509" s="473">
        <f t="shared" si="8"/>
        <v>280636</v>
      </c>
      <c r="AM509" s="307">
        <v>3709815</v>
      </c>
    </row>
    <row r="510" spans="1:39" hidden="1" x14ac:dyDescent="0.25">
      <c r="A510" s="475" t="s">
        <v>2724</v>
      </c>
      <c r="B510" s="476">
        <v>45000000</v>
      </c>
      <c r="C510" s="213" t="s">
        <v>2909</v>
      </c>
      <c r="D510" s="312">
        <v>505</v>
      </c>
      <c r="E510" s="312">
        <v>20213000021253</v>
      </c>
      <c r="F510" s="477">
        <v>44301</v>
      </c>
      <c r="G510" s="312" t="s">
        <v>2903</v>
      </c>
      <c r="H510" s="213" t="s">
        <v>2904</v>
      </c>
      <c r="I510" s="213" t="s">
        <v>432</v>
      </c>
      <c r="J510" s="474">
        <v>29981358</v>
      </c>
      <c r="K510" s="213" t="s">
        <v>342</v>
      </c>
      <c r="L510" s="213" t="s">
        <v>351</v>
      </c>
      <c r="M510" s="213" t="s">
        <v>44</v>
      </c>
      <c r="N510" s="213" t="s">
        <v>45</v>
      </c>
      <c r="O510" s="213" t="s">
        <v>63</v>
      </c>
      <c r="P510" s="213" t="s">
        <v>678</v>
      </c>
      <c r="R510" s="213">
        <v>546</v>
      </c>
      <c r="S510" s="487">
        <v>44302</v>
      </c>
      <c r="T510" s="483" t="s">
        <v>4542</v>
      </c>
      <c r="U510" s="474">
        <v>29981358</v>
      </c>
      <c r="V510" s="407"/>
      <c r="W510" s="363"/>
      <c r="X510" s="480" t="s">
        <v>4543</v>
      </c>
      <c r="Y510" s="481">
        <v>44315</v>
      </c>
      <c r="Z510" s="481">
        <v>44315</v>
      </c>
      <c r="AA510" s="481">
        <v>44497</v>
      </c>
      <c r="AB510" s="482" t="s">
        <v>2913</v>
      </c>
      <c r="AC510" s="480" t="s">
        <v>4124</v>
      </c>
      <c r="AD510" s="482" t="s">
        <v>4544</v>
      </c>
      <c r="AE510" s="483" t="s">
        <v>4545</v>
      </c>
      <c r="AF510" s="472">
        <v>29981358</v>
      </c>
      <c r="AG510" s="473">
        <f t="shared" si="8"/>
        <v>0</v>
      </c>
      <c r="AM510" s="307">
        <v>5330019</v>
      </c>
    </row>
    <row r="511" spans="1:39" hidden="1" x14ac:dyDescent="0.25">
      <c r="A511" s="475" t="s">
        <v>2725</v>
      </c>
      <c r="B511" s="476">
        <v>42000000</v>
      </c>
      <c r="C511" s="213" t="s">
        <v>2909</v>
      </c>
      <c r="D511" s="312">
        <v>506</v>
      </c>
      <c r="E511" s="312">
        <v>20213000021263</v>
      </c>
      <c r="F511" s="477">
        <v>44301</v>
      </c>
      <c r="G511" s="312" t="s">
        <v>2903</v>
      </c>
      <c r="H511" s="213" t="s">
        <v>2904</v>
      </c>
      <c r="I511" s="213" t="s">
        <v>432</v>
      </c>
      <c r="J511" s="474">
        <v>29981358</v>
      </c>
      <c r="K511" s="213" t="s">
        <v>342</v>
      </c>
      <c r="L511" s="213" t="s">
        <v>351</v>
      </c>
      <c r="M511" s="213" t="s">
        <v>44</v>
      </c>
      <c r="N511" s="213" t="s">
        <v>45</v>
      </c>
      <c r="O511" s="213" t="s">
        <v>63</v>
      </c>
      <c r="P511" s="213" t="s">
        <v>678</v>
      </c>
      <c r="R511" s="213">
        <v>547</v>
      </c>
      <c r="S511" s="487">
        <v>44302</v>
      </c>
      <c r="T511" s="483" t="s">
        <v>4546</v>
      </c>
      <c r="U511" s="474">
        <v>29981358</v>
      </c>
      <c r="V511" s="407"/>
      <c r="W511" s="363"/>
      <c r="X511" s="480" t="s">
        <v>4547</v>
      </c>
      <c r="Y511" s="481">
        <v>44336</v>
      </c>
      <c r="Z511" s="481">
        <v>44336</v>
      </c>
      <c r="AA511" s="481">
        <v>44519</v>
      </c>
      <c r="AB511" s="483" t="s">
        <v>2913</v>
      </c>
      <c r="AC511" s="480" t="s">
        <v>4289</v>
      </c>
      <c r="AD511" s="483" t="s">
        <v>4548</v>
      </c>
      <c r="AE511" s="483" t="s">
        <v>4549</v>
      </c>
      <c r="AF511" s="472">
        <v>29981358</v>
      </c>
      <c r="AG511" s="473">
        <f t="shared" si="8"/>
        <v>0</v>
      </c>
      <c r="AM511" s="213"/>
    </row>
    <row r="512" spans="1:39" s="313" customFormat="1" hidden="1" x14ac:dyDescent="0.25">
      <c r="A512" s="381" t="s">
        <v>2728</v>
      </c>
      <c r="B512" s="422">
        <v>42000000</v>
      </c>
      <c r="C512" s="313" t="s">
        <v>3025</v>
      </c>
      <c r="D512" s="382">
        <v>507</v>
      </c>
      <c r="E512" s="382">
        <v>20213000021273</v>
      </c>
      <c r="F512" s="383">
        <v>44301</v>
      </c>
      <c r="G512" s="382" t="s">
        <v>2903</v>
      </c>
      <c r="H512" s="365" t="s">
        <v>2904</v>
      </c>
      <c r="I512" s="365" t="s">
        <v>432</v>
      </c>
      <c r="J512" s="409">
        <v>24000000</v>
      </c>
      <c r="K512" s="365" t="s">
        <v>342</v>
      </c>
      <c r="L512" s="365" t="s">
        <v>351</v>
      </c>
      <c r="M512" s="365" t="s">
        <v>44</v>
      </c>
      <c r="N512" s="365" t="s">
        <v>45</v>
      </c>
      <c r="O512" s="365" t="s">
        <v>63</v>
      </c>
      <c r="P512" s="365" t="s">
        <v>678</v>
      </c>
      <c r="Q512" s="365"/>
      <c r="R512" s="365">
        <v>548</v>
      </c>
      <c r="S512" s="384">
        <v>44302</v>
      </c>
      <c r="T512" s="385" t="s">
        <v>4189</v>
      </c>
      <c r="U512" s="409">
        <f>24000000-24000000</f>
        <v>0</v>
      </c>
      <c r="V512" s="444">
        <v>24000000</v>
      </c>
      <c r="W512" s="403"/>
      <c r="X512" s="315"/>
      <c r="Y512" s="359"/>
      <c r="Z512" s="359"/>
      <c r="AA512" s="359"/>
      <c r="AB512" s="318"/>
      <c r="AC512" s="317"/>
      <c r="AD512" s="318"/>
      <c r="AF512" s="411"/>
      <c r="AG512" s="319">
        <f t="shared" si="8"/>
        <v>0</v>
      </c>
      <c r="AH512" s="406"/>
      <c r="AI512" s="409"/>
      <c r="AJ512" s="409"/>
      <c r="AK512" s="409"/>
      <c r="AL512" s="409"/>
      <c r="AM512" s="213"/>
    </row>
    <row r="513" spans="1:39" hidden="1" x14ac:dyDescent="0.25">
      <c r="A513" s="475" t="s">
        <v>2717</v>
      </c>
      <c r="B513" s="476">
        <v>20441835</v>
      </c>
      <c r="C513" s="213" t="s">
        <v>2909</v>
      </c>
      <c r="D513" s="312">
        <v>508</v>
      </c>
      <c r="E513" s="312">
        <v>20217000021603</v>
      </c>
      <c r="F513" s="477">
        <v>44302</v>
      </c>
      <c r="G513" s="312" t="s">
        <v>2910</v>
      </c>
      <c r="H513" s="213" t="s">
        <v>2911</v>
      </c>
      <c r="I513" s="213" t="s">
        <v>164</v>
      </c>
      <c r="J513" s="474">
        <v>20441835</v>
      </c>
      <c r="K513" s="213" t="s">
        <v>138</v>
      </c>
      <c r="L513" s="213" t="s">
        <v>139</v>
      </c>
      <c r="M513" s="213" t="s">
        <v>44</v>
      </c>
      <c r="N513" s="213" t="s">
        <v>45</v>
      </c>
      <c r="O513" s="213" t="s">
        <v>142</v>
      </c>
      <c r="P513" s="213" t="s">
        <v>43</v>
      </c>
      <c r="R513" s="213">
        <v>551</v>
      </c>
      <c r="S513" s="487">
        <v>44302</v>
      </c>
      <c r="T513" s="483" t="s">
        <v>4550</v>
      </c>
      <c r="U513" s="474">
        <v>20441835</v>
      </c>
      <c r="V513" s="407"/>
      <c r="W513" s="363"/>
      <c r="X513" s="480" t="s">
        <v>4551</v>
      </c>
      <c r="Y513" s="481">
        <v>44316</v>
      </c>
      <c r="Z513" s="481">
        <v>44316</v>
      </c>
      <c r="AA513" s="481">
        <v>44468</v>
      </c>
      <c r="AB513" s="482" t="s">
        <v>2913</v>
      </c>
      <c r="AC513" s="480" t="s">
        <v>3154</v>
      </c>
      <c r="AD513" s="482" t="s">
        <v>4552</v>
      </c>
      <c r="AE513" s="483" t="s">
        <v>3090</v>
      </c>
      <c r="AF513" s="472">
        <v>20441835</v>
      </c>
      <c r="AG513" s="473">
        <f t="shared" si="8"/>
        <v>0</v>
      </c>
      <c r="AM513" s="307">
        <v>4224645</v>
      </c>
    </row>
    <row r="514" spans="1:39" s="313" customFormat="1" hidden="1" x14ac:dyDescent="0.25">
      <c r="A514" s="362" t="s">
        <v>2233</v>
      </c>
      <c r="B514" s="418">
        <v>31798410</v>
      </c>
      <c r="C514" s="313" t="s">
        <v>3025</v>
      </c>
      <c r="D514" s="326">
        <v>509</v>
      </c>
      <c r="E514" s="326">
        <v>20217000021733</v>
      </c>
      <c r="F514" s="316">
        <v>44302</v>
      </c>
      <c r="G514" s="326" t="s">
        <v>2910</v>
      </c>
      <c r="H514" s="313" t="s">
        <v>2911</v>
      </c>
      <c r="I514" s="313" t="s">
        <v>164</v>
      </c>
      <c r="J514" s="406">
        <v>16353468</v>
      </c>
      <c r="K514" s="313" t="s">
        <v>138</v>
      </c>
      <c r="L514" s="313" t="s">
        <v>139</v>
      </c>
      <c r="M514" s="313" t="s">
        <v>44</v>
      </c>
      <c r="N514" s="313" t="s">
        <v>45</v>
      </c>
      <c r="O514" s="313" t="s">
        <v>142</v>
      </c>
      <c r="P514" s="313" t="s">
        <v>43</v>
      </c>
      <c r="R514" s="313">
        <v>553</v>
      </c>
      <c r="S514" s="364">
        <v>44302</v>
      </c>
      <c r="T514" s="361" t="s">
        <v>4553</v>
      </c>
      <c r="U514" s="406">
        <f>16353468-16353468</f>
        <v>0</v>
      </c>
      <c r="V514" s="407">
        <v>16353468</v>
      </c>
      <c r="W514" s="363"/>
      <c r="X514" s="315"/>
      <c r="Y514" s="359"/>
      <c r="Z514" s="359"/>
      <c r="AA514" s="359"/>
      <c r="AB514" s="318"/>
      <c r="AC514" s="317"/>
      <c r="AD514" s="318"/>
      <c r="AF514" s="411"/>
      <c r="AG514" s="319">
        <f t="shared" si="8"/>
        <v>0</v>
      </c>
      <c r="AH514" s="406"/>
      <c r="AI514" s="406"/>
      <c r="AJ514" s="406"/>
      <c r="AK514" s="406"/>
      <c r="AL514" s="406"/>
      <c r="AM514" s="213"/>
    </row>
    <row r="515" spans="1:39" hidden="1" x14ac:dyDescent="0.25">
      <c r="A515" s="475" t="s">
        <v>2194</v>
      </c>
      <c r="B515" s="476">
        <v>31798410</v>
      </c>
      <c r="C515" s="213" t="s">
        <v>2909</v>
      </c>
      <c r="D515" s="312">
        <v>510</v>
      </c>
      <c r="E515" s="312">
        <v>20217000021753</v>
      </c>
      <c r="F515" s="477">
        <v>44302</v>
      </c>
      <c r="G515" s="312" t="s">
        <v>2910</v>
      </c>
      <c r="H515" s="213" t="s">
        <v>2911</v>
      </c>
      <c r="I515" s="213" t="s">
        <v>164</v>
      </c>
      <c r="J515" s="474">
        <v>25438728</v>
      </c>
      <c r="K515" s="213" t="s">
        <v>138</v>
      </c>
      <c r="L515" s="213" t="s">
        <v>139</v>
      </c>
      <c r="M515" s="213" t="s">
        <v>44</v>
      </c>
      <c r="N515" s="213" t="s">
        <v>45</v>
      </c>
      <c r="O515" s="213" t="s">
        <v>142</v>
      </c>
      <c r="P515" s="213" t="s">
        <v>43</v>
      </c>
      <c r="R515" s="213">
        <v>554</v>
      </c>
      <c r="S515" s="487">
        <v>44302</v>
      </c>
      <c r="T515" s="483" t="s">
        <v>4554</v>
      </c>
      <c r="U515" s="474">
        <v>25438728</v>
      </c>
      <c r="V515" s="407"/>
      <c r="W515" s="363"/>
      <c r="X515" s="480" t="s">
        <v>4555</v>
      </c>
      <c r="Y515" s="481">
        <v>44315</v>
      </c>
      <c r="Z515" s="481">
        <v>44315</v>
      </c>
      <c r="AA515" s="481">
        <v>44561</v>
      </c>
      <c r="AB515" s="482" t="s">
        <v>2913</v>
      </c>
      <c r="AC515" s="480" t="s">
        <v>3954</v>
      </c>
      <c r="AD515" s="482" t="s">
        <v>4556</v>
      </c>
      <c r="AE515" s="483" t="s">
        <v>3348</v>
      </c>
      <c r="AF515" s="472">
        <v>25438728</v>
      </c>
      <c r="AG515" s="473">
        <f t="shared" si="8"/>
        <v>0</v>
      </c>
      <c r="AM515" s="307">
        <v>3391830</v>
      </c>
    </row>
    <row r="516" spans="1:39" hidden="1" x14ac:dyDescent="0.25">
      <c r="A516" s="475" t="s">
        <v>2246</v>
      </c>
      <c r="B516" s="476">
        <v>53148771</v>
      </c>
      <c r="C516" s="213" t="s">
        <v>2909</v>
      </c>
      <c r="D516" s="312">
        <v>511</v>
      </c>
      <c r="E516" s="312">
        <v>20217000021803</v>
      </c>
      <c r="F516" s="477">
        <v>44302</v>
      </c>
      <c r="G516" s="312" t="s">
        <v>2910</v>
      </c>
      <c r="H516" s="213" t="s">
        <v>2911</v>
      </c>
      <c r="I516" s="213" t="s">
        <v>164</v>
      </c>
      <c r="J516" s="474">
        <v>35432514</v>
      </c>
      <c r="K516" s="213" t="s">
        <v>138</v>
      </c>
      <c r="L516" s="213" t="s">
        <v>139</v>
      </c>
      <c r="M516" s="213" t="s">
        <v>44</v>
      </c>
      <c r="N516" s="213" t="s">
        <v>45</v>
      </c>
      <c r="O516" s="213" t="s">
        <v>142</v>
      </c>
      <c r="P516" s="213" t="s">
        <v>43</v>
      </c>
      <c r="R516" s="213">
        <v>555</v>
      </c>
      <c r="S516" s="487">
        <v>44302</v>
      </c>
      <c r="T516" s="483" t="s">
        <v>3611</v>
      </c>
      <c r="U516" s="474">
        <v>35432514</v>
      </c>
      <c r="V516" s="407"/>
      <c r="W516" s="363"/>
      <c r="X516" s="480" t="s">
        <v>4557</v>
      </c>
      <c r="Y516" s="481">
        <v>44316</v>
      </c>
      <c r="Z516" s="481">
        <v>44316</v>
      </c>
      <c r="AA516" s="481">
        <v>44498</v>
      </c>
      <c r="AB516" s="482" t="s">
        <v>2913</v>
      </c>
      <c r="AC516" s="480" t="s">
        <v>4050</v>
      </c>
      <c r="AD516" s="482" t="s">
        <v>3505</v>
      </c>
      <c r="AE516" s="483" t="s">
        <v>3506</v>
      </c>
      <c r="AF516" s="472">
        <v>35432514</v>
      </c>
      <c r="AG516" s="473">
        <f t="shared" si="8"/>
        <v>0</v>
      </c>
      <c r="AM516" s="307">
        <v>5708572</v>
      </c>
    </row>
    <row r="517" spans="1:39" hidden="1" x14ac:dyDescent="0.25">
      <c r="A517" s="475" t="s">
        <v>2567</v>
      </c>
      <c r="B517" s="476">
        <v>90825000</v>
      </c>
      <c r="C517" s="213" t="s">
        <v>4558</v>
      </c>
      <c r="D517" s="312">
        <v>512</v>
      </c>
      <c r="E517" s="312">
        <v>20211400021713</v>
      </c>
      <c r="F517" s="477">
        <v>44302</v>
      </c>
      <c r="G517" s="312" t="s">
        <v>2910</v>
      </c>
      <c r="H517" s="213" t="s">
        <v>2911</v>
      </c>
      <c r="I517" s="213" t="s">
        <v>184</v>
      </c>
      <c r="J517" s="474">
        <v>64850000</v>
      </c>
      <c r="K517" s="213" t="s">
        <v>138</v>
      </c>
      <c r="L517" s="213" t="s">
        <v>2915</v>
      </c>
      <c r="M517" s="213" t="s">
        <v>3105</v>
      </c>
      <c r="N517" s="213" t="s">
        <v>157</v>
      </c>
      <c r="O517" s="213" t="s">
        <v>158</v>
      </c>
      <c r="P517" s="213" t="s">
        <v>43</v>
      </c>
      <c r="R517" s="483">
        <v>592</v>
      </c>
      <c r="S517" s="487">
        <v>44327</v>
      </c>
      <c r="T517" s="483" t="s">
        <v>4559</v>
      </c>
      <c r="U517" s="474">
        <f>64850000-26707098</f>
        <v>38142902</v>
      </c>
      <c r="V517" s="407">
        <v>26707098</v>
      </c>
      <c r="W517" s="363" t="s">
        <v>1757</v>
      </c>
      <c r="X517" s="309">
        <v>537</v>
      </c>
      <c r="Y517" s="471">
        <v>44335</v>
      </c>
      <c r="Z517" s="481">
        <v>44335</v>
      </c>
      <c r="AA517" s="481">
        <v>44514</v>
      </c>
      <c r="AB517" s="483" t="s">
        <v>3345</v>
      </c>
      <c r="AC517" s="480" t="s">
        <v>4560</v>
      </c>
      <c r="AD517" s="483" t="s">
        <v>4561</v>
      </c>
      <c r="AE517" s="483" t="s">
        <v>4562</v>
      </c>
      <c r="AF517" s="472">
        <v>38142902</v>
      </c>
      <c r="AG517" s="473">
        <f t="shared" si="8"/>
        <v>0</v>
      </c>
      <c r="AM517" s="213"/>
    </row>
    <row r="518" spans="1:39" hidden="1" x14ac:dyDescent="0.25">
      <c r="A518" s="475" t="s">
        <v>2323</v>
      </c>
      <c r="B518" s="476">
        <v>24000000</v>
      </c>
      <c r="C518" s="213" t="s">
        <v>2909</v>
      </c>
      <c r="D518" s="312">
        <v>513</v>
      </c>
      <c r="E518" s="312">
        <v>20213000022133</v>
      </c>
      <c r="F518" s="477">
        <v>44305</v>
      </c>
      <c r="G518" s="312" t="s">
        <v>2903</v>
      </c>
      <c r="H518" s="213" t="s">
        <v>2904</v>
      </c>
      <c r="I518" s="213" t="s">
        <v>432</v>
      </c>
      <c r="J518" s="474">
        <v>24000000</v>
      </c>
      <c r="K518" s="213" t="s">
        <v>342</v>
      </c>
      <c r="L518" s="213" t="s">
        <v>351</v>
      </c>
      <c r="M518" s="213" t="s">
        <v>44</v>
      </c>
      <c r="N518" s="213" t="s">
        <v>45</v>
      </c>
      <c r="O518" s="213" t="s">
        <v>63</v>
      </c>
      <c r="P518" s="213" t="s">
        <v>678</v>
      </c>
      <c r="R518" s="213">
        <v>564</v>
      </c>
      <c r="S518" s="487">
        <v>44305</v>
      </c>
      <c r="T518" s="483" t="s">
        <v>4563</v>
      </c>
      <c r="U518" s="474">
        <v>24000000</v>
      </c>
      <c r="V518" s="407"/>
      <c r="W518" s="363"/>
      <c r="X518" s="480" t="s">
        <v>4564</v>
      </c>
      <c r="Y518" s="481">
        <v>44319</v>
      </c>
      <c r="Z518" s="481">
        <v>44319</v>
      </c>
      <c r="AA518" s="481">
        <v>44502</v>
      </c>
      <c r="AB518" s="483" t="s">
        <v>2913</v>
      </c>
      <c r="AC518" s="480" t="s">
        <v>4082</v>
      </c>
      <c r="AD518" s="483" t="s">
        <v>4565</v>
      </c>
      <c r="AE518" s="483" t="s">
        <v>4566</v>
      </c>
      <c r="AF518" s="472">
        <v>24000000</v>
      </c>
      <c r="AG518" s="473">
        <f t="shared" si="8"/>
        <v>0</v>
      </c>
      <c r="AM518" s="307">
        <v>3733333</v>
      </c>
    </row>
    <row r="519" spans="1:39" hidden="1" x14ac:dyDescent="0.25">
      <c r="A519" s="465" t="s">
        <v>2154</v>
      </c>
      <c r="B519" s="466">
        <v>200000000</v>
      </c>
      <c r="C519" s="467" t="s">
        <v>4567</v>
      </c>
      <c r="D519" s="468">
        <v>514</v>
      </c>
      <c r="E519" s="468">
        <v>20213000021973</v>
      </c>
      <c r="F519" s="469">
        <v>44305</v>
      </c>
      <c r="G519" s="468" t="s">
        <v>2903</v>
      </c>
      <c r="H519" s="467" t="s">
        <v>2904</v>
      </c>
      <c r="I519" s="467" t="s">
        <v>432</v>
      </c>
      <c r="J519" s="470">
        <v>200000000</v>
      </c>
      <c r="K519" s="467" t="s">
        <v>358</v>
      </c>
      <c r="L519" s="467" t="s">
        <v>4568</v>
      </c>
      <c r="M519" s="467" t="s">
        <v>44</v>
      </c>
      <c r="N519" s="467" t="s">
        <v>45</v>
      </c>
      <c r="O519" s="213" t="s">
        <v>310</v>
      </c>
      <c r="P519" s="213" t="s">
        <v>678</v>
      </c>
      <c r="Q519" s="467"/>
      <c r="R519" s="467">
        <v>562</v>
      </c>
      <c r="S519" s="525">
        <v>44305</v>
      </c>
      <c r="T519" s="526" t="s">
        <v>4569</v>
      </c>
      <c r="U519" s="470">
        <v>200000000</v>
      </c>
      <c r="V519" s="415"/>
      <c r="W519" s="380"/>
      <c r="AG519" s="473">
        <f t="shared" si="8"/>
        <v>200000000</v>
      </c>
      <c r="AI519" s="470"/>
      <c r="AJ519" s="470"/>
      <c r="AK519" s="470"/>
      <c r="AL519" s="470"/>
      <c r="AM519" s="213"/>
    </row>
    <row r="520" spans="1:39" hidden="1" x14ac:dyDescent="0.25">
      <c r="A520" s="475" t="s">
        <v>2352</v>
      </c>
      <c r="B520" s="476">
        <v>34850000</v>
      </c>
      <c r="C520" s="213" t="s">
        <v>2909</v>
      </c>
      <c r="D520" s="312">
        <v>515</v>
      </c>
      <c r="E520" s="312">
        <v>20212000021873</v>
      </c>
      <c r="F520" s="477">
        <v>44305</v>
      </c>
      <c r="G520" s="312" t="s">
        <v>2903</v>
      </c>
      <c r="H520" s="213" t="s">
        <v>2904</v>
      </c>
      <c r="I520" s="213" t="s">
        <v>391</v>
      </c>
      <c r="J520" s="474">
        <v>20500000</v>
      </c>
      <c r="K520" s="211" t="s">
        <v>2974</v>
      </c>
      <c r="L520" s="213" t="s">
        <v>2975</v>
      </c>
      <c r="M520" s="211" t="s">
        <v>44</v>
      </c>
      <c r="N520" s="211" t="s">
        <v>45</v>
      </c>
      <c r="O520" s="213" t="s">
        <v>63</v>
      </c>
      <c r="P520" s="213" t="s">
        <v>678</v>
      </c>
      <c r="R520" s="213">
        <v>557</v>
      </c>
      <c r="S520" s="487">
        <v>44305</v>
      </c>
      <c r="T520" s="483" t="s">
        <v>4570</v>
      </c>
      <c r="U520" s="474">
        <v>20500000</v>
      </c>
      <c r="V520" s="407"/>
      <c r="W520" s="363"/>
      <c r="X520" s="480" t="s">
        <v>4571</v>
      </c>
      <c r="Y520" s="481">
        <v>44337</v>
      </c>
      <c r="Z520" s="481">
        <v>44337</v>
      </c>
      <c r="AA520" s="481">
        <v>44489</v>
      </c>
      <c r="AB520" s="483" t="s">
        <v>2913</v>
      </c>
      <c r="AC520" s="480" t="s">
        <v>3876</v>
      </c>
      <c r="AD520" s="483" t="s">
        <v>4572</v>
      </c>
      <c r="AE520" s="483" t="s">
        <v>4573</v>
      </c>
      <c r="AF520" s="472">
        <v>20500000</v>
      </c>
      <c r="AG520" s="473">
        <f t="shared" si="8"/>
        <v>0</v>
      </c>
      <c r="AM520" s="213"/>
    </row>
    <row r="521" spans="1:39" hidden="1" x14ac:dyDescent="0.25">
      <c r="A521" s="475" t="s">
        <v>2381</v>
      </c>
      <c r="B521" s="476">
        <v>34850000</v>
      </c>
      <c r="C521" s="213" t="s">
        <v>2909</v>
      </c>
      <c r="D521" s="312">
        <v>516</v>
      </c>
      <c r="E521" s="312">
        <v>20212000021893</v>
      </c>
      <c r="F521" s="477">
        <v>44305</v>
      </c>
      <c r="G521" s="312" t="s">
        <v>2903</v>
      </c>
      <c r="H521" s="213" t="s">
        <v>2904</v>
      </c>
      <c r="I521" s="213" t="s">
        <v>391</v>
      </c>
      <c r="J521" s="474">
        <v>20500000</v>
      </c>
      <c r="K521" s="211" t="s">
        <v>2974</v>
      </c>
      <c r="L521" s="213" t="s">
        <v>2975</v>
      </c>
      <c r="M521" s="211" t="s">
        <v>44</v>
      </c>
      <c r="N521" s="211" t="s">
        <v>45</v>
      </c>
      <c r="O521" s="213" t="s">
        <v>63</v>
      </c>
      <c r="P521" s="213" t="s">
        <v>678</v>
      </c>
      <c r="R521" s="213">
        <v>558</v>
      </c>
      <c r="S521" s="487">
        <v>44305</v>
      </c>
      <c r="T521" s="483" t="s">
        <v>4574</v>
      </c>
      <c r="U521" s="474">
        <v>20500000</v>
      </c>
      <c r="V521" s="407"/>
      <c r="W521" s="363"/>
      <c r="X521" s="480" t="s">
        <v>4575</v>
      </c>
      <c r="Y521" s="481">
        <v>44320</v>
      </c>
      <c r="Z521" s="481">
        <v>44320</v>
      </c>
      <c r="AA521" s="481">
        <v>44472</v>
      </c>
      <c r="AB521" s="483" t="s">
        <v>2913</v>
      </c>
      <c r="AC521" s="480" t="s">
        <v>4384</v>
      </c>
      <c r="AD521" s="483" t="s">
        <v>4576</v>
      </c>
      <c r="AE521" s="483" t="s">
        <v>4577</v>
      </c>
      <c r="AF521" s="472">
        <v>20500000</v>
      </c>
      <c r="AG521" s="473">
        <f t="shared" si="8"/>
        <v>0</v>
      </c>
      <c r="AM521" s="307">
        <v>3553333</v>
      </c>
    </row>
    <row r="522" spans="1:39" hidden="1" x14ac:dyDescent="0.25">
      <c r="A522" s="475" t="s">
        <v>2327</v>
      </c>
      <c r="B522" s="476">
        <v>34850000</v>
      </c>
      <c r="C522" s="213" t="s">
        <v>2909</v>
      </c>
      <c r="D522" s="312">
        <v>517</v>
      </c>
      <c r="E522" s="312">
        <v>20212000021913</v>
      </c>
      <c r="F522" s="477">
        <v>44305</v>
      </c>
      <c r="G522" s="312" t="s">
        <v>2903</v>
      </c>
      <c r="H522" s="213" t="s">
        <v>2904</v>
      </c>
      <c r="I522" s="213" t="s">
        <v>391</v>
      </c>
      <c r="J522" s="474">
        <v>20500000</v>
      </c>
      <c r="K522" s="211" t="s">
        <v>2974</v>
      </c>
      <c r="L522" s="213" t="s">
        <v>2975</v>
      </c>
      <c r="M522" s="211" t="s">
        <v>44</v>
      </c>
      <c r="N522" s="211" t="s">
        <v>45</v>
      </c>
      <c r="O522" s="213" t="s">
        <v>63</v>
      </c>
      <c r="P522" s="213" t="s">
        <v>678</v>
      </c>
      <c r="R522" s="213">
        <v>559</v>
      </c>
      <c r="S522" s="487">
        <v>44305</v>
      </c>
      <c r="T522" s="483" t="s">
        <v>4578</v>
      </c>
      <c r="U522" s="474">
        <v>20500000</v>
      </c>
      <c r="V522" s="407"/>
      <c r="W522" s="363"/>
      <c r="X522" s="480" t="s">
        <v>4579</v>
      </c>
      <c r="Y522" s="481">
        <v>44328</v>
      </c>
      <c r="Z522" s="481">
        <v>44328</v>
      </c>
      <c r="AA522" s="481">
        <v>44481</v>
      </c>
      <c r="AB522" s="483" t="s">
        <v>2913</v>
      </c>
      <c r="AC522" s="480" t="s">
        <v>4100</v>
      </c>
      <c r="AD522" s="483" t="s">
        <v>4580</v>
      </c>
      <c r="AE522" s="483" t="s">
        <v>4581</v>
      </c>
      <c r="AF522" s="472">
        <v>20500000</v>
      </c>
      <c r="AG522" s="473">
        <f t="shared" si="8"/>
        <v>0</v>
      </c>
      <c r="AM522" s="307">
        <v>2460000</v>
      </c>
    </row>
    <row r="523" spans="1:39" hidden="1" x14ac:dyDescent="0.25">
      <c r="A523" s="465" t="s">
        <v>2382</v>
      </c>
      <c r="B523" s="466">
        <v>34850000</v>
      </c>
      <c r="C523" s="213" t="s">
        <v>2909</v>
      </c>
      <c r="D523" s="468">
        <v>518</v>
      </c>
      <c r="E523" s="468">
        <v>20212000021923</v>
      </c>
      <c r="F523" s="469">
        <v>44305</v>
      </c>
      <c r="G523" s="468" t="s">
        <v>2903</v>
      </c>
      <c r="H523" s="467" t="s">
        <v>2904</v>
      </c>
      <c r="I523" s="467" t="s">
        <v>391</v>
      </c>
      <c r="J523" s="470">
        <v>20500000</v>
      </c>
      <c r="K523" s="378" t="s">
        <v>2974</v>
      </c>
      <c r="L523" s="467" t="s">
        <v>2975</v>
      </c>
      <c r="M523" s="378" t="s">
        <v>44</v>
      </c>
      <c r="N523" s="378" t="s">
        <v>45</v>
      </c>
      <c r="O523" s="467" t="s">
        <v>63</v>
      </c>
      <c r="P523" s="213" t="s">
        <v>678</v>
      </c>
      <c r="Q523" s="467"/>
      <c r="R523" s="467">
        <v>560</v>
      </c>
      <c r="S523" s="525">
        <v>44305</v>
      </c>
      <c r="T523" s="526" t="s">
        <v>4582</v>
      </c>
      <c r="U523" s="470">
        <v>20500000</v>
      </c>
      <c r="V523" s="415"/>
      <c r="W523" s="380"/>
      <c r="X523" s="480" t="s">
        <v>4583</v>
      </c>
      <c r="Y523" s="481">
        <v>44316</v>
      </c>
      <c r="Z523" s="481">
        <v>44316</v>
      </c>
      <c r="AA523" s="481">
        <v>44468</v>
      </c>
      <c r="AB523" s="482" t="s">
        <v>2913</v>
      </c>
      <c r="AC523" s="480" t="s">
        <v>3629</v>
      </c>
      <c r="AD523" s="482" t="s">
        <v>4584</v>
      </c>
      <c r="AE523" s="483" t="s">
        <v>4585</v>
      </c>
      <c r="AF523" s="472">
        <v>20500000</v>
      </c>
      <c r="AG523" s="473">
        <f t="shared" si="8"/>
        <v>0</v>
      </c>
      <c r="AI523" s="470"/>
      <c r="AJ523" s="470"/>
      <c r="AK523" s="470"/>
      <c r="AL523" s="470"/>
      <c r="AM523" s="307">
        <v>3826667</v>
      </c>
    </row>
    <row r="524" spans="1:39" hidden="1" x14ac:dyDescent="0.25">
      <c r="A524" s="475" t="s">
        <v>2007</v>
      </c>
      <c r="B524" s="476">
        <v>23162500</v>
      </c>
      <c r="C524" s="213" t="s">
        <v>2909</v>
      </c>
      <c r="D524" s="312">
        <v>519</v>
      </c>
      <c r="E524" s="312">
        <v>20212000021933</v>
      </c>
      <c r="F524" s="477">
        <v>44305</v>
      </c>
      <c r="G524" s="312" t="s">
        <v>2903</v>
      </c>
      <c r="H524" s="213" t="s">
        <v>2904</v>
      </c>
      <c r="I524" s="213" t="s">
        <v>391</v>
      </c>
      <c r="J524" s="474">
        <v>11350000</v>
      </c>
      <c r="K524" s="211" t="s">
        <v>2974</v>
      </c>
      <c r="L524" s="213" t="s">
        <v>2975</v>
      </c>
      <c r="M524" s="211" t="s">
        <v>44</v>
      </c>
      <c r="N524" s="211" t="s">
        <v>45</v>
      </c>
      <c r="O524" s="213" t="s">
        <v>63</v>
      </c>
      <c r="P524" s="213" t="s">
        <v>678</v>
      </c>
      <c r="R524" s="213">
        <v>561</v>
      </c>
      <c r="S524" s="487">
        <v>44305</v>
      </c>
      <c r="T524" s="483" t="s">
        <v>4586</v>
      </c>
      <c r="U524" s="474">
        <v>11350000</v>
      </c>
      <c r="V524" s="407"/>
      <c r="W524" s="363"/>
      <c r="AG524" s="473">
        <f t="shared" si="8"/>
        <v>11350000</v>
      </c>
      <c r="AM524" s="213"/>
    </row>
    <row r="525" spans="1:39" hidden="1" x14ac:dyDescent="0.25">
      <c r="A525" s="475" t="s">
        <v>2237</v>
      </c>
      <c r="B525" s="476">
        <v>49060404</v>
      </c>
      <c r="C525" s="213" t="s">
        <v>2909</v>
      </c>
      <c r="D525" s="312">
        <v>520</v>
      </c>
      <c r="E525" s="312">
        <v>20217000022053</v>
      </c>
      <c r="F525" s="477">
        <v>44305</v>
      </c>
      <c r="G525" s="312" t="s">
        <v>2910</v>
      </c>
      <c r="H525" s="213" t="s">
        <v>2911</v>
      </c>
      <c r="I525" s="213" t="s">
        <v>164</v>
      </c>
      <c r="J525" s="474">
        <v>41338000</v>
      </c>
      <c r="K525" s="213" t="s">
        <v>138</v>
      </c>
      <c r="L525" s="213" t="s">
        <v>139</v>
      </c>
      <c r="M525" s="213" t="s">
        <v>44</v>
      </c>
      <c r="N525" s="213" t="s">
        <v>45</v>
      </c>
      <c r="O525" s="213" t="s">
        <v>142</v>
      </c>
      <c r="P525" s="213" t="s">
        <v>43</v>
      </c>
      <c r="R525" s="213">
        <v>563</v>
      </c>
      <c r="S525" s="487">
        <v>44305</v>
      </c>
      <c r="T525" s="483" t="s">
        <v>4587</v>
      </c>
      <c r="U525" s="474">
        <v>41338000</v>
      </c>
      <c r="V525" s="407"/>
      <c r="W525" s="363"/>
      <c r="X525" s="480">
        <v>532</v>
      </c>
      <c r="Y525" s="481">
        <v>44329</v>
      </c>
      <c r="Z525" s="481">
        <v>44329</v>
      </c>
      <c r="AA525" s="481">
        <v>44543</v>
      </c>
      <c r="AB525" s="483" t="s">
        <v>2913</v>
      </c>
      <c r="AC525" s="480" t="s">
        <v>4343</v>
      </c>
      <c r="AD525" s="483" t="s">
        <v>4588</v>
      </c>
      <c r="AE525" s="483" t="s">
        <v>3595</v>
      </c>
      <c r="AF525" s="472">
        <v>41337933</v>
      </c>
      <c r="AG525" s="473">
        <f t="shared" si="8"/>
        <v>67</v>
      </c>
      <c r="AM525" s="307">
        <v>3543251</v>
      </c>
    </row>
    <row r="526" spans="1:39" hidden="1" x14ac:dyDescent="0.25">
      <c r="C526" s="213" t="s">
        <v>4589</v>
      </c>
      <c r="D526" s="312">
        <v>521</v>
      </c>
      <c r="E526" s="312">
        <v>20217000022213</v>
      </c>
      <c r="F526" s="477">
        <v>44306</v>
      </c>
      <c r="G526" s="312" t="s">
        <v>2910</v>
      </c>
      <c r="H526" s="213" t="s">
        <v>2911</v>
      </c>
      <c r="I526" s="213" t="s">
        <v>164</v>
      </c>
      <c r="J526" s="474">
        <v>38794972</v>
      </c>
      <c r="K526" s="213" t="s">
        <v>138</v>
      </c>
      <c r="L526" s="213" t="s">
        <v>4590</v>
      </c>
      <c r="M526" s="213" t="s">
        <v>44</v>
      </c>
      <c r="N526" s="213" t="s">
        <v>45</v>
      </c>
      <c r="O526" s="213" t="s">
        <v>310</v>
      </c>
      <c r="P526" s="213" t="s">
        <v>43</v>
      </c>
      <c r="R526" s="213">
        <v>565</v>
      </c>
      <c r="S526" s="487">
        <v>44306</v>
      </c>
      <c r="T526" s="483" t="s">
        <v>4591</v>
      </c>
      <c r="U526" s="474">
        <v>38794972</v>
      </c>
      <c r="V526" s="407"/>
      <c r="W526" s="363"/>
      <c r="X526" s="480" t="s">
        <v>4592</v>
      </c>
      <c r="Y526" s="481">
        <v>44341</v>
      </c>
      <c r="Z526" s="481">
        <v>44341</v>
      </c>
      <c r="AA526" s="481">
        <v>44346</v>
      </c>
      <c r="AB526" s="483" t="s">
        <v>3369</v>
      </c>
      <c r="AC526" s="480" t="s">
        <v>4593</v>
      </c>
      <c r="AD526" s="483" t="s">
        <v>4594</v>
      </c>
      <c r="AE526" s="483" t="s">
        <v>4595</v>
      </c>
      <c r="AF526" s="472">
        <v>1622584</v>
      </c>
      <c r="AG526" s="473">
        <f t="shared" si="8"/>
        <v>37172388</v>
      </c>
      <c r="AL526" s="474">
        <v>1622584</v>
      </c>
      <c r="AM526" s="213"/>
    </row>
    <row r="527" spans="1:39" s="313" customFormat="1" hidden="1" x14ac:dyDescent="0.25">
      <c r="A527" s="381" t="s">
        <v>2149</v>
      </c>
      <c r="B527" s="422">
        <v>490000000</v>
      </c>
      <c r="C527" s="365" t="s">
        <v>4596</v>
      </c>
      <c r="D527" s="382">
        <v>522</v>
      </c>
      <c r="E527" s="382">
        <v>20213000022283</v>
      </c>
      <c r="F527" s="383">
        <v>44306</v>
      </c>
      <c r="G527" s="382" t="s">
        <v>2903</v>
      </c>
      <c r="H527" s="365" t="s">
        <v>2904</v>
      </c>
      <c r="I527" s="365" t="s">
        <v>432</v>
      </c>
      <c r="J527" s="409">
        <v>278008956</v>
      </c>
      <c r="K527" s="365" t="s">
        <v>342</v>
      </c>
      <c r="L527" s="365" t="s">
        <v>351</v>
      </c>
      <c r="M527" s="365" t="s">
        <v>44</v>
      </c>
      <c r="N527" s="365" t="s">
        <v>45</v>
      </c>
      <c r="O527" s="365" t="s">
        <v>63</v>
      </c>
      <c r="P527" s="365" t="s">
        <v>678</v>
      </c>
      <c r="Q527" s="365"/>
      <c r="R527" s="365">
        <v>566</v>
      </c>
      <c r="S527" s="384">
        <v>44306</v>
      </c>
      <c r="T527" s="385" t="s">
        <v>4597</v>
      </c>
      <c r="U527" s="409">
        <f>278008956-278008956</f>
        <v>0</v>
      </c>
      <c r="V527" s="415">
        <f>278008956</f>
        <v>278008956</v>
      </c>
      <c r="W527" s="380"/>
      <c r="X527" s="315"/>
      <c r="Y527" s="359"/>
      <c r="Z527" s="359"/>
      <c r="AA527" s="359"/>
      <c r="AB527" s="318"/>
      <c r="AC527" s="317"/>
      <c r="AD527" s="318"/>
      <c r="AF527" s="472"/>
      <c r="AG527" s="319">
        <f t="shared" si="8"/>
        <v>0</v>
      </c>
      <c r="AH527" s="406"/>
      <c r="AI527" s="409"/>
      <c r="AJ527" s="409"/>
      <c r="AK527" s="409"/>
      <c r="AL527" s="470"/>
      <c r="AM527" s="213"/>
    </row>
    <row r="528" spans="1:39" hidden="1" x14ac:dyDescent="0.25">
      <c r="A528" s="475" t="s">
        <v>2440</v>
      </c>
      <c r="B528" s="476">
        <v>310700000</v>
      </c>
      <c r="C528" s="213" t="s">
        <v>4598</v>
      </c>
      <c r="D528" s="312">
        <v>523</v>
      </c>
      <c r="E528" s="312">
        <v>20215000022803</v>
      </c>
      <c r="F528" s="477">
        <v>44308</v>
      </c>
      <c r="G528" s="312" t="s">
        <v>2903</v>
      </c>
      <c r="H528" s="213" t="s">
        <v>2904</v>
      </c>
      <c r="I528" s="211" t="s">
        <v>228</v>
      </c>
      <c r="J528" s="474">
        <v>310700000</v>
      </c>
      <c r="K528" s="213" t="s">
        <v>223</v>
      </c>
      <c r="L528" s="213" t="s">
        <v>236</v>
      </c>
      <c r="M528" s="213" t="s">
        <v>44</v>
      </c>
      <c r="N528" s="213" t="s">
        <v>45</v>
      </c>
      <c r="O528" s="211" t="s">
        <v>265</v>
      </c>
      <c r="P528" s="213" t="s">
        <v>678</v>
      </c>
      <c r="R528" s="213">
        <v>570</v>
      </c>
      <c r="S528" s="487">
        <v>44309</v>
      </c>
      <c r="T528" s="483" t="s">
        <v>4599</v>
      </c>
      <c r="U528" s="690">
        <v>310700000</v>
      </c>
      <c r="V528" s="407"/>
      <c r="X528" s="480" t="s">
        <v>4600</v>
      </c>
      <c r="Y528" s="481">
        <v>44362</v>
      </c>
      <c r="Z528" s="481">
        <v>44362</v>
      </c>
      <c r="AA528" s="481">
        <v>44377</v>
      </c>
      <c r="AB528" s="483" t="s">
        <v>3345</v>
      </c>
      <c r="AC528" s="480" t="s">
        <v>4601</v>
      </c>
      <c r="AD528" s="483" t="s">
        <v>4602</v>
      </c>
      <c r="AE528" s="483" t="s">
        <v>4603</v>
      </c>
      <c r="AF528" s="472">
        <v>251850622</v>
      </c>
      <c r="AG528" s="473">
        <f t="shared" si="8"/>
        <v>58849378</v>
      </c>
      <c r="AM528" s="213"/>
    </row>
    <row r="529" spans="1:39" s="313" customFormat="1" hidden="1" x14ac:dyDescent="0.25">
      <c r="A529" s="362" t="s">
        <v>2151</v>
      </c>
      <c r="B529" s="418">
        <v>280000000</v>
      </c>
      <c r="C529" s="313" t="s">
        <v>4604</v>
      </c>
      <c r="D529" s="326">
        <v>524</v>
      </c>
      <c r="E529" s="326">
        <v>20213000022983</v>
      </c>
      <c r="F529" s="316">
        <v>44308</v>
      </c>
      <c r="G529" s="326" t="s">
        <v>2903</v>
      </c>
      <c r="H529" s="313" t="s">
        <v>2904</v>
      </c>
      <c r="I529" s="313" t="s">
        <v>432</v>
      </c>
      <c r="J529" s="406">
        <v>278008956</v>
      </c>
      <c r="K529" s="313" t="s">
        <v>342</v>
      </c>
      <c r="L529" s="313" t="s">
        <v>351</v>
      </c>
      <c r="M529" s="313" t="s">
        <v>44</v>
      </c>
      <c r="N529" s="313" t="s">
        <v>45</v>
      </c>
      <c r="O529" s="313" t="s">
        <v>63</v>
      </c>
      <c r="P529" s="313" t="s">
        <v>678</v>
      </c>
      <c r="R529" s="313">
        <v>571</v>
      </c>
      <c r="S529" s="364">
        <v>44309</v>
      </c>
      <c r="T529" s="361" t="s">
        <v>4605</v>
      </c>
      <c r="U529" s="406">
        <f>278008956-278008956</f>
        <v>0</v>
      </c>
      <c r="V529" s="407">
        <v>278008956</v>
      </c>
      <c r="W529" s="363" t="s">
        <v>4606</v>
      </c>
      <c r="X529" s="315"/>
      <c r="Y529" s="359"/>
      <c r="Z529" s="359"/>
      <c r="AA529" s="359"/>
      <c r="AB529" s="318"/>
      <c r="AC529" s="317"/>
      <c r="AD529" s="318"/>
      <c r="AF529" s="411"/>
      <c r="AG529" s="319">
        <f t="shared" si="8"/>
        <v>0</v>
      </c>
      <c r="AH529" s="406"/>
      <c r="AI529" s="406"/>
      <c r="AJ529" s="406"/>
      <c r="AK529" s="406"/>
      <c r="AL529" s="406"/>
      <c r="AM529" s="213"/>
    </row>
    <row r="530" spans="1:39" hidden="1" x14ac:dyDescent="0.25">
      <c r="A530" s="475" t="s">
        <v>4333</v>
      </c>
      <c r="B530" s="476">
        <v>63000000</v>
      </c>
      <c r="C530" s="213" t="s">
        <v>2909</v>
      </c>
      <c r="D530" s="312">
        <v>525</v>
      </c>
      <c r="E530" s="312">
        <v>20217000023003</v>
      </c>
      <c r="F530" s="477">
        <v>44308</v>
      </c>
      <c r="G530" s="312" t="s">
        <v>2910</v>
      </c>
      <c r="H530" s="213" t="s">
        <v>2911</v>
      </c>
      <c r="I530" s="213" t="s">
        <v>164</v>
      </c>
      <c r="J530" s="474">
        <v>29072832</v>
      </c>
      <c r="K530" s="213" t="s">
        <v>138</v>
      </c>
      <c r="L530" s="213" t="s">
        <v>139</v>
      </c>
      <c r="M530" s="213" t="s">
        <v>44</v>
      </c>
      <c r="N530" s="213" t="s">
        <v>45</v>
      </c>
      <c r="O530" s="213" t="s">
        <v>142</v>
      </c>
      <c r="P530" s="213" t="s">
        <v>43</v>
      </c>
      <c r="R530" s="213">
        <v>572</v>
      </c>
      <c r="S530" s="487">
        <v>44309</v>
      </c>
      <c r="T530" s="483" t="s">
        <v>4537</v>
      </c>
      <c r="U530" s="474">
        <v>29072832</v>
      </c>
      <c r="V530" s="407"/>
      <c r="W530" s="363"/>
      <c r="X530" s="480" t="s">
        <v>4607</v>
      </c>
      <c r="Y530" s="481">
        <v>44322</v>
      </c>
      <c r="Z530" s="481">
        <v>44322</v>
      </c>
      <c r="AA530" s="481">
        <v>44444</v>
      </c>
      <c r="AB530" s="483" t="s">
        <v>2913</v>
      </c>
      <c r="AC530" s="480" t="s">
        <v>3679</v>
      </c>
      <c r="AD530" s="483" t="s">
        <v>4608</v>
      </c>
      <c r="AE530" s="483" t="s">
        <v>3457</v>
      </c>
      <c r="AF530" s="472">
        <v>29072832</v>
      </c>
      <c r="AG530" s="473">
        <f t="shared" si="8"/>
        <v>0</v>
      </c>
      <c r="AM530" s="213"/>
    </row>
    <row r="531" spans="1:39" hidden="1" x14ac:dyDescent="0.25">
      <c r="A531" s="475" t="s">
        <v>2384</v>
      </c>
      <c r="B531" s="476">
        <v>32300000</v>
      </c>
      <c r="C531" s="213" t="s">
        <v>2909</v>
      </c>
      <c r="D531" s="312">
        <v>526</v>
      </c>
      <c r="E531" s="312">
        <v>20212000022543</v>
      </c>
      <c r="F531" s="477">
        <v>44309</v>
      </c>
      <c r="G531" s="312" t="s">
        <v>2903</v>
      </c>
      <c r="H531" s="213" t="s">
        <v>2904</v>
      </c>
      <c r="I531" s="213" t="s">
        <v>391</v>
      </c>
      <c r="J531" s="474">
        <v>19000000</v>
      </c>
      <c r="K531" s="211" t="s">
        <v>2974</v>
      </c>
      <c r="L531" s="213" t="s">
        <v>2975</v>
      </c>
      <c r="M531" s="211" t="s">
        <v>44</v>
      </c>
      <c r="N531" s="211" t="s">
        <v>45</v>
      </c>
      <c r="O531" s="213" t="s">
        <v>63</v>
      </c>
      <c r="P531" s="213" t="s">
        <v>678</v>
      </c>
      <c r="R531" s="213">
        <v>573</v>
      </c>
      <c r="S531" s="487">
        <v>44309</v>
      </c>
      <c r="T531" s="483" t="s">
        <v>4609</v>
      </c>
      <c r="U531" s="474">
        <v>19000000</v>
      </c>
      <c r="V531" s="407"/>
      <c r="W531" s="363"/>
      <c r="X531" s="480" t="s">
        <v>4610</v>
      </c>
      <c r="Y531" s="481">
        <v>44323</v>
      </c>
      <c r="Z531" s="481">
        <v>44323</v>
      </c>
      <c r="AA531" s="481">
        <v>44506</v>
      </c>
      <c r="AB531" s="483" t="s">
        <v>2913</v>
      </c>
      <c r="AC531" s="480" t="s">
        <v>4611</v>
      </c>
      <c r="AD531" s="483" t="s">
        <v>4612</v>
      </c>
      <c r="AE531" s="483" t="s">
        <v>4613</v>
      </c>
      <c r="AF531" s="472">
        <v>19000000</v>
      </c>
      <c r="AG531" s="473">
        <f t="shared" si="8"/>
        <v>0</v>
      </c>
      <c r="AM531" s="307">
        <v>2660000</v>
      </c>
    </row>
    <row r="532" spans="1:39" hidden="1" x14ac:dyDescent="0.25">
      <c r="A532" s="465" t="s">
        <v>2718</v>
      </c>
      <c r="B532" s="466">
        <v>44958672</v>
      </c>
      <c r="C532" s="213" t="s">
        <v>2909</v>
      </c>
      <c r="D532" s="468">
        <v>527</v>
      </c>
      <c r="E532" s="468">
        <v>20217000023053</v>
      </c>
      <c r="F532" s="469">
        <v>44309</v>
      </c>
      <c r="G532" s="468" t="s">
        <v>2910</v>
      </c>
      <c r="H532" s="467" t="s">
        <v>2911</v>
      </c>
      <c r="I532" s="467" t="s">
        <v>164</v>
      </c>
      <c r="J532" s="470">
        <v>34978251</v>
      </c>
      <c r="K532" s="467" t="s">
        <v>138</v>
      </c>
      <c r="L532" s="467" t="s">
        <v>139</v>
      </c>
      <c r="M532" s="467" t="s">
        <v>44</v>
      </c>
      <c r="N532" s="467" t="s">
        <v>45</v>
      </c>
      <c r="O532" s="467" t="s">
        <v>142</v>
      </c>
      <c r="P532" s="467" t="s">
        <v>43</v>
      </c>
      <c r="Q532" s="467"/>
      <c r="R532" s="467">
        <v>575</v>
      </c>
      <c r="S532" s="525">
        <v>44309</v>
      </c>
      <c r="T532" s="526" t="s">
        <v>4358</v>
      </c>
      <c r="U532" s="470">
        <v>34978251</v>
      </c>
      <c r="V532" s="415"/>
      <c r="W532" s="380"/>
      <c r="X532" s="480" t="s">
        <v>4614</v>
      </c>
      <c r="Y532" s="481">
        <v>44316</v>
      </c>
      <c r="Z532" s="481">
        <v>44316</v>
      </c>
      <c r="AA532" s="481">
        <v>44529</v>
      </c>
      <c r="AB532" s="482" t="s">
        <v>2913</v>
      </c>
      <c r="AC532" s="480" t="s">
        <v>4158</v>
      </c>
      <c r="AD532" s="482" t="s">
        <v>4615</v>
      </c>
      <c r="AE532" s="483" t="s">
        <v>2948</v>
      </c>
      <c r="AF532" s="472">
        <v>34978251</v>
      </c>
      <c r="AG532" s="473">
        <f t="shared" si="8"/>
        <v>0</v>
      </c>
      <c r="AI532" s="470"/>
      <c r="AJ532" s="470"/>
      <c r="AK532" s="470"/>
      <c r="AL532" s="470"/>
      <c r="AM532" s="307">
        <v>4663767</v>
      </c>
    </row>
    <row r="533" spans="1:39" hidden="1" x14ac:dyDescent="0.25">
      <c r="A533" s="314" t="s">
        <v>2233</v>
      </c>
      <c r="B533" s="420">
        <v>31798410</v>
      </c>
      <c r="C533" s="213" t="s">
        <v>2909</v>
      </c>
      <c r="D533" s="310">
        <v>528</v>
      </c>
      <c r="E533" s="310">
        <v>20217000023043</v>
      </c>
      <c r="F533" s="311">
        <v>44309</v>
      </c>
      <c r="G533" s="310" t="s">
        <v>2910</v>
      </c>
      <c r="H533" s="211" t="s">
        <v>2911</v>
      </c>
      <c r="I533" s="211" t="s">
        <v>164</v>
      </c>
      <c r="J533" s="408">
        <v>18433860</v>
      </c>
      <c r="K533" s="211" t="s">
        <v>138</v>
      </c>
      <c r="L533" s="211" t="s">
        <v>139</v>
      </c>
      <c r="M533" s="211" t="s">
        <v>44</v>
      </c>
      <c r="N533" s="211" t="s">
        <v>45</v>
      </c>
      <c r="O533" s="211" t="s">
        <v>142</v>
      </c>
      <c r="P533" s="211" t="s">
        <v>43</v>
      </c>
      <c r="Q533" s="211"/>
      <c r="R533" s="213">
        <v>574</v>
      </c>
      <c r="S533" s="487">
        <v>44309</v>
      </c>
      <c r="T533" s="483" t="s">
        <v>4553</v>
      </c>
      <c r="U533" s="474">
        <v>18433860</v>
      </c>
      <c r="V533" s="407"/>
      <c r="W533" s="363"/>
      <c r="X533" s="480" t="s">
        <v>4616</v>
      </c>
      <c r="Y533" s="481">
        <v>44315</v>
      </c>
      <c r="Z533" s="481">
        <v>44315</v>
      </c>
      <c r="AA533" s="481">
        <v>44497</v>
      </c>
      <c r="AB533" s="482" t="s">
        <v>2913</v>
      </c>
      <c r="AC533" s="480" t="s">
        <v>3795</v>
      </c>
      <c r="AD533" s="482" t="s">
        <v>4617</v>
      </c>
      <c r="AE533" s="483" t="s">
        <v>3455</v>
      </c>
      <c r="AF533" s="472">
        <v>18433860</v>
      </c>
      <c r="AG533" s="473">
        <f t="shared" si="8"/>
        <v>0</v>
      </c>
      <c r="AM533" s="307">
        <v>3174720</v>
      </c>
    </row>
    <row r="534" spans="1:39" hidden="1" x14ac:dyDescent="0.25">
      <c r="A534" s="314" t="s">
        <v>2842</v>
      </c>
      <c r="B534" s="420">
        <v>48000000</v>
      </c>
      <c r="C534" s="213" t="s">
        <v>2909</v>
      </c>
      <c r="D534" s="312">
        <v>529</v>
      </c>
      <c r="E534" s="312">
        <v>20214000023343</v>
      </c>
      <c r="F534" s="311">
        <v>44312</v>
      </c>
      <c r="G534" s="312" t="s">
        <v>2943</v>
      </c>
      <c r="H534" s="213" t="s">
        <v>2944</v>
      </c>
      <c r="I534" s="213" t="s">
        <v>47</v>
      </c>
      <c r="J534" s="474">
        <v>36000000</v>
      </c>
      <c r="K534" s="213" t="s">
        <v>37</v>
      </c>
      <c r="L534" s="213" t="s">
        <v>2945</v>
      </c>
      <c r="M534" s="213" t="s">
        <v>44</v>
      </c>
      <c r="N534" s="213" t="s">
        <v>45</v>
      </c>
      <c r="O534" s="213" t="s">
        <v>310</v>
      </c>
      <c r="P534" s="213" t="s">
        <v>43</v>
      </c>
      <c r="R534" s="213">
        <v>576</v>
      </c>
      <c r="S534" s="487">
        <v>44313</v>
      </c>
      <c r="T534" s="483" t="s">
        <v>4618</v>
      </c>
      <c r="U534" s="474">
        <v>36000000</v>
      </c>
      <c r="V534" s="407"/>
      <c r="X534" s="309">
        <v>563</v>
      </c>
      <c r="Y534" s="471">
        <v>44348</v>
      </c>
      <c r="Z534" s="471">
        <v>44348</v>
      </c>
      <c r="AA534" s="471">
        <v>44530</v>
      </c>
      <c r="AB534" s="483" t="s">
        <v>2913</v>
      </c>
      <c r="AC534" s="212">
        <v>423</v>
      </c>
      <c r="AD534" s="483" t="s">
        <v>4619</v>
      </c>
      <c r="AE534" s="213" t="s">
        <v>4620</v>
      </c>
      <c r="AF534" s="472">
        <v>36000000</v>
      </c>
      <c r="AG534" s="473">
        <f t="shared" si="8"/>
        <v>0</v>
      </c>
      <c r="AM534" s="213"/>
    </row>
    <row r="535" spans="1:39" hidden="1" x14ac:dyDescent="0.25">
      <c r="A535" s="314" t="s">
        <v>2694</v>
      </c>
      <c r="B535" s="420">
        <v>28800000</v>
      </c>
      <c r="C535" s="213" t="s">
        <v>2909</v>
      </c>
      <c r="D535" s="312">
        <v>530</v>
      </c>
      <c r="E535" s="312">
        <v>20215000023403</v>
      </c>
      <c r="F535" s="311">
        <v>44312</v>
      </c>
      <c r="G535" s="312" t="s">
        <v>2903</v>
      </c>
      <c r="H535" s="213" t="s">
        <v>2904</v>
      </c>
      <c r="I535" s="211" t="s">
        <v>228</v>
      </c>
      <c r="J535" s="474">
        <v>28800000</v>
      </c>
      <c r="K535" s="213" t="s">
        <v>223</v>
      </c>
      <c r="L535" s="213" t="s">
        <v>3021</v>
      </c>
      <c r="M535" s="213" t="s">
        <v>44</v>
      </c>
      <c r="N535" s="213" t="s">
        <v>45</v>
      </c>
      <c r="O535" s="213" t="s">
        <v>63</v>
      </c>
      <c r="P535" s="213" t="s">
        <v>678</v>
      </c>
      <c r="R535" s="213">
        <v>577</v>
      </c>
      <c r="S535" s="487">
        <v>44313</v>
      </c>
      <c r="T535" s="483" t="s">
        <v>4621</v>
      </c>
      <c r="U535" s="474">
        <f>28800000-11250000</f>
        <v>17550000</v>
      </c>
      <c r="V535" s="407">
        <v>11250000</v>
      </c>
      <c r="W535" s="308" t="s">
        <v>4606</v>
      </c>
      <c r="X535" s="480" t="s">
        <v>4622</v>
      </c>
      <c r="Y535" s="481">
        <v>44348</v>
      </c>
      <c r="Z535" s="481">
        <v>44348</v>
      </c>
      <c r="AA535" s="481">
        <v>44546</v>
      </c>
      <c r="AB535" s="483" t="s">
        <v>2913</v>
      </c>
      <c r="AC535" s="480" t="s">
        <v>3929</v>
      </c>
      <c r="AD535" s="691" t="s">
        <v>4623</v>
      </c>
      <c r="AE535" s="483" t="s">
        <v>4624</v>
      </c>
      <c r="AF535" s="493">
        <v>17550000</v>
      </c>
      <c r="AG535" s="473">
        <f t="shared" si="8"/>
        <v>0</v>
      </c>
      <c r="AM535" s="213"/>
    </row>
    <row r="536" spans="1:39" hidden="1" x14ac:dyDescent="0.25">
      <c r="A536" s="475" t="s">
        <v>4625</v>
      </c>
      <c r="B536" s="476">
        <v>16000000</v>
      </c>
      <c r="C536" s="213" t="s">
        <v>2909</v>
      </c>
      <c r="D536" s="312">
        <v>531</v>
      </c>
      <c r="E536" s="312">
        <v>20217000023663</v>
      </c>
      <c r="F536" s="311">
        <v>44313</v>
      </c>
      <c r="G536" s="312" t="s">
        <v>2910</v>
      </c>
      <c r="H536" s="213" t="s">
        <v>2911</v>
      </c>
      <c r="I536" s="213" t="s">
        <v>164</v>
      </c>
      <c r="J536" s="474">
        <v>14536416</v>
      </c>
      <c r="K536" s="213" t="s">
        <v>138</v>
      </c>
      <c r="L536" s="213" t="s">
        <v>139</v>
      </c>
      <c r="M536" s="213" t="s">
        <v>44</v>
      </c>
      <c r="N536" s="213" t="s">
        <v>45</v>
      </c>
      <c r="O536" s="213" t="s">
        <v>142</v>
      </c>
      <c r="P536" s="213" t="s">
        <v>43</v>
      </c>
      <c r="R536" s="213">
        <v>578</v>
      </c>
      <c r="S536" s="487">
        <v>44313</v>
      </c>
      <c r="T536" s="483" t="s">
        <v>4626</v>
      </c>
      <c r="U536" s="474">
        <v>14536416</v>
      </c>
      <c r="V536" s="407"/>
      <c r="W536" s="363"/>
      <c r="X536" s="480" t="s">
        <v>4627</v>
      </c>
      <c r="Y536" s="481">
        <v>44322</v>
      </c>
      <c r="Z536" s="481">
        <v>44322</v>
      </c>
      <c r="AA536" s="481">
        <v>44382</v>
      </c>
      <c r="AB536" s="483" t="s">
        <v>2913</v>
      </c>
      <c r="AC536" s="480" t="s">
        <v>4628</v>
      </c>
      <c r="AD536" s="483" t="s">
        <v>4629</v>
      </c>
      <c r="AE536" s="483" t="s">
        <v>4630</v>
      </c>
      <c r="AF536" s="472">
        <v>14536416</v>
      </c>
      <c r="AG536" s="473">
        <f t="shared" si="8"/>
        <v>0</v>
      </c>
      <c r="AM536" s="213"/>
    </row>
    <row r="537" spans="1:39" ht="15.75" hidden="1" x14ac:dyDescent="0.25">
      <c r="A537" s="465" t="s">
        <v>2495</v>
      </c>
      <c r="B537" s="466">
        <v>368824461</v>
      </c>
      <c r="C537" s="467" t="s">
        <v>4631</v>
      </c>
      <c r="D537" s="468">
        <v>532</v>
      </c>
      <c r="E537" s="468">
        <v>20214000024053</v>
      </c>
      <c r="F537" s="386">
        <v>44315</v>
      </c>
      <c r="G537" s="468" t="s">
        <v>2943</v>
      </c>
      <c r="H537" s="467" t="s">
        <v>2944</v>
      </c>
      <c r="I537" s="467" t="s">
        <v>47</v>
      </c>
      <c r="J537" s="470">
        <v>304350003</v>
      </c>
      <c r="K537" s="467" t="s">
        <v>37</v>
      </c>
      <c r="L537" s="531" t="s">
        <v>3443</v>
      </c>
      <c r="M537" s="467" t="s">
        <v>44</v>
      </c>
      <c r="N537" s="467" t="s">
        <v>45</v>
      </c>
      <c r="O537" s="213" t="s">
        <v>310</v>
      </c>
      <c r="P537" s="467" t="s">
        <v>43</v>
      </c>
      <c r="Q537" s="467"/>
      <c r="R537" s="467">
        <v>581</v>
      </c>
      <c r="S537" s="525">
        <v>44315</v>
      </c>
      <c r="T537" s="526" t="s">
        <v>4632</v>
      </c>
      <c r="U537" s="470">
        <v>304350003</v>
      </c>
      <c r="V537" s="415"/>
      <c r="W537" s="380"/>
      <c r="AG537" s="473">
        <f t="shared" si="8"/>
        <v>304350003</v>
      </c>
      <c r="AI537" s="470"/>
      <c r="AJ537" s="470"/>
      <c r="AK537" s="470"/>
      <c r="AL537" s="470"/>
      <c r="AM537" s="213"/>
    </row>
    <row r="538" spans="1:39" ht="15.75" hidden="1" x14ac:dyDescent="0.25">
      <c r="D538" s="534">
        <v>532</v>
      </c>
      <c r="E538" s="312">
        <v>20214000024053</v>
      </c>
      <c r="F538" s="311">
        <v>44315</v>
      </c>
      <c r="G538" s="312" t="s">
        <v>2943</v>
      </c>
      <c r="H538" s="213" t="s">
        <v>2944</v>
      </c>
      <c r="I538" s="213" t="s">
        <v>47</v>
      </c>
      <c r="J538" s="474">
        <v>61499459</v>
      </c>
      <c r="K538" s="213" t="s">
        <v>37</v>
      </c>
      <c r="L538" s="512" t="s">
        <v>3443</v>
      </c>
      <c r="M538" s="213" t="s">
        <v>44</v>
      </c>
      <c r="N538" s="213" t="s">
        <v>45</v>
      </c>
      <c r="O538" s="213" t="s">
        <v>310</v>
      </c>
      <c r="P538" s="211" t="s">
        <v>77</v>
      </c>
      <c r="R538" s="330">
        <v>581</v>
      </c>
      <c r="S538" s="487">
        <v>44315</v>
      </c>
      <c r="T538" s="483" t="s">
        <v>4632</v>
      </c>
      <c r="U538" s="474">
        <v>61499459</v>
      </c>
      <c r="V538" s="407"/>
      <c r="W538" s="363"/>
      <c r="AG538" s="473">
        <f t="shared" si="8"/>
        <v>61499459</v>
      </c>
      <c r="AM538" s="213"/>
    </row>
    <row r="539" spans="1:39" s="313" customFormat="1" hidden="1" x14ac:dyDescent="0.25">
      <c r="A539" s="362" t="s">
        <v>2013</v>
      </c>
      <c r="B539" s="418">
        <v>330000000</v>
      </c>
      <c r="C539" s="313" t="s">
        <v>4633</v>
      </c>
      <c r="D539" s="326">
        <v>533</v>
      </c>
      <c r="E539" s="326">
        <v>20215000023943</v>
      </c>
      <c r="F539" s="316">
        <v>44315</v>
      </c>
      <c r="G539" s="326" t="s">
        <v>2903</v>
      </c>
      <c r="H539" s="313" t="s">
        <v>2904</v>
      </c>
      <c r="I539" s="313" t="s">
        <v>228</v>
      </c>
      <c r="J539" s="407">
        <v>330000000</v>
      </c>
      <c r="K539" s="313" t="s">
        <v>223</v>
      </c>
      <c r="L539" s="313" t="s">
        <v>236</v>
      </c>
      <c r="M539" s="313" t="s">
        <v>44</v>
      </c>
      <c r="N539" s="313" t="s">
        <v>45</v>
      </c>
      <c r="O539" s="313" t="s">
        <v>63</v>
      </c>
      <c r="P539" s="313" t="s">
        <v>678</v>
      </c>
      <c r="R539" s="313">
        <v>580</v>
      </c>
      <c r="S539" s="364">
        <v>44315</v>
      </c>
      <c r="T539" s="361" t="s">
        <v>4634</v>
      </c>
      <c r="U539" s="406">
        <f>330000000-330000000</f>
        <v>0</v>
      </c>
      <c r="V539" s="412">
        <v>330000000</v>
      </c>
      <c r="W539" s="398"/>
      <c r="X539" s="315"/>
      <c r="Y539" s="359"/>
      <c r="Z539" s="359"/>
      <c r="AA539" s="359"/>
      <c r="AB539" s="318"/>
      <c r="AC539" s="317"/>
      <c r="AD539" s="318"/>
      <c r="AF539" s="472"/>
      <c r="AG539" s="319">
        <f t="shared" si="8"/>
        <v>0</v>
      </c>
      <c r="AH539" s="406"/>
      <c r="AI539" s="406"/>
      <c r="AJ539" s="406"/>
      <c r="AK539" s="406"/>
      <c r="AL539" s="406"/>
      <c r="AM539" s="213"/>
    </row>
    <row r="540" spans="1:39" s="313" customFormat="1" hidden="1" x14ac:dyDescent="0.25">
      <c r="A540" s="362" t="s">
        <v>2014</v>
      </c>
      <c r="B540" s="418">
        <v>251328000</v>
      </c>
      <c r="C540" s="313" t="s">
        <v>4633</v>
      </c>
      <c r="D540" s="326">
        <v>534</v>
      </c>
      <c r="E540" s="326">
        <v>20215000024063</v>
      </c>
      <c r="F540" s="316">
        <v>44315</v>
      </c>
      <c r="G540" s="326" t="s">
        <v>2903</v>
      </c>
      <c r="H540" s="313" t="s">
        <v>2904</v>
      </c>
      <c r="I540" s="313" t="s">
        <v>228</v>
      </c>
      <c r="J540" s="407">
        <v>240000000</v>
      </c>
      <c r="K540" s="313" t="s">
        <v>223</v>
      </c>
      <c r="L540" s="313" t="s">
        <v>236</v>
      </c>
      <c r="M540" s="313" t="s">
        <v>44</v>
      </c>
      <c r="N540" s="313" t="s">
        <v>45</v>
      </c>
      <c r="O540" s="313" t="s">
        <v>63</v>
      </c>
      <c r="P540" s="313" t="s">
        <v>678</v>
      </c>
      <c r="R540" s="313">
        <v>582</v>
      </c>
      <c r="S540" s="364">
        <v>44315</v>
      </c>
      <c r="T540" s="361" t="s">
        <v>4635</v>
      </c>
      <c r="U540" s="406">
        <f>240000000-240000000</f>
        <v>0</v>
      </c>
      <c r="V540" s="412">
        <v>240000000</v>
      </c>
      <c r="W540" s="398"/>
      <c r="X540" s="315"/>
      <c r="Y540" s="359"/>
      <c r="Z540" s="359"/>
      <c r="AA540" s="359"/>
      <c r="AB540" s="318"/>
      <c r="AC540" s="317"/>
      <c r="AD540" s="318"/>
      <c r="AF540" s="472"/>
      <c r="AG540" s="319">
        <f t="shared" si="8"/>
        <v>0</v>
      </c>
      <c r="AH540" s="406"/>
      <c r="AI540" s="406"/>
      <c r="AJ540" s="406"/>
      <c r="AK540" s="406"/>
      <c r="AL540" s="406"/>
      <c r="AM540" s="213"/>
    </row>
    <row r="541" spans="1:39" s="313" customFormat="1" hidden="1" x14ac:dyDescent="0.25">
      <c r="A541" s="362" t="s">
        <v>2782</v>
      </c>
      <c r="B541" s="418">
        <v>96000000</v>
      </c>
      <c r="C541" s="313" t="s">
        <v>3025</v>
      </c>
      <c r="D541" s="326">
        <v>535</v>
      </c>
      <c r="E541" s="366">
        <v>20213000024133</v>
      </c>
      <c r="F541" s="316">
        <v>44315</v>
      </c>
      <c r="G541" s="326" t="s">
        <v>2903</v>
      </c>
      <c r="H541" s="313" t="s">
        <v>2904</v>
      </c>
      <c r="I541" s="313" t="s">
        <v>432</v>
      </c>
      <c r="J541" s="406">
        <v>84000000</v>
      </c>
      <c r="K541" s="313" t="s">
        <v>342</v>
      </c>
      <c r="L541" s="313" t="s">
        <v>351</v>
      </c>
      <c r="M541" s="313" t="s">
        <v>44</v>
      </c>
      <c r="N541" s="313" t="s">
        <v>45</v>
      </c>
      <c r="O541" s="313" t="s">
        <v>63</v>
      </c>
      <c r="P541" s="313" t="s">
        <v>678</v>
      </c>
      <c r="R541" s="313">
        <v>583</v>
      </c>
      <c r="S541" s="364">
        <v>44315</v>
      </c>
      <c r="T541" s="361" t="s">
        <v>4636</v>
      </c>
      <c r="U541" s="416">
        <v>84000000</v>
      </c>
      <c r="V541" s="416"/>
      <c r="W541" s="363"/>
      <c r="X541" s="315"/>
      <c r="Y541" s="359"/>
      <c r="Z541" s="359"/>
      <c r="AA541" s="359"/>
      <c r="AB541" s="318"/>
      <c r="AC541" s="317"/>
      <c r="AD541" s="318"/>
      <c r="AF541" s="472"/>
      <c r="AG541" s="473">
        <f t="shared" si="8"/>
        <v>84000000</v>
      </c>
      <c r="AH541" s="406"/>
      <c r="AI541" s="406"/>
      <c r="AJ541" s="406"/>
      <c r="AK541" s="406"/>
      <c r="AL541" s="474"/>
      <c r="AM541" s="213"/>
    </row>
    <row r="542" spans="1:39" s="313" customFormat="1" hidden="1" x14ac:dyDescent="0.25">
      <c r="A542" s="362"/>
      <c r="B542" s="418"/>
      <c r="C542" s="313" t="s">
        <v>4637</v>
      </c>
      <c r="D542" s="326">
        <v>536</v>
      </c>
      <c r="E542" s="326">
        <v>20215000024393</v>
      </c>
      <c r="F542" s="316">
        <v>44316</v>
      </c>
      <c r="G542" s="326" t="s">
        <v>2903</v>
      </c>
      <c r="H542" s="313" t="s">
        <v>2904</v>
      </c>
      <c r="I542" s="313" t="s">
        <v>228</v>
      </c>
      <c r="J542" s="407">
        <v>63655484</v>
      </c>
      <c r="K542" s="313" t="s">
        <v>223</v>
      </c>
      <c r="L542" s="313" t="s">
        <v>236</v>
      </c>
      <c r="M542" s="313" t="s">
        <v>44</v>
      </c>
      <c r="N542" s="313" t="s">
        <v>45</v>
      </c>
      <c r="O542" s="313" t="s">
        <v>63</v>
      </c>
      <c r="P542" s="313" t="s">
        <v>678</v>
      </c>
      <c r="R542" s="313">
        <v>584</v>
      </c>
      <c r="S542" s="364">
        <v>44316</v>
      </c>
      <c r="T542" s="361" t="s">
        <v>4638</v>
      </c>
      <c r="U542" s="406">
        <f>63655484-63655484</f>
        <v>0</v>
      </c>
      <c r="V542" s="407">
        <v>63655484</v>
      </c>
      <c r="W542" s="363" t="s">
        <v>1757</v>
      </c>
      <c r="X542" s="315"/>
      <c r="Y542" s="359"/>
      <c r="Z542" s="359"/>
      <c r="AA542" s="359"/>
      <c r="AB542" s="318"/>
      <c r="AC542" s="317"/>
      <c r="AD542" s="318"/>
      <c r="AF542" s="411"/>
      <c r="AG542" s="319">
        <f t="shared" si="8"/>
        <v>0</v>
      </c>
      <c r="AH542" s="406"/>
      <c r="AI542" s="406"/>
      <c r="AJ542" s="406"/>
      <c r="AK542" s="406"/>
      <c r="AL542" s="406"/>
      <c r="AM542" s="213"/>
    </row>
    <row r="543" spans="1:39" s="313" customFormat="1" hidden="1" x14ac:dyDescent="0.25">
      <c r="A543" s="362"/>
      <c r="B543" s="418"/>
      <c r="C543" s="313" t="s">
        <v>4637</v>
      </c>
      <c r="D543" s="535">
        <v>536</v>
      </c>
      <c r="E543" s="326">
        <v>20215000024393</v>
      </c>
      <c r="F543" s="316">
        <v>44316</v>
      </c>
      <c r="G543" s="326" t="s">
        <v>2903</v>
      </c>
      <c r="H543" s="313" t="s">
        <v>2904</v>
      </c>
      <c r="I543" s="313" t="s">
        <v>228</v>
      </c>
      <c r="J543" s="406">
        <v>61344516</v>
      </c>
      <c r="K543" s="313" t="s">
        <v>223</v>
      </c>
      <c r="L543" s="313" t="s">
        <v>224</v>
      </c>
      <c r="M543" s="313" t="s">
        <v>44</v>
      </c>
      <c r="N543" s="313" t="s">
        <v>45</v>
      </c>
      <c r="O543" s="313" t="s">
        <v>63</v>
      </c>
      <c r="P543" s="313" t="s">
        <v>678</v>
      </c>
      <c r="R543" s="361">
        <v>584</v>
      </c>
      <c r="S543" s="364">
        <v>44316</v>
      </c>
      <c r="T543" s="361" t="s">
        <v>4638</v>
      </c>
      <c r="U543" s="406">
        <f>61344516-61344516</f>
        <v>0</v>
      </c>
      <c r="V543" s="407">
        <v>61344516</v>
      </c>
      <c r="W543" s="363" t="s">
        <v>4606</v>
      </c>
      <c r="X543" s="315"/>
      <c r="Y543" s="359"/>
      <c r="Z543" s="359"/>
      <c r="AA543" s="359"/>
      <c r="AB543" s="318"/>
      <c r="AC543" s="317"/>
      <c r="AD543" s="318"/>
      <c r="AF543" s="411"/>
      <c r="AG543" s="319">
        <f t="shared" si="8"/>
        <v>0</v>
      </c>
      <c r="AH543" s="406"/>
      <c r="AI543" s="406"/>
      <c r="AJ543" s="406"/>
      <c r="AK543" s="406"/>
      <c r="AL543" s="406"/>
      <c r="AM543" s="213"/>
    </row>
    <row r="544" spans="1:39" s="313" customFormat="1" hidden="1" x14ac:dyDescent="0.25">
      <c r="A544" s="362"/>
      <c r="B544" s="418"/>
      <c r="C544" s="313" t="s">
        <v>4639</v>
      </c>
      <c r="D544" s="326">
        <v>537</v>
      </c>
      <c r="E544" s="326">
        <v>20215000024403</v>
      </c>
      <c r="F544" s="316">
        <v>44316</v>
      </c>
      <c r="G544" s="326" t="s">
        <v>2903</v>
      </c>
      <c r="H544" s="313" t="s">
        <v>2904</v>
      </c>
      <c r="I544" s="313" t="s">
        <v>228</v>
      </c>
      <c r="J544" s="407">
        <v>95200000</v>
      </c>
      <c r="K544" s="313" t="s">
        <v>223</v>
      </c>
      <c r="L544" s="313" t="s">
        <v>236</v>
      </c>
      <c r="M544" s="313" t="s">
        <v>44</v>
      </c>
      <c r="N544" s="313" t="s">
        <v>45</v>
      </c>
      <c r="O544" s="313" t="s">
        <v>63</v>
      </c>
      <c r="P544" s="313" t="s">
        <v>678</v>
      </c>
      <c r="R544" s="361">
        <v>585</v>
      </c>
      <c r="S544" s="364">
        <v>44316</v>
      </c>
      <c r="T544" s="361" t="s">
        <v>4640</v>
      </c>
      <c r="U544" s="406">
        <f>95200000-95200000</f>
        <v>0</v>
      </c>
      <c r="V544" s="407">
        <v>95200000</v>
      </c>
      <c r="W544" s="363" t="s">
        <v>1757</v>
      </c>
      <c r="X544" s="315"/>
      <c r="Y544" s="359"/>
      <c r="Z544" s="359"/>
      <c r="AA544" s="359"/>
      <c r="AB544" s="318"/>
      <c r="AC544" s="317"/>
      <c r="AD544" s="318"/>
      <c r="AF544" s="411"/>
      <c r="AG544" s="319">
        <f t="shared" si="8"/>
        <v>0</v>
      </c>
      <c r="AH544" s="406"/>
      <c r="AI544" s="406"/>
      <c r="AJ544" s="406"/>
      <c r="AK544" s="406"/>
      <c r="AL544" s="406"/>
      <c r="AM544" s="213"/>
    </row>
    <row r="545" spans="1:39" s="313" customFormat="1" hidden="1" x14ac:dyDescent="0.25">
      <c r="A545" s="381" t="s">
        <v>2149</v>
      </c>
      <c r="B545" s="422">
        <v>490000000</v>
      </c>
      <c r="C545" s="313" t="s">
        <v>4596</v>
      </c>
      <c r="D545" s="326">
        <v>538</v>
      </c>
      <c r="E545" s="326">
        <v>20213000024583</v>
      </c>
      <c r="F545" s="316">
        <v>44320</v>
      </c>
      <c r="G545" s="326" t="s">
        <v>2903</v>
      </c>
      <c r="H545" s="313" t="s">
        <v>2904</v>
      </c>
      <c r="I545" s="313" t="s">
        <v>432</v>
      </c>
      <c r="J545" s="407">
        <v>489976150</v>
      </c>
      <c r="K545" s="313" t="s">
        <v>342</v>
      </c>
      <c r="L545" s="313" t="s">
        <v>351</v>
      </c>
      <c r="M545" s="313" t="s">
        <v>44</v>
      </c>
      <c r="N545" s="313" t="s">
        <v>45</v>
      </c>
      <c r="O545" s="313" t="s">
        <v>63</v>
      </c>
      <c r="P545" s="313" t="s">
        <v>678</v>
      </c>
      <c r="R545" s="438">
        <v>586</v>
      </c>
      <c r="S545" s="439">
        <v>44321</v>
      </c>
      <c r="T545" s="438" t="s">
        <v>4597</v>
      </c>
      <c r="U545" s="440">
        <f>489976150-489976150</f>
        <v>0</v>
      </c>
      <c r="V545" s="407">
        <v>489976150</v>
      </c>
      <c r="W545" s="363" t="s">
        <v>1757</v>
      </c>
      <c r="X545" s="315"/>
      <c r="Y545" s="359"/>
      <c r="Z545" s="359"/>
      <c r="AA545" s="359"/>
      <c r="AB545" s="318"/>
      <c r="AC545" s="317"/>
      <c r="AD545" s="318"/>
      <c r="AF545" s="411"/>
      <c r="AG545" s="319">
        <f t="shared" ref="AG545:AG602" si="9">+U545-AF545</f>
        <v>0</v>
      </c>
      <c r="AH545" s="407"/>
      <c r="AI545" s="407"/>
      <c r="AJ545" s="407"/>
      <c r="AK545" s="407"/>
      <c r="AL545" s="407"/>
      <c r="AM545" s="213"/>
    </row>
    <row r="546" spans="1:39" hidden="1" x14ac:dyDescent="0.25">
      <c r="A546" s="475" t="s">
        <v>2299</v>
      </c>
      <c r="B546" s="476">
        <v>42400000</v>
      </c>
      <c r="C546" s="213" t="s">
        <v>2909</v>
      </c>
      <c r="D546" s="312">
        <v>539</v>
      </c>
      <c r="E546" s="312">
        <v>20215000024683</v>
      </c>
      <c r="F546" s="477">
        <v>44320</v>
      </c>
      <c r="G546" s="312" t="s">
        <v>2903</v>
      </c>
      <c r="H546" s="213" t="s">
        <v>2904</v>
      </c>
      <c r="I546" s="211" t="s">
        <v>228</v>
      </c>
      <c r="J546" s="474">
        <v>37100000</v>
      </c>
      <c r="K546" s="213" t="s">
        <v>223</v>
      </c>
      <c r="L546" s="213" t="s">
        <v>283</v>
      </c>
      <c r="M546" s="213" t="s">
        <v>44</v>
      </c>
      <c r="N546" s="213" t="s">
        <v>45</v>
      </c>
      <c r="O546" s="213" t="s">
        <v>63</v>
      </c>
      <c r="P546" s="213" t="s">
        <v>678</v>
      </c>
      <c r="R546" s="213">
        <v>587</v>
      </c>
      <c r="S546" s="487">
        <v>44321</v>
      </c>
      <c r="T546" s="483" t="s">
        <v>4641</v>
      </c>
      <c r="U546" s="474">
        <f>37100000-2800000</f>
        <v>34300000</v>
      </c>
      <c r="V546" s="407">
        <f>2800000</f>
        <v>2800000</v>
      </c>
      <c r="W546" s="363" t="s">
        <v>1757</v>
      </c>
      <c r="X546" s="480" t="s">
        <v>4642</v>
      </c>
      <c r="Y546" s="481">
        <v>44327</v>
      </c>
      <c r="Z546" s="481">
        <v>44327</v>
      </c>
      <c r="AA546" s="481">
        <v>44540</v>
      </c>
      <c r="AB546" s="483" t="s">
        <v>2913</v>
      </c>
      <c r="AC546" s="480" t="s">
        <v>4643</v>
      </c>
      <c r="AD546" s="483" t="s">
        <v>4644</v>
      </c>
      <c r="AE546" s="483" t="s">
        <v>4645</v>
      </c>
      <c r="AF546" s="472">
        <v>34300000</v>
      </c>
      <c r="AG546" s="473">
        <f t="shared" si="9"/>
        <v>0</v>
      </c>
      <c r="AM546" s="307">
        <v>3103333</v>
      </c>
    </row>
    <row r="547" spans="1:39" hidden="1" x14ac:dyDescent="0.25">
      <c r="A547" s="465" t="s">
        <v>2085</v>
      </c>
      <c r="B547" s="466">
        <v>42400000</v>
      </c>
      <c r="C547" s="213" t="s">
        <v>2909</v>
      </c>
      <c r="D547" s="468">
        <v>540</v>
      </c>
      <c r="E547" s="468">
        <v>20215000024693</v>
      </c>
      <c r="F547" s="469">
        <v>44320</v>
      </c>
      <c r="G547" s="468" t="s">
        <v>2903</v>
      </c>
      <c r="H547" s="467" t="s">
        <v>2904</v>
      </c>
      <c r="I547" s="378" t="s">
        <v>228</v>
      </c>
      <c r="J547" s="470">
        <v>37100000</v>
      </c>
      <c r="K547" s="467" t="s">
        <v>223</v>
      </c>
      <c r="L547" s="467" t="s">
        <v>283</v>
      </c>
      <c r="M547" s="467" t="s">
        <v>44</v>
      </c>
      <c r="N547" s="467" t="s">
        <v>45</v>
      </c>
      <c r="O547" s="467" t="s">
        <v>63</v>
      </c>
      <c r="P547" s="213" t="s">
        <v>678</v>
      </c>
      <c r="Q547" s="467"/>
      <c r="R547" s="467">
        <v>588</v>
      </c>
      <c r="S547" s="525">
        <v>44321</v>
      </c>
      <c r="T547" s="526" t="s">
        <v>4646</v>
      </c>
      <c r="U547" s="470">
        <f>37100000-2650000</f>
        <v>34450000</v>
      </c>
      <c r="V547" s="415">
        <v>2650000</v>
      </c>
      <c r="W547" s="308" t="s">
        <v>1757</v>
      </c>
      <c r="X547" s="480" t="s">
        <v>4376</v>
      </c>
      <c r="Y547" s="487">
        <v>44349</v>
      </c>
      <c r="Z547" s="481">
        <v>44349</v>
      </c>
      <c r="AA547" s="692">
        <v>44547</v>
      </c>
      <c r="AB547" s="533" t="s">
        <v>2913</v>
      </c>
      <c r="AC547" s="532" t="s">
        <v>4275</v>
      </c>
      <c r="AD547" s="533" t="s">
        <v>4647</v>
      </c>
      <c r="AE547" s="483" t="s">
        <v>4648</v>
      </c>
      <c r="AF547" s="689">
        <v>34450000</v>
      </c>
      <c r="AG547" s="473">
        <f t="shared" si="9"/>
        <v>0</v>
      </c>
      <c r="AI547" s="470"/>
      <c r="AJ547" s="470"/>
      <c r="AK547" s="470"/>
      <c r="AL547" s="470"/>
      <c r="AM547" s="213"/>
    </row>
    <row r="548" spans="1:39" s="313" customFormat="1" hidden="1" x14ac:dyDescent="0.25">
      <c r="A548" s="362" t="s">
        <v>2290</v>
      </c>
      <c r="B548" s="418">
        <v>58872500</v>
      </c>
      <c r="C548" s="313" t="s">
        <v>3025</v>
      </c>
      <c r="D548" s="326">
        <v>541</v>
      </c>
      <c r="E548" s="326">
        <v>20217000024933</v>
      </c>
      <c r="F548" s="316">
        <v>44321</v>
      </c>
      <c r="G548" s="326" t="s">
        <v>2910</v>
      </c>
      <c r="H548" s="313" t="s">
        <v>2911</v>
      </c>
      <c r="I548" s="313" t="s">
        <v>164</v>
      </c>
      <c r="J548" s="406">
        <v>34978251</v>
      </c>
      <c r="K548" s="313" t="s">
        <v>138</v>
      </c>
      <c r="L548" s="313" t="s">
        <v>139</v>
      </c>
      <c r="M548" s="313" t="s">
        <v>44</v>
      </c>
      <c r="N548" s="313" t="s">
        <v>45</v>
      </c>
      <c r="O548" s="313" t="s">
        <v>142</v>
      </c>
      <c r="P548" s="313" t="s">
        <v>43</v>
      </c>
      <c r="Q548" s="313" t="s">
        <v>3563</v>
      </c>
      <c r="S548" s="316"/>
      <c r="U548" s="474"/>
      <c r="V548" s="407"/>
      <c r="W548" s="363"/>
      <c r="X548" s="315"/>
      <c r="Y548" s="359"/>
      <c r="Z548" s="359"/>
      <c r="AA548" s="359"/>
      <c r="AB548" s="318"/>
      <c r="AC548" s="317"/>
      <c r="AD548" s="318"/>
      <c r="AF548" s="472"/>
      <c r="AG548" s="473">
        <f t="shared" si="9"/>
        <v>0</v>
      </c>
      <c r="AH548" s="406"/>
      <c r="AI548" s="406"/>
      <c r="AJ548" s="406"/>
      <c r="AK548" s="406"/>
      <c r="AL548" s="474"/>
      <c r="AM548" s="213"/>
    </row>
    <row r="549" spans="1:39" hidden="1" x14ac:dyDescent="0.25">
      <c r="A549" s="475" t="s">
        <v>2729</v>
      </c>
      <c r="B549" s="476">
        <v>90000000</v>
      </c>
      <c r="C549" s="213" t="s">
        <v>2909</v>
      </c>
      <c r="D549" s="312">
        <v>542</v>
      </c>
      <c r="E549" s="312">
        <v>20213000024983</v>
      </c>
      <c r="F549" s="477">
        <v>44322</v>
      </c>
      <c r="G549" s="312" t="s">
        <v>2903</v>
      </c>
      <c r="H549" s="213" t="s">
        <v>2904</v>
      </c>
      <c r="I549" s="213" t="s">
        <v>432</v>
      </c>
      <c r="J549" s="474">
        <v>90000000</v>
      </c>
      <c r="K549" s="213" t="s">
        <v>342</v>
      </c>
      <c r="L549" s="213" t="s">
        <v>351</v>
      </c>
      <c r="M549" s="213" t="s">
        <v>44</v>
      </c>
      <c r="N549" s="213" t="s">
        <v>45</v>
      </c>
      <c r="O549" s="213" t="s">
        <v>63</v>
      </c>
      <c r="P549" s="213" t="s">
        <v>678</v>
      </c>
      <c r="R549" s="213">
        <v>590</v>
      </c>
      <c r="S549" s="487">
        <v>44323</v>
      </c>
      <c r="T549" s="483" t="s">
        <v>4649</v>
      </c>
      <c r="U549" s="474">
        <v>90000000</v>
      </c>
      <c r="V549" s="407"/>
      <c r="X549" s="480" t="s">
        <v>4650</v>
      </c>
      <c r="Y549" s="481">
        <v>44357</v>
      </c>
      <c r="Z549" s="481">
        <v>44357</v>
      </c>
      <c r="AA549" s="693">
        <v>44478</v>
      </c>
      <c r="AB549" s="483" t="s">
        <v>2913</v>
      </c>
      <c r="AC549" s="480" t="s">
        <v>4267</v>
      </c>
      <c r="AD549" s="483" t="s">
        <v>4651</v>
      </c>
      <c r="AE549" s="483" t="s">
        <v>4652</v>
      </c>
      <c r="AF549" s="493">
        <v>60000000</v>
      </c>
      <c r="AG549" s="473">
        <f t="shared" si="9"/>
        <v>30000000</v>
      </c>
      <c r="AM549" s="213"/>
    </row>
    <row r="550" spans="1:39" ht="15.75" hidden="1" x14ac:dyDescent="0.25">
      <c r="B550" s="476" t="s">
        <v>4653</v>
      </c>
      <c r="C550" s="213" t="s">
        <v>4654</v>
      </c>
      <c r="D550" s="312">
        <v>543</v>
      </c>
      <c r="E550" s="312">
        <v>20214000025163</v>
      </c>
      <c r="F550" s="477">
        <v>44322</v>
      </c>
      <c r="G550" s="312" t="s">
        <v>2943</v>
      </c>
      <c r="H550" s="213" t="s">
        <v>2944</v>
      </c>
      <c r="I550" s="213" t="s">
        <v>47</v>
      </c>
      <c r="J550" s="427">
        <v>190741417</v>
      </c>
      <c r="K550" s="213" t="s">
        <v>37</v>
      </c>
      <c r="L550" s="512" t="s">
        <v>2945</v>
      </c>
      <c r="M550" s="213" t="s">
        <v>44</v>
      </c>
      <c r="N550" s="213" t="s">
        <v>45</v>
      </c>
      <c r="O550" s="213" t="s">
        <v>310</v>
      </c>
      <c r="P550" s="213" t="s">
        <v>43</v>
      </c>
      <c r="R550" s="213">
        <v>591</v>
      </c>
      <c r="S550" s="487">
        <v>44323</v>
      </c>
      <c r="T550" s="483" t="s">
        <v>4655</v>
      </c>
      <c r="U550" s="474">
        <v>190741417</v>
      </c>
      <c r="V550" s="407"/>
      <c r="W550" s="363"/>
      <c r="X550" s="309" t="s">
        <v>4656</v>
      </c>
      <c r="Y550" s="481">
        <v>44342</v>
      </c>
      <c r="Z550" s="481">
        <v>44342</v>
      </c>
      <c r="AA550" s="481">
        <v>44469</v>
      </c>
      <c r="AB550" s="483" t="s">
        <v>3100</v>
      </c>
      <c r="AC550" s="480" t="s">
        <v>4130</v>
      </c>
      <c r="AD550" s="483" t="s">
        <v>4657</v>
      </c>
      <c r="AE550" s="483" t="s">
        <v>3101</v>
      </c>
      <c r="AF550" s="472">
        <v>190741417</v>
      </c>
      <c r="AG550" s="473">
        <f t="shared" si="9"/>
        <v>0</v>
      </c>
      <c r="AM550" s="213"/>
    </row>
    <row r="551" spans="1:39" hidden="1" x14ac:dyDescent="0.25">
      <c r="A551" s="465" t="s">
        <v>2726</v>
      </c>
      <c r="B551" s="466">
        <v>42000000</v>
      </c>
      <c r="C551" s="213" t="s">
        <v>2909</v>
      </c>
      <c r="D551" s="468">
        <v>544</v>
      </c>
      <c r="E551" s="468">
        <v>20213000025263</v>
      </c>
      <c r="F551" s="469">
        <v>44326</v>
      </c>
      <c r="G551" s="468" t="s">
        <v>2903</v>
      </c>
      <c r="H551" s="467" t="s">
        <v>2904</v>
      </c>
      <c r="I551" s="467" t="s">
        <v>432</v>
      </c>
      <c r="J551" s="470">
        <v>29981358</v>
      </c>
      <c r="K551" s="467" t="s">
        <v>342</v>
      </c>
      <c r="L551" s="467" t="s">
        <v>351</v>
      </c>
      <c r="M551" s="467" t="s">
        <v>44</v>
      </c>
      <c r="N551" s="467" t="s">
        <v>45</v>
      </c>
      <c r="O551" s="467" t="s">
        <v>63</v>
      </c>
      <c r="P551" s="213" t="s">
        <v>678</v>
      </c>
      <c r="Q551" s="467"/>
      <c r="R551" s="467">
        <v>599</v>
      </c>
      <c r="S551" s="525">
        <v>44328</v>
      </c>
      <c r="T551" s="526" t="s">
        <v>4658</v>
      </c>
      <c r="U551" s="470">
        <v>29981358</v>
      </c>
      <c r="V551" s="415"/>
      <c r="X551" s="480" t="s">
        <v>4659</v>
      </c>
      <c r="Y551" s="481">
        <v>44351</v>
      </c>
      <c r="Z551" s="481">
        <v>44351</v>
      </c>
      <c r="AA551" s="693">
        <v>44533</v>
      </c>
      <c r="AB551" s="483" t="s">
        <v>2913</v>
      </c>
      <c r="AC551" s="480" t="s">
        <v>4360</v>
      </c>
      <c r="AD551" s="483" t="s">
        <v>4660</v>
      </c>
      <c r="AE551" s="483" t="s">
        <v>4661</v>
      </c>
      <c r="AF551" s="493">
        <v>24530202</v>
      </c>
      <c r="AG551" s="473">
        <f t="shared" si="9"/>
        <v>5451156</v>
      </c>
      <c r="AI551" s="470"/>
      <c r="AJ551" s="470"/>
      <c r="AK551" s="470"/>
      <c r="AL551" s="470"/>
      <c r="AM551" s="213"/>
    </row>
    <row r="552" spans="1:39" hidden="1" x14ac:dyDescent="0.25">
      <c r="B552" s="476" t="s">
        <v>4662</v>
      </c>
      <c r="C552" s="213" t="s">
        <v>4663</v>
      </c>
      <c r="D552" s="312">
        <v>545</v>
      </c>
      <c r="E552" s="312">
        <v>20213000025353</v>
      </c>
      <c r="F552" s="477">
        <v>44326</v>
      </c>
      <c r="G552" s="312" t="s">
        <v>2903</v>
      </c>
      <c r="H552" s="213" t="s">
        <v>2904</v>
      </c>
      <c r="I552" s="213" t="s">
        <v>432</v>
      </c>
      <c r="J552" s="474">
        <v>1416000</v>
      </c>
      <c r="K552" s="213" t="s">
        <v>342</v>
      </c>
      <c r="L552" s="213" t="s">
        <v>351</v>
      </c>
      <c r="M552" s="213" t="s">
        <v>44</v>
      </c>
      <c r="N552" s="213" t="s">
        <v>4664</v>
      </c>
      <c r="O552" s="213" t="s">
        <v>255</v>
      </c>
      <c r="P552" s="213" t="s">
        <v>4665</v>
      </c>
      <c r="R552" s="213">
        <v>603</v>
      </c>
      <c r="S552" s="487">
        <v>44328</v>
      </c>
      <c r="T552" s="483" t="s">
        <v>4666</v>
      </c>
      <c r="U552" s="474">
        <v>1416000</v>
      </c>
      <c r="V552" s="407"/>
      <c r="W552" s="363"/>
      <c r="X552" s="480" t="s">
        <v>4667</v>
      </c>
      <c r="Y552" s="481">
        <v>44334</v>
      </c>
      <c r="Z552" s="481">
        <v>44334</v>
      </c>
      <c r="AA552" s="481">
        <v>44561</v>
      </c>
      <c r="AB552" s="483" t="s">
        <v>3369</v>
      </c>
      <c r="AC552" s="480" t="s">
        <v>3946</v>
      </c>
      <c r="AD552" s="483" t="s">
        <v>4668</v>
      </c>
      <c r="AE552" s="483" t="s">
        <v>4669</v>
      </c>
      <c r="AF552" s="472">
        <v>1416000</v>
      </c>
      <c r="AG552" s="473">
        <f t="shared" si="9"/>
        <v>0</v>
      </c>
      <c r="AM552" s="307">
        <v>1416000</v>
      </c>
    </row>
    <row r="553" spans="1:39" hidden="1" x14ac:dyDescent="0.25">
      <c r="C553" s="213" t="s">
        <v>4663</v>
      </c>
      <c r="D553" s="312">
        <v>545</v>
      </c>
      <c r="E553" s="312">
        <v>20213000025353</v>
      </c>
      <c r="F553" s="477">
        <v>44326</v>
      </c>
      <c r="G553" s="312" t="s">
        <v>2903</v>
      </c>
      <c r="H553" s="213" t="s">
        <v>2904</v>
      </c>
      <c r="I553" s="213" t="s">
        <v>432</v>
      </c>
      <c r="J553" s="474">
        <v>90888000</v>
      </c>
      <c r="K553" s="213" t="s">
        <v>342</v>
      </c>
      <c r="L553" s="213" t="s">
        <v>351</v>
      </c>
      <c r="M553" s="213" t="s">
        <v>44</v>
      </c>
      <c r="N553" s="213" t="s">
        <v>4664</v>
      </c>
      <c r="O553" s="213" t="s">
        <v>255</v>
      </c>
      <c r="P553" s="213" t="s">
        <v>4670</v>
      </c>
      <c r="R553" s="330">
        <v>603</v>
      </c>
      <c r="S553" s="487">
        <v>44328</v>
      </c>
      <c r="T553" s="483" t="s">
        <v>4666</v>
      </c>
      <c r="U553" s="474">
        <v>90888000</v>
      </c>
      <c r="V553" s="407"/>
      <c r="W553" s="363"/>
      <c r="X553" s="480" t="s">
        <v>4667</v>
      </c>
      <c r="Y553" s="481">
        <v>44334</v>
      </c>
      <c r="Z553" s="481">
        <v>44334</v>
      </c>
      <c r="AA553" s="481">
        <v>44561</v>
      </c>
      <c r="AB553" s="483" t="s">
        <v>3369</v>
      </c>
      <c r="AC553" s="480" t="s">
        <v>3946</v>
      </c>
      <c r="AD553" s="483" t="s">
        <v>4668</v>
      </c>
      <c r="AE553" s="483" t="s">
        <v>4669</v>
      </c>
      <c r="AF553" s="472">
        <v>90888000</v>
      </c>
      <c r="AG553" s="473">
        <f t="shared" si="9"/>
        <v>0</v>
      </c>
      <c r="AM553" s="307">
        <v>90888000</v>
      </c>
    </row>
    <row r="554" spans="1:39" hidden="1" x14ac:dyDescent="0.25">
      <c r="C554" s="213" t="s">
        <v>4663</v>
      </c>
      <c r="D554" s="387">
        <v>545</v>
      </c>
      <c r="E554" s="312">
        <v>20213000025353</v>
      </c>
      <c r="F554" s="477">
        <v>44326</v>
      </c>
      <c r="G554" s="312" t="s">
        <v>2903</v>
      </c>
      <c r="H554" s="213" t="s">
        <v>2904</v>
      </c>
      <c r="I554" s="213" t="s">
        <v>432</v>
      </c>
      <c r="J554" s="474">
        <v>23964000</v>
      </c>
      <c r="K554" s="213" t="s">
        <v>342</v>
      </c>
      <c r="L554" s="213" t="s">
        <v>351</v>
      </c>
      <c r="M554" s="213" t="s">
        <v>44</v>
      </c>
      <c r="N554" s="213" t="s">
        <v>4664</v>
      </c>
      <c r="O554" s="213" t="s">
        <v>255</v>
      </c>
      <c r="P554" s="213" t="s">
        <v>4671</v>
      </c>
      <c r="R554" s="330">
        <v>603</v>
      </c>
      <c r="S554" s="487">
        <v>44328</v>
      </c>
      <c r="T554" s="483" t="s">
        <v>4666</v>
      </c>
      <c r="U554" s="474">
        <v>23964000</v>
      </c>
      <c r="V554" s="407"/>
      <c r="W554" s="363"/>
      <c r="X554" s="480" t="s">
        <v>4667</v>
      </c>
      <c r="Y554" s="481">
        <v>44334</v>
      </c>
      <c r="Z554" s="481">
        <v>44334</v>
      </c>
      <c r="AA554" s="481">
        <v>44561</v>
      </c>
      <c r="AB554" s="483" t="s">
        <v>3369</v>
      </c>
      <c r="AC554" s="480" t="s">
        <v>3946</v>
      </c>
      <c r="AD554" s="483" t="s">
        <v>4668</v>
      </c>
      <c r="AE554" s="483" t="s">
        <v>4669</v>
      </c>
      <c r="AF554" s="472">
        <v>23964000</v>
      </c>
      <c r="AG554" s="473">
        <f t="shared" si="9"/>
        <v>0</v>
      </c>
      <c r="AM554" s="307">
        <v>23964000</v>
      </c>
    </row>
    <row r="555" spans="1:39" hidden="1" x14ac:dyDescent="0.25">
      <c r="A555" s="475" t="s">
        <v>2704</v>
      </c>
      <c r="B555" s="476">
        <v>37500000</v>
      </c>
      <c r="C555" s="213" t="s">
        <v>2909</v>
      </c>
      <c r="D555" s="312">
        <v>546</v>
      </c>
      <c r="E555" s="312">
        <v>20215000025453</v>
      </c>
      <c r="F555" s="477">
        <v>44326</v>
      </c>
      <c r="G555" s="312" t="s">
        <v>2903</v>
      </c>
      <c r="H555" s="213" t="s">
        <v>2904</v>
      </c>
      <c r="I555" s="211" t="s">
        <v>228</v>
      </c>
      <c r="J555" s="474">
        <v>37500000</v>
      </c>
      <c r="K555" s="213" t="s">
        <v>223</v>
      </c>
      <c r="L555" s="213" t="s">
        <v>3021</v>
      </c>
      <c r="M555" s="213" t="s">
        <v>44</v>
      </c>
      <c r="N555" s="213" t="s">
        <v>45</v>
      </c>
      <c r="O555" s="213" t="s">
        <v>63</v>
      </c>
      <c r="P555" s="213" t="s">
        <v>678</v>
      </c>
      <c r="R555" s="213">
        <v>601</v>
      </c>
      <c r="S555" s="487">
        <v>44328</v>
      </c>
      <c r="T555" s="483" t="s">
        <v>4672</v>
      </c>
      <c r="U555" s="474">
        <f>37500000-400000</f>
        <v>37100000</v>
      </c>
      <c r="V555" s="407">
        <v>400000</v>
      </c>
      <c r="W555" s="675" t="s">
        <v>1757</v>
      </c>
      <c r="X555" s="480" t="s">
        <v>4673</v>
      </c>
      <c r="Y555" s="481">
        <v>44344</v>
      </c>
      <c r="Z555" s="481">
        <v>44344</v>
      </c>
      <c r="AA555" s="481">
        <v>44557</v>
      </c>
      <c r="AB555" s="483" t="s">
        <v>2913</v>
      </c>
      <c r="AC555" s="480" t="s">
        <v>4297</v>
      </c>
      <c r="AD555" s="483" t="s">
        <v>4674</v>
      </c>
      <c r="AE555" s="483" t="s">
        <v>4675</v>
      </c>
      <c r="AF555" s="472">
        <v>37100000</v>
      </c>
      <c r="AG555" s="473">
        <f t="shared" si="9"/>
        <v>0</v>
      </c>
      <c r="AM555" s="213"/>
    </row>
    <row r="556" spans="1:39" hidden="1" x14ac:dyDescent="0.25">
      <c r="A556" s="465" t="s">
        <v>2290</v>
      </c>
      <c r="B556" s="466">
        <v>58872500</v>
      </c>
      <c r="C556" s="213" t="s">
        <v>2909</v>
      </c>
      <c r="D556" s="468">
        <v>547</v>
      </c>
      <c r="E556" s="468">
        <v>20217000025233</v>
      </c>
      <c r="F556" s="469">
        <v>44326</v>
      </c>
      <c r="G556" s="468" t="s">
        <v>2910</v>
      </c>
      <c r="H556" s="467" t="s">
        <v>2911</v>
      </c>
      <c r="I556" s="467" t="s">
        <v>164</v>
      </c>
      <c r="J556" s="470">
        <v>50877456</v>
      </c>
      <c r="K556" s="467" t="s">
        <v>138</v>
      </c>
      <c r="L556" s="467" t="s">
        <v>139</v>
      </c>
      <c r="M556" s="467" t="s">
        <v>44</v>
      </c>
      <c r="N556" s="467" t="s">
        <v>45</v>
      </c>
      <c r="O556" s="467" t="s">
        <v>142</v>
      </c>
      <c r="P556" s="467" t="s">
        <v>43</v>
      </c>
      <c r="Q556" s="467"/>
      <c r="R556" s="467">
        <v>600</v>
      </c>
      <c r="S556" s="525">
        <v>44328</v>
      </c>
      <c r="T556" s="526" t="s">
        <v>4676</v>
      </c>
      <c r="U556" s="470">
        <v>50877456</v>
      </c>
      <c r="V556" s="415"/>
      <c r="X556" s="480" t="s">
        <v>4677</v>
      </c>
      <c r="Y556" s="481">
        <v>44351</v>
      </c>
      <c r="Z556" s="481">
        <v>44351</v>
      </c>
      <c r="AA556" s="693">
        <v>44558</v>
      </c>
      <c r="AB556" s="483" t="s">
        <v>2913</v>
      </c>
      <c r="AC556" s="480" t="s">
        <v>3824</v>
      </c>
      <c r="AD556" s="483" t="s">
        <v>4089</v>
      </c>
      <c r="AE556" s="483" t="s">
        <v>4090</v>
      </c>
      <c r="AF556" s="493">
        <v>49666088</v>
      </c>
      <c r="AG556" s="473">
        <f t="shared" si="9"/>
        <v>1211368</v>
      </c>
      <c r="AI556" s="470"/>
      <c r="AJ556" s="470"/>
      <c r="AK556" s="470"/>
      <c r="AL556" s="470"/>
      <c r="AM556" s="213"/>
    </row>
    <row r="557" spans="1:39" hidden="1" x14ac:dyDescent="0.25">
      <c r="A557" s="475" t="s">
        <v>2563</v>
      </c>
      <c r="B557" s="476">
        <v>59000000</v>
      </c>
      <c r="C557" s="213" t="s">
        <v>4678</v>
      </c>
      <c r="D557" s="312">
        <v>548</v>
      </c>
      <c r="E557" s="312">
        <v>20211400025543</v>
      </c>
      <c r="F557" s="477">
        <v>44327</v>
      </c>
      <c r="G557" s="312" t="s">
        <v>2910</v>
      </c>
      <c r="H557" s="213" t="s">
        <v>2911</v>
      </c>
      <c r="I557" s="213" t="s">
        <v>184</v>
      </c>
      <c r="J557" s="474">
        <v>59000000</v>
      </c>
      <c r="K557" s="213" t="s">
        <v>138</v>
      </c>
      <c r="L557" s="213" t="s">
        <v>181</v>
      </c>
      <c r="M557" s="213" t="s">
        <v>3105</v>
      </c>
      <c r="N557" s="213" t="s">
        <v>157</v>
      </c>
      <c r="O557" s="213" t="s">
        <v>158</v>
      </c>
      <c r="P557" s="213" t="s">
        <v>43</v>
      </c>
      <c r="R557" s="213">
        <v>594</v>
      </c>
      <c r="S557" s="487">
        <v>44327</v>
      </c>
      <c r="T557" s="483" t="s">
        <v>4679</v>
      </c>
      <c r="U557" s="474">
        <v>59000000</v>
      </c>
      <c r="V557" s="407"/>
      <c r="W557" s="363"/>
      <c r="AG557" s="473">
        <f t="shared" si="9"/>
        <v>59000000</v>
      </c>
      <c r="AM557" s="213"/>
    </row>
    <row r="558" spans="1:39" hidden="1" x14ac:dyDescent="0.25">
      <c r="A558" s="475" t="s">
        <v>2706</v>
      </c>
      <c r="B558" s="476">
        <v>292754108</v>
      </c>
      <c r="C558" s="213" t="s">
        <v>4680</v>
      </c>
      <c r="D558" s="312">
        <v>549</v>
      </c>
      <c r="E558" s="312">
        <v>20211400025523</v>
      </c>
      <c r="F558" s="477">
        <v>44327</v>
      </c>
      <c r="G558" s="312" t="s">
        <v>2910</v>
      </c>
      <c r="H558" s="213" t="s">
        <v>2911</v>
      </c>
      <c r="I558" s="213" t="s">
        <v>184</v>
      </c>
      <c r="J558" s="474">
        <v>292754108</v>
      </c>
      <c r="K558" s="213" t="s">
        <v>138</v>
      </c>
      <c r="L558" s="213" t="s">
        <v>181</v>
      </c>
      <c r="M558" s="213" t="s">
        <v>3105</v>
      </c>
      <c r="N558" s="213" t="s">
        <v>157</v>
      </c>
      <c r="O558" s="213" t="s">
        <v>158</v>
      </c>
      <c r="P558" s="213" t="s">
        <v>43</v>
      </c>
      <c r="R558" s="213">
        <v>593</v>
      </c>
      <c r="S558" s="487">
        <v>44327</v>
      </c>
      <c r="T558" s="483" t="s">
        <v>4681</v>
      </c>
      <c r="U558" s="474">
        <v>292754108</v>
      </c>
      <c r="V558" s="407"/>
      <c r="X558" s="527" t="s">
        <v>4682</v>
      </c>
      <c r="Y558" s="488">
        <v>44372</v>
      </c>
      <c r="Z558" s="488">
        <v>44372</v>
      </c>
      <c r="AA558" s="694">
        <v>44561</v>
      </c>
      <c r="AB558" s="490" t="s">
        <v>3544</v>
      </c>
      <c r="AC558" s="527" t="s">
        <v>3712</v>
      </c>
      <c r="AD558" s="483" t="s">
        <v>3546</v>
      </c>
      <c r="AE558" s="483" t="s">
        <v>3106</v>
      </c>
      <c r="AF558" s="493">
        <v>292754108</v>
      </c>
      <c r="AG558" s="473">
        <f t="shared" si="9"/>
        <v>0</v>
      </c>
      <c r="AM558" s="213"/>
    </row>
    <row r="559" spans="1:39" ht="15.75" hidden="1" x14ac:dyDescent="0.25">
      <c r="A559" s="475" t="s">
        <v>2844</v>
      </c>
      <c r="B559" s="476">
        <v>52500000</v>
      </c>
      <c r="C559" s="213" t="s">
        <v>2909</v>
      </c>
      <c r="D559" s="312">
        <v>550</v>
      </c>
      <c r="E559" s="312">
        <v>20214000025633</v>
      </c>
      <c r="F559" s="477">
        <v>44327</v>
      </c>
      <c r="G559" s="312" t="s">
        <v>2943</v>
      </c>
      <c r="H559" s="213" t="s">
        <v>2944</v>
      </c>
      <c r="I559" s="213" t="s">
        <v>47</v>
      </c>
      <c r="J559" s="427">
        <v>49000000</v>
      </c>
      <c r="K559" s="213" t="s">
        <v>37</v>
      </c>
      <c r="L559" s="512" t="s">
        <v>2945</v>
      </c>
      <c r="M559" s="213" t="s">
        <v>44</v>
      </c>
      <c r="N559" s="213" t="s">
        <v>45</v>
      </c>
      <c r="O559" s="213" t="s">
        <v>310</v>
      </c>
      <c r="P559" s="213" t="s">
        <v>43</v>
      </c>
      <c r="R559" s="213">
        <v>597</v>
      </c>
      <c r="S559" s="487">
        <v>44327</v>
      </c>
      <c r="T559" s="483" t="s">
        <v>4683</v>
      </c>
      <c r="U559" s="474">
        <v>49000000</v>
      </c>
      <c r="V559" s="407"/>
      <c r="W559" s="363"/>
      <c r="X559" s="480" t="s">
        <v>4684</v>
      </c>
      <c r="Y559" s="481">
        <v>44336</v>
      </c>
      <c r="Z559" s="481">
        <v>44336</v>
      </c>
      <c r="AA559" s="481">
        <v>44549</v>
      </c>
      <c r="AB559" s="483" t="s">
        <v>2913</v>
      </c>
      <c r="AC559" s="480" t="s">
        <v>4435</v>
      </c>
      <c r="AD559" s="483" t="s">
        <v>4685</v>
      </c>
      <c r="AE559" s="483" t="s">
        <v>4686</v>
      </c>
      <c r="AF559" s="472">
        <v>49000000</v>
      </c>
      <c r="AG559" s="473">
        <f t="shared" si="9"/>
        <v>0</v>
      </c>
      <c r="AM559" s="307">
        <v>2566667</v>
      </c>
    </row>
    <row r="560" spans="1:39" hidden="1" x14ac:dyDescent="0.25">
      <c r="A560" s="465" t="s">
        <v>2711</v>
      </c>
      <c r="B560" s="466">
        <v>18600000</v>
      </c>
      <c r="C560" s="213" t="s">
        <v>2909</v>
      </c>
      <c r="D560" s="468">
        <v>551</v>
      </c>
      <c r="E560" s="468">
        <v>20217000025593</v>
      </c>
      <c r="F560" s="469">
        <v>44327</v>
      </c>
      <c r="G560" s="468" t="s">
        <v>2910</v>
      </c>
      <c r="H560" s="467" t="s">
        <v>2911</v>
      </c>
      <c r="I560" s="467" t="s">
        <v>164</v>
      </c>
      <c r="J560" s="470">
        <v>14536416</v>
      </c>
      <c r="K560" s="467" t="s">
        <v>138</v>
      </c>
      <c r="L560" s="467" t="s">
        <v>139</v>
      </c>
      <c r="M560" s="467" t="s">
        <v>44</v>
      </c>
      <c r="N560" s="467" t="s">
        <v>45</v>
      </c>
      <c r="O560" s="467" t="s">
        <v>142</v>
      </c>
      <c r="P560" s="467" t="s">
        <v>43</v>
      </c>
      <c r="Q560" s="467"/>
      <c r="R560" s="467">
        <v>595</v>
      </c>
      <c r="S560" s="525">
        <v>44327</v>
      </c>
      <c r="T560" s="526" t="s">
        <v>4687</v>
      </c>
      <c r="U560" s="470">
        <v>14536416</v>
      </c>
      <c r="V560" s="415"/>
      <c r="X560" s="480" t="s">
        <v>4688</v>
      </c>
      <c r="Y560" s="481">
        <v>44351</v>
      </c>
      <c r="Z560" s="481">
        <v>44351</v>
      </c>
      <c r="AA560" s="693">
        <v>44472</v>
      </c>
      <c r="AB560" s="483" t="s">
        <v>2913</v>
      </c>
      <c r="AC560" s="480" t="s">
        <v>4040</v>
      </c>
      <c r="AD560" s="483" t="s">
        <v>4226</v>
      </c>
      <c r="AE560" s="483" t="s">
        <v>4227</v>
      </c>
      <c r="AF560" s="493">
        <v>14536416</v>
      </c>
      <c r="AG560" s="473">
        <f t="shared" si="9"/>
        <v>0</v>
      </c>
      <c r="AI560" s="470"/>
      <c r="AJ560" s="470"/>
      <c r="AK560" s="470"/>
      <c r="AL560" s="470"/>
      <c r="AM560" s="213"/>
    </row>
    <row r="561" spans="1:39" hidden="1" x14ac:dyDescent="0.25">
      <c r="A561" s="475" t="s">
        <v>2466</v>
      </c>
      <c r="B561" s="476">
        <v>40000000</v>
      </c>
      <c r="C561" s="213" t="s">
        <v>2909</v>
      </c>
      <c r="D561" s="312">
        <v>552</v>
      </c>
      <c r="E561" s="312">
        <v>20211200025623</v>
      </c>
      <c r="F561" s="477">
        <v>44327</v>
      </c>
      <c r="G561" s="312" t="s">
        <v>2910</v>
      </c>
      <c r="H561" s="213" t="s">
        <v>2911</v>
      </c>
      <c r="I561" s="213" t="s">
        <v>143</v>
      </c>
      <c r="J561" s="474">
        <v>15000000</v>
      </c>
      <c r="K561" s="213" t="s">
        <v>138</v>
      </c>
      <c r="L561" s="213" t="s">
        <v>139</v>
      </c>
      <c r="M561" s="213" t="s">
        <v>44</v>
      </c>
      <c r="N561" s="213" t="s">
        <v>45</v>
      </c>
      <c r="O561" s="213" t="s">
        <v>142</v>
      </c>
      <c r="P561" s="213" t="s">
        <v>43</v>
      </c>
      <c r="R561" s="213">
        <v>596</v>
      </c>
      <c r="S561" s="487">
        <v>44327</v>
      </c>
      <c r="T561" s="483" t="s">
        <v>4689</v>
      </c>
      <c r="U561" s="474">
        <v>15000000</v>
      </c>
      <c r="V561" s="407"/>
      <c r="W561" s="363"/>
      <c r="X561" s="480" t="s">
        <v>4690</v>
      </c>
      <c r="Y561" s="481">
        <v>44337</v>
      </c>
      <c r="Z561" s="481">
        <v>44337</v>
      </c>
      <c r="AA561" s="481">
        <v>44428</v>
      </c>
      <c r="AB561" s="483" t="s">
        <v>2913</v>
      </c>
      <c r="AC561" s="480" t="s">
        <v>3847</v>
      </c>
      <c r="AD561" s="483" t="s">
        <v>4691</v>
      </c>
      <c r="AE561" s="483" t="s">
        <v>4692</v>
      </c>
      <c r="AF561" s="472">
        <v>15000000</v>
      </c>
      <c r="AG561" s="473">
        <f t="shared" si="9"/>
        <v>0</v>
      </c>
      <c r="AM561" s="307">
        <v>1666667</v>
      </c>
    </row>
    <row r="562" spans="1:39" hidden="1" x14ac:dyDescent="0.25">
      <c r="A562" s="475" t="s">
        <v>2207</v>
      </c>
      <c r="B562" s="476">
        <v>34850000</v>
      </c>
      <c r="C562" s="213" t="s">
        <v>2909</v>
      </c>
      <c r="D562" s="312">
        <v>553</v>
      </c>
      <c r="E562" s="312">
        <v>20212000025663</v>
      </c>
      <c r="F562" s="477">
        <v>44327</v>
      </c>
      <c r="G562" s="312" t="s">
        <v>2903</v>
      </c>
      <c r="H562" s="213" t="s">
        <v>2904</v>
      </c>
      <c r="I562" s="213" t="s">
        <v>391</v>
      </c>
      <c r="J562" s="474">
        <v>30660000</v>
      </c>
      <c r="K562" s="211" t="s">
        <v>2974</v>
      </c>
      <c r="L562" s="213" t="s">
        <v>2975</v>
      </c>
      <c r="M562" s="211" t="s">
        <v>44</v>
      </c>
      <c r="N562" s="211" t="s">
        <v>45</v>
      </c>
      <c r="O562" s="213" t="s">
        <v>63</v>
      </c>
      <c r="P562" s="213" t="s">
        <v>678</v>
      </c>
      <c r="R562" s="213">
        <v>607</v>
      </c>
      <c r="S562" s="487">
        <v>44329</v>
      </c>
      <c r="T562" s="483" t="s">
        <v>4693</v>
      </c>
      <c r="U562" s="474">
        <v>30660000</v>
      </c>
      <c r="V562" s="407"/>
      <c r="W562" s="363"/>
      <c r="X562" s="309">
        <v>557</v>
      </c>
      <c r="Y562" s="471">
        <v>44343</v>
      </c>
      <c r="Z562" s="481">
        <v>44343</v>
      </c>
      <c r="AA562" s="481">
        <v>44556</v>
      </c>
      <c r="AB562" s="483" t="s">
        <v>2913</v>
      </c>
      <c r="AC562" s="480" t="s">
        <v>4309</v>
      </c>
      <c r="AD562" s="483" t="s">
        <v>4694</v>
      </c>
      <c r="AE562" s="483" t="s">
        <v>4695</v>
      </c>
      <c r="AF562" s="472">
        <v>28616000</v>
      </c>
      <c r="AG562" s="473">
        <f t="shared" si="9"/>
        <v>2044000</v>
      </c>
      <c r="AM562" s="213"/>
    </row>
    <row r="563" spans="1:39" hidden="1" x14ac:dyDescent="0.25">
      <c r="A563" s="465" t="s">
        <v>2713</v>
      </c>
      <c r="B563" s="466">
        <v>17025000</v>
      </c>
      <c r="C563" s="213" t="s">
        <v>2909</v>
      </c>
      <c r="D563" s="468">
        <v>554</v>
      </c>
      <c r="E563" s="468">
        <v>20212000025673</v>
      </c>
      <c r="F563" s="469">
        <v>44327</v>
      </c>
      <c r="G563" s="468" t="s">
        <v>2903</v>
      </c>
      <c r="H563" s="467" t="s">
        <v>2904</v>
      </c>
      <c r="I563" s="467" t="s">
        <v>391</v>
      </c>
      <c r="J563" s="470">
        <v>17025000</v>
      </c>
      <c r="K563" s="378" t="s">
        <v>2974</v>
      </c>
      <c r="L563" s="467" t="s">
        <v>2975</v>
      </c>
      <c r="M563" s="378" t="s">
        <v>44</v>
      </c>
      <c r="N563" s="378" t="s">
        <v>45</v>
      </c>
      <c r="O563" s="467" t="s">
        <v>63</v>
      </c>
      <c r="P563" s="213" t="s">
        <v>678</v>
      </c>
      <c r="Q563" s="467"/>
      <c r="R563" s="467">
        <v>608</v>
      </c>
      <c r="S563" s="525">
        <v>44329</v>
      </c>
      <c r="T563" s="526" t="s">
        <v>4696</v>
      </c>
      <c r="U563" s="470">
        <v>17025000</v>
      </c>
      <c r="V563" s="415"/>
      <c r="X563" s="480" t="s">
        <v>4697</v>
      </c>
      <c r="Y563" s="481">
        <v>44355</v>
      </c>
      <c r="Z563" s="481">
        <v>44355</v>
      </c>
      <c r="AA563" s="693">
        <v>44554</v>
      </c>
      <c r="AB563" s="483" t="s">
        <v>2913</v>
      </c>
      <c r="AC563" s="480" t="s">
        <v>4264</v>
      </c>
      <c r="AD563" s="483" t="s">
        <v>4698</v>
      </c>
      <c r="AE563" s="483" t="s">
        <v>4699</v>
      </c>
      <c r="AF563" s="493">
        <v>14755000</v>
      </c>
      <c r="AG563" s="473">
        <f t="shared" si="9"/>
        <v>2270000</v>
      </c>
      <c r="AI563" s="470"/>
      <c r="AJ563" s="470"/>
      <c r="AK563" s="470"/>
      <c r="AL563" s="470"/>
      <c r="AM563" s="213"/>
    </row>
    <row r="564" spans="1:39" hidden="1" x14ac:dyDescent="0.25">
      <c r="A564" s="475" t="s">
        <v>2714</v>
      </c>
      <c r="B564" s="476">
        <v>42075000</v>
      </c>
      <c r="C564" s="213" t="s">
        <v>2909</v>
      </c>
      <c r="D564" s="312">
        <v>555</v>
      </c>
      <c r="E564" s="312">
        <v>20212000025683</v>
      </c>
      <c r="F564" s="477">
        <v>44327</v>
      </c>
      <c r="G564" s="312" t="s">
        <v>2903</v>
      </c>
      <c r="H564" s="213" t="s">
        <v>2904</v>
      </c>
      <c r="I564" s="213" t="s">
        <v>391</v>
      </c>
      <c r="J564" s="474">
        <v>42075000</v>
      </c>
      <c r="K564" s="211" t="s">
        <v>2974</v>
      </c>
      <c r="L564" s="213" t="s">
        <v>2975</v>
      </c>
      <c r="M564" s="211" t="s">
        <v>44</v>
      </c>
      <c r="N564" s="211" t="s">
        <v>45</v>
      </c>
      <c r="O564" s="213" t="s">
        <v>63</v>
      </c>
      <c r="P564" s="213" t="s">
        <v>678</v>
      </c>
      <c r="R564" s="213">
        <v>609</v>
      </c>
      <c r="S564" s="487">
        <v>44329</v>
      </c>
      <c r="T564" s="483" t="s">
        <v>4700</v>
      </c>
      <c r="U564" s="474">
        <v>42075000</v>
      </c>
      <c r="V564" s="407"/>
      <c r="X564" s="480" t="s">
        <v>4701</v>
      </c>
      <c r="Y564" s="481">
        <v>44355</v>
      </c>
      <c r="Z564" s="481">
        <v>44355</v>
      </c>
      <c r="AA564" s="693">
        <v>44553</v>
      </c>
      <c r="AB564" s="483" t="s">
        <v>2913</v>
      </c>
      <c r="AC564" s="480" t="s">
        <v>3871</v>
      </c>
      <c r="AD564" s="483" t="s">
        <v>4702</v>
      </c>
      <c r="AE564" s="483" t="s">
        <v>4703</v>
      </c>
      <c r="AF564" s="493">
        <v>36465000</v>
      </c>
      <c r="AG564" s="473">
        <f t="shared" si="9"/>
        <v>5610000</v>
      </c>
      <c r="AM564" s="213"/>
    </row>
    <row r="565" spans="1:39" hidden="1" x14ac:dyDescent="0.25">
      <c r="A565" s="475" t="s">
        <v>2193</v>
      </c>
      <c r="B565" s="476">
        <v>44517774</v>
      </c>
      <c r="C565" s="213" t="s">
        <v>2909</v>
      </c>
      <c r="D565" s="312">
        <v>556</v>
      </c>
      <c r="E565" s="312">
        <v>20217000025743</v>
      </c>
      <c r="F565" s="477">
        <v>44327</v>
      </c>
      <c r="G565" s="312" t="s">
        <v>2910</v>
      </c>
      <c r="H565" s="213" t="s">
        <v>2911</v>
      </c>
      <c r="I565" s="213" t="s">
        <v>164</v>
      </c>
      <c r="J565" s="474">
        <v>17530120</v>
      </c>
      <c r="K565" s="213" t="s">
        <v>138</v>
      </c>
      <c r="L565" s="213" t="s">
        <v>139</v>
      </c>
      <c r="M565" s="213" t="s">
        <v>44</v>
      </c>
      <c r="N565" s="213" t="s">
        <v>45</v>
      </c>
      <c r="O565" s="213" t="s">
        <v>142</v>
      </c>
      <c r="P565" s="213" t="s">
        <v>43</v>
      </c>
      <c r="R565" s="213">
        <v>610</v>
      </c>
      <c r="S565" s="487">
        <v>44329</v>
      </c>
      <c r="T565" s="483" t="s">
        <v>4704</v>
      </c>
      <c r="U565" s="474">
        <v>17530120</v>
      </c>
      <c r="V565" s="407"/>
      <c r="W565" s="363"/>
      <c r="X565" s="480" t="s">
        <v>4705</v>
      </c>
      <c r="Y565" s="481">
        <v>44341</v>
      </c>
      <c r="Z565" s="481">
        <v>44341</v>
      </c>
      <c r="AA565" s="481">
        <v>44463</v>
      </c>
      <c r="AB565" s="483" t="s">
        <v>2913</v>
      </c>
      <c r="AC565" s="480" t="s">
        <v>3360</v>
      </c>
      <c r="AD565" s="483" t="s">
        <v>3518</v>
      </c>
      <c r="AE565" s="483" t="s">
        <v>3519</v>
      </c>
      <c r="AF565" s="472">
        <v>17530120</v>
      </c>
      <c r="AG565" s="473">
        <f t="shared" si="9"/>
        <v>0</v>
      </c>
      <c r="AM565" s="213"/>
    </row>
    <row r="566" spans="1:39" hidden="1" x14ac:dyDescent="0.25">
      <c r="A566" s="475" t="s">
        <v>2666</v>
      </c>
      <c r="B566" s="476">
        <v>19078983</v>
      </c>
      <c r="C566" s="213" t="s">
        <v>2909</v>
      </c>
      <c r="D566" s="312">
        <v>557</v>
      </c>
      <c r="E566" s="312">
        <v>20211400025823</v>
      </c>
      <c r="F566" s="477">
        <v>44328</v>
      </c>
      <c r="G566" s="312" t="s">
        <v>2910</v>
      </c>
      <c r="H566" s="213" t="s">
        <v>2911</v>
      </c>
      <c r="I566" s="213" t="s">
        <v>184</v>
      </c>
      <c r="J566" s="474">
        <v>19078983</v>
      </c>
      <c r="K566" s="213" t="s">
        <v>138</v>
      </c>
      <c r="L566" s="213" t="s">
        <v>181</v>
      </c>
      <c r="M566" s="213" t="s">
        <v>44</v>
      </c>
      <c r="N566" s="213" t="s">
        <v>45</v>
      </c>
      <c r="O566" s="213" t="s">
        <v>142</v>
      </c>
      <c r="P566" s="213" t="s">
        <v>43</v>
      </c>
      <c r="R566" s="213">
        <v>604</v>
      </c>
      <c r="S566" s="487">
        <v>44328</v>
      </c>
      <c r="T566" s="483" t="s">
        <v>4706</v>
      </c>
      <c r="U566" s="474">
        <v>19078983</v>
      </c>
      <c r="V566" s="407"/>
      <c r="W566" s="363"/>
      <c r="X566" s="480" t="s">
        <v>4707</v>
      </c>
      <c r="Y566" s="481">
        <v>44341</v>
      </c>
      <c r="Z566" s="481">
        <v>44341</v>
      </c>
      <c r="AA566" s="481">
        <v>44554</v>
      </c>
      <c r="AB566" s="483" t="s">
        <v>2913</v>
      </c>
      <c r="AC566" s="480" t="s">
        <v>3381</v>
      </c>
      <c r="AD566" s="483" t="s">
        <v>4389</v>
      </c>
      <c r="AE566" s="483" t="s">
        <v>4390</v>
      </c>
      <c r="AF566" s="472">
        <v>19078983</v>
      </c>
      <c r="AG566" s="473">
        <f t="shared" si="9"/>
        <v>0</v>
      </c>
      <c r="AM566" s="213"/>
    </row>
    <row r="567" spans="1:39" hidden="1" x14ac:dyDescent="0.25">
      <c r="A567" s="475" t="s">
        <v>2089</v>
      </c>
      <c r="B567" s="476">
        <v>56000000</v>
      </c>
      <c r="C567" s="213" t="s">
        <v>2909</v>
      </c>
      <c r="D567" s="312">
        <v>558</v>
      </c>
      <c r="E567" s="312">
        <v>20215000025853</v>
      </c>
      <c r="F567" s="477">
        <v>44328</v>
      </c>
      <c r="G567" s="312" t="s">
        <v>2903</v>
      </c>
      <c r="H567" s="213" t="s">
        <v>2904</v>
      </c>
      <c r="I567" s="211" t="s">
        <v>228</v>
      </c>
      <c r="J567" s="474">
        <v>53900000</v>
      </c>
      <c r="K567" s="213" t="s">
        <v>223</v>
      </c>
      <c r="L567" s="213" t="s">
        <v>3021</v>
      </c>
      <c r="M567" s="213" t="s">
        <v>44</v>
      </c>
      <c r="N567" s="213" t="s">
        <v>45</v>
      </c>
      <c r="O567" s="213" t="s">
        <v>63</v>
      </c>
      <c r="P567" s="213" t="s">
        <v>678</v>
      </c>
      <c r="R567" s="213">
        <v>605</v>
      </c>
      <c r="S567" s="487">
        <v>44328</v>
      </c>
      <c r="T567" s="483" t="s">
        <v>4708</v>
      </c>
      <c r="U567" s="474">
        <v>53900000</v>
      </c>
      <c r="V567" s="407"/>
      <c r="W567" s="363"/>
      <c r="X567" s="480" t="s">
        <v>4709</v>
      </c>
      <c r="Y567" s="481">
        <v>44335</v>
      </c>
      <c r="Z567" s="481">
        <v>44335</v>
      </c>
      <c r="AA567" s="481">
        <v>44548</v>
      </c>
      <c r="AB567" s="483" t="s">
        <v>2913</v>
      </c>
      <c r="AC567" s="480" t="s">
        <v>4412</v>
      </c>
      <c r="AD567" s="483" t="s">
        <v>4710</v>
      </c>
      <c r="AE567" s="483" t="s">
        <v>4711</v>
      </c>
      <c r="AF567" s="472">
        <v>53900000</v>
      </c>
      <c r="AG567" s="473">
        <f t="shared" si="9"/>
        <v>0</v>
      </c>
      <c r="AM567" s="213"/>
    </row>
    <row r="568" spans="1:39" hidden="1" x14ac:dyDescent="0.25">
      <c r="A568" s="465" t="s">
        <v>2390</v>
      </c>
      <c r="B568" s="466">
        <v>42400000</v>
      </c>
      <c r="C568" s="213" t="s">
        <v>2909</v>
      </c>
      <c r="D568" s="468">
        <v>559</v>
      </c>
      <c r="E568" s="468">
        <v>20215000025873</v>
      </c>
      <c r="F568" s="469">
        <v>44328</v>
      </c>
      <c r="G568" s="379" t="s">
        <v>2903</v>
      </c>
      <c r="H568" s="378" t="s">
        <v>2904</v>
      </c>
      <c r="I568" s="378" t="s">
        <v>228</v>
      </c>
      <c r="J568" s="426">
        <v>42400000</v>
      </c>
      <c r="K568" s="378" t="s">
        <v>223</v>
      </c>
      <c r="L568" s="467" t="s">
        <v>236</v>
      </c>
      <c r="M568" s="378" t="s">
        <v>44</v>
      </c>
      <c r="N568" s="378" t="s">
        <v>45</v>
      </c>
      <c r="O568" s="378" t="s">
        <v>63</v>
      </c>
      <c r="P568" s="213" t="s">
        <v>678</v>
      </c>
      <c r="Q568" s="467"/>
      <c r="R568" s="467">
        <v>606</v>
      </c>
      <c r="S568" s="525">
        <v>44328</v>
      </c>
      <c r="T568" s="526" t="s">
        <v>4712</v>
      </c>
      <c r="U568" s="474">
        <f>42400000-18400000</f>
        <v>24000000</v>
      </c>
      <c r="V568" s="415">
        <v>18400000</v>
      </c>
      <c r="W568" s="677" t="s">
        <v>1757</v>
      </c>
      <c r="X568" s="480">
        <v>593</v>
      </c>
      <c r="Y568" s="481">
        <v>44362</v>
      </c>
      <c r="Z568" s="481">
        <v>44362</v>
      </c>
      <c r="AA568" s="481">
        <v>44544</v>
      </c>
      <c r="AB568" s="483" t="s">
        <v>2913</v>
      </c>
      <c r="AC568" s="480" t="s">
        <v>4145</v>
      </c>
      <c r="AD568" s="483" t="s">
        <v>4713</v>
      </c>
      <c r="AE568" s="483" t="s">
        <v>4714</v>
      </c>
      <c r="AF568" s="472">
        <v>24000000</v>
      </c>
      <c r="AG568" s="473">
        <f t="shared" si="9"/>
        <v>0</v>
      </c>
      <c r="AI568" s="470"/>
      <c r="AJ568" s="470"/>
      <c r="AK568" s="470"/>
      <c r="AL568" s="470"/>
      <c r="AM568" s="213"/>
    </row>
    <row r="569" spans="1:39" s="313" customFormat="1" hidden="1" x14ac:dyDescent="0.25">
      <c r="A569" s="362" t="s">
        <v>4715</v>
      </c>
      <c r="B569" s="418">
        <v>34000000</v>
      </c>
      <c r="C569" s="313" t="s">
        <v>3025</v>
      </c>
      <c r="D569" s="326">
        <v>560</v>
      </c>
      <c r="E569" s="326">
        <v>20211200025723</v>
      </c>
      <c r="F569" s="316">
        <v>44329</v>
      </c>
      <c r="G569" s="326" t="s">
        <v>2910</v>
      </c>
      <c r="H569" s="313" t="s">
        <v>2911</v>
      </c>
      <c r="I569" s="313" t="s">
        <v>143</v>
      </c>
      <c r="J569" s="406">
        <v>34000000</v>
      </c>
      <c r="K569" s="313" t="s">
        <v>138</v>
      </c>
      <c r="L569" s="313" t="s">
        <v>139</v>
      </c>
      <c r="M569" s="313" t="s">
        <v>44</v>
      </c>
      <c r="N569" s="313" t="s">
        <v>45</v>
      </c>
      <c r="O569" s="313" t="s">
        <v>142</v>
      </c>
      <c r="P569" s="313" t="s">
        <v>43</v>
      </c>
      <c r="R569" s="313">
        <v>611</v>
      </c>
      <c r="S569" s="364">
        <v>44330</v>
      </c>
      <c r="T569" s="361" t="s">
        <v>4716</v>
      </c>
      <c r="U569" s="406">
        <f>34000000</f>
        <v>34000000</v>
      </c>
      <c r="V569" s="407" t="s">
        <v>4717</v>
      </c>
      <c r="W569" s="363"/>
      <c r="X569" s="315"/>
      <c r="Y569" s="359"/>
      <c r="Z569" s="359"/>
      <c r="AA569" s="359"/>
      <c r="AB569" s="318"/>
      <c r="AC569" s="317"/>
      <c r="AD569" s="318"/>
      <c r="AF569" s="411"/>
      <c r="AG569" s="319">
        <f t="shared" si="9"/>
        <v>34000000</v>
      </c>
      <c r="AH569" s="406"/>
      <c r="AI569" s="406"/>
      <c r="AJ569" s="406"/>
      <c r="AK569" s="406"/>
      <c r="AL569" s="406"/>
      <c r="AM569" s="213"/>
    </row>
    <row r="570" spans="1:39" hidden="1" x14ac:dyDescent="0.25">
      <c r="A570" s="475" t="s">
        <v>2244</v>
      </c>
      <c r="B570" s="476">
        <v>32706936</v>
      </c>
      <c r="C570" s="213" t="s">
        <v>2909</v>
      </c>
      <c r="D570" s="312">
        <v>561</v>
      </c>
      <c r="E570" s="312">
        <v>20217000025973</v>
      </c>
      <c r="F570" s="477">
        <v>44329</v>
      </c>
      <c r="G570" s="312" t="s">
        <v>2910</v>
      </c>
      <c r="H570" s="213" t="s">
        <v>2911</v>
      </c>
      <c r="I570" s="213" t="s">
        <v>164</v>
      </c>
      <c r="J570" s="474">
        <v>21804624</v>
      </c>
      <c r="K570" s="213" t="s">
        <v>138</v>
      </c>
      <c r="L570" s="213" t="s">
        <v>139</v>
      </c>
      <c r="M570" s="213" t="s">
        <v>44</v>
      </c>
      <c r="N570" s="213" t="s">
        <v>45</v>
      </c>
      <c r="O570" s="213" t="s">
        <v>142</v>
      </c>
      <c r="P570" s="213" t="s">
        <v>43</v>
      </c>
      <c r="R570" s="213">
        <v>612</v>
      </c>
      <c r="S570" s="487">
        <v>44330</v>
      </c>
      <c r="T570" s="483" t="s">
        <v>4718</v>
      </c>
      <c r="U570" s="474">
        <v>21804624</v>
      </c>
      <c r="V570" s="407"/>
      <c r="W570" s="363"/>
      <c r="X570" s="480" t="s">
        <v>4719</v>
      </c>
      <c r="Y570" s="471">
        <v>44343</v>
      </c>
      <c r="Z570" s="481">
        <v>44343</v>
      </c>
      <c r="AA570" s="481">
        <v>44526</v>
      </c>
      <c r="AB570" s="483" t="s">
        <v>2913</v>
      </c>
      <c r="AC570" s="480" t="s">
        <v>4720</v>
      </c>
      <c r="AD570" s="483" t="s">
        <v>4121</v>
      </c>
      <c r="AE570" s="483" t="s">
        <v>4122</v>
      </c>
      <c r="AF570" s="472">
        <v>21804624</v>
      </c>
      <c r="AG570" s="473">
        <f t="shared" si="9"/>
        <v>0</v>
      </c>
      <c r="AM570" s="213"/>
    </row>
    <row r="571" spans="1:39" s="211" customFormat="1" hidden="1" x14ac:dyDescent="0.25">
      <c r="A571" s="314" t="s">
        <v>2782</v>
      </c>
      <c r="B571" s="420">
        <v>96000000</v>
      </c>
      <c r="C571" s="213" t="s">
        <v>2909</v>
      </c>
      <c r="D571" s="310">
        <v>562</v>
      </c>
      <c r="E571" s="367">
        <v>20213000026013</v>
      </c>
      <c r="F571" s="311">
        <v>44330</v>
      </c>
      <c r="G571" s="310" t="s">
        <v>2903</v>
      </c>
      <c r="H571" s="211" t="s">
        <v>2904</v>
      </c>
      <c r="I571" s="211" t="s">
        <v>432</v>
      </c>
      <c r="J571" s="408">
        <v>95340000</v>
      </c>
      <c r="K571" s="213" t="s">
        <v>342</v>
      </c>
      <c r="L571" s="211" t="s">
        <v>351</v>
      </c>
      <c r="M571" s="211" t="s">
        <v>44</v>
      </c>
      <c r="N571" s="211" t="s">
        <v>45</v>
      </c>
      <c r="O571" s="211" t="s">
        <v>63</v>
      </c>
      <c r="P571" s="213" t="s">
        <v>678</v>
      </c>
      <c r="R571" s="211">
        <v>613</v>
      </c>
      <c r="S571" s="487">
        <v>44330</v>
      </c>
      <c r="T571" s="483" t="s">
        <v>2782</v>
      </c>
      <c r="U571" s="408">
        <v>95340000</v>
      </c>
      <c r="V571" s="416"/>
      <c r="W571" s="402"/>
      <c r="X571" s="480" t="s">
        <v>4721</v>
      </c>
      <c r="Y571" s="481">
        <v>44336</v>
      </c>
      <c r="Z571" s="481">
        <v>44336</v>
      </c>
      <c r="AA571" s="481">
        <v>44549</v>
      </c>
      <c r="AB571" s="483" t="s">
        <v>2913</v>
      </c>
      <c r="AC571" s="480" t="s">
        <v>4162</v>
      </c>
      <c r="AD571" s="483" t="s">
        <v>4722</v>
      </c>
      <c r="AE571" s="483" t="s">
        <v>4723</v>
      </c>
      <c r="AF571" s="472">
        <v>95340000</v>
      </c>
      <c r="AG571" s="473">
        <f t="shared" si="9"/>
        <v>0</v>
      </c>
      <c r="AH571" s="408"/>
      <c r="AI571" s="408"/>
      <c r="AJ571" s="408"/>
      <c r="AK571" s="408"/>
      <c r="AL571" s="474"/>
      <c r="AM571" s="213"/>
    </row>
    <row r="572" spans="1:39" hidden="1" x14ac:dyDescent="0.25">
      <c r="A572" s="388" t="s">
        <v>2805</v>
      </c>
      <c r="B572" s="423">
        <v>90000000</v>
      </c>
      <c r="C572" s="213" t="s">
        <v>2909</v>
      </c>
      <c r="D572" s="468">
        <v>563</v>
      </c>
      <c r="E572" s="468">
        <v>20213000026073</v>
      </c>
      <c r="F572" s="386">
        <v>44330</v>
      </c>
      <c r="G572" s="379" t="s">
        <v>2903</v>
      </c>
      <c r="H572" s="378" t="s">
        <v>2904</v>
      </c>
      <c r="I572" s="378" t="s">
        <v>432</v>
      </c>
      <c r="J572" s="425">
        <v>90000000</v>
      </c>
      <c r="K572" s="467" t="s">
        <v>342</v>
      </c>
      <c r="L572" s="378" t="s">
        <v>351</v>
      </c>
      <c r="M572" s="378" t="s">
        <v>44</v>
      </c>
      <c r="N572" s="378" t="s">
        <v>45</v>
      </c>
      <c r="O572" s="378" t="s">
        <v>63</v>
      </c>
      <c r="P572" s="213" t="s">
        <v>678</v>
      </c>
      <c r="Q572" s="467"/>
      <c r="R572" s="467">
        <v>614</v>
      </c>
      <c r="S572" s="525">
        <v>44330</v>
      </c>
      <c r="T572" s="526" t="s">
        <v>2805</v>
      </c>
      <c r="U572" s="470">
        <v>90000000</v>
      </c>
      <c r="V572" s="415"/>
      <c r="W572" s="380"/>
      <c r="AG572" s="473">
        <f t="shared" si="9"/>
        <v>90000000</v>
      </c>
      <c r="AI572" s="470"/>
      <c r="AJ572" s="470"/>
      <c r="AK572" s="470"/>
      <c r="AL572" s="470"/>
      <c r="AM572" s="213"/>
    </row>
    <row r="573" spans="1:39" hidden="1" x14ac:dyDescent="0.25">
      <c r="A573" s="314" t="s">
        <v>2712</v>
      </c>
      <c r="B573" s="420">
        <v>18000000</v>
      </c>
      <c r="C573" s="213" t="s">
        <v>2909</v>
      </c>
      <c r="D573" s="312">
        <v>564</v>
      </c>
      <c r="E573" s="312">
        <v>20217000025983</v>
      </c>
      <c r="F573" s="311">
        <v>44334</v>
      </c>
      <c r="G573" s="312" t="s">
        <v>2910</v>
      </c>
      <c r="H573" s="213" t="s">
        <v>2911</v>
      </c>
      <c r="I573" s="213" t="s">
        <v>164</v>
      </c>
      <c r="J573" s="474">
        <v>17928246</v>
      </c>
      <c r="K573" s="213" t="s">
        <v>138</v>
      </c>
      <c r="L573" s="213" t="s">
        <v>139</v>
      </c>
      <c r="M573" s="213" t="s">
        <v>44</v>
      </c>
      <c r="N573" s="213" t="s">
        <v>45</v>
      </c>
      <c r="O573" s="213" t="s">
        <v>142</v>
      </c>
      <c r="P573" s="213" t="s">
        <v>43</v>
      </c>
      <c r="R573" s="213">
        <v>615</v>
      </c>
      <c r="S573" s="487">
        <v>44335</v>
      </c>
      <c r="T573" s="213" t="s">
        <v>2712</v>
      </c>
      <c r="U573" s="474">
        <v>17928246</v>
      </c>
      <c r="V573" s="407"/>
      <c r="X573" s="480" t="s">
        <v>4724</v>
      </c>
      <c r="Y573" s="481">
        <v>44351</v>
      </c>
      <c r="Z573" s="481">
        <v>44351</v>
      </c>
      <c r="AA573" s="481">
        <v>44489</v>
      </c>
      <c r="AB573" s="483" t="s">
        <v>2913</v>
      </c>
      <c r="AC573" s="480" t="s">
        <v>4428</v>
      </c>
      <c r="AD573" s="483" t="s">
        <v>3591</v>
      </c>
      <c r="AE573" s="483" t="s">
        <v>3592</v>
      </c>
      <c r="AF573" s="493">
        <v>16353468</v>
      </c>
      <c r="AG573" s="473">
        <f t="shared" si="9"/>
        <v>1574778</v>
      </c>
      <c r="AM573" s="213"/>
    </row>
    <row r="574" spans="1:39" hidden="1" x14ac:dyDescent="0.25">
      <c r="B574" s="476" t="s">
        <v>4653</v>
      </c>
      <c r="C574" s="213" t="s">
        <v>4725</v>
      </c>
      <c r="D574" s="312">
        <v>565</v>
      </c>
      <c r="E574" s="312">
        <v>20217000026343</v>
      </c>
      <c r="F574" s="311">
        <v>44336</v>
      </c>
      <c r="G574" s="312" t="s">
        <v>2910</v>
      </c>
      <c r="H574" s="213" t="s">
        <v>2911</v>
      </c>
      <c r="I574" s="213" t="s">
        <v>164</v>
      </c>
      <c r="J574" s="474">
        <v>3474800</v>
      </c>
      <c r="K574" s="213" t="s">
        <v>138</v>
      </c>
      <c r="L574" s="213" t="s">
        <v>4590</v>
      </c>
      <c r="M574" s="213" t="s">
        <v>44</v>
      </c>
      <c r="N574" s="213" t="s">
        <v>45</v>
      </c>
      <c r="O574" s="213" t="s">
        <v>310</v>
      </c>
      <c r="P574" s="213" t="s">
        <v>43</v>
      </c>
      <c r="R574" s="483">
        <v>618</v>
      </c>
      <c r="S574" s="487">
        <v>44337</v>
      </c>
      <c r="T574" s="483" t="s">
        <v>4726</v>
      </c>
      <c r="U574" s="474">
        <v>3474800</v>
      </c>
      <c r="V574" s="407"/>
      <c r="X574" s="480" t="s">
        <v>4727</v>
      </c>
      <c r="Y574" s="481">
        <v>44362</v>
      </c>
      <c r="Z574" s="481">
        <v>44383</v>
      </c>
      <c r="AA574" s="481">
        <v>44444</v>
      </c>
      <c r="AB574" s="483" t="s">
        <v>2913</v>
      </c>
      <c r="AC574" s="480" t="s">
        <v>4728</v>
      </c>
      <c r="AD574" s="483" t="s">
        <v>4729</v>
      </c>
      <c r="AE574" s="483" t="s">
        <v>4730</v>
      </c>
      <c r="AF574" s="493">
        <v>3474800</v>
      </c>
      <c r="AG574" s="473">
        <f t="shared" si="9"/>
        <v>0</v>
      </c>
      <c r="AM574" s="213"/>
    </row>
    <row r="575" spans="1:39" hidden="1" x14ac:dyDescent="0.25">
      <c r="A575" s="475" t="s">
        <v>2634</v>
      </c>
      <c r="B575" s="418">
        <v>21000000</v>
      </c>
      <c r="C575" s="213" t="s">
        <v>2909</v>
      </c>
      <c r="D575" s="312">
        <v>566</v>
      </c>
      <c r="E575" s="312">
        <v>20211200026553</v>
      </c>
      <c r="F575" s="311">
        <v>44336</v>
      </c>
      <c r="G575" s="312" t="s">
        <v>2910</v>
      </c>
      <c r="H575" s="213" t="s">
        <v>2911</v>
      </c>
      <c r="I575" s="213" t="s">
        <v>143</v>
      </c>
      <c r="J575" s="474">
        <v>21000000</v>
      </c>
      <c r="K575" s="213" t="s">
        <v>138</v>
      </c>
      <c r="L575" s="213" t="s">
        <v>139</v>
      </c>
      <c r="M575" s="213" t="s">
        <v>44</v>
      </c>
      <c r="N575" s="213" t="s">
        <v>45</v>
      </c>
      <c r="O575" s="213" t="s">
        <v>142</v>
      </c>
      <c r="P575" s="213" t="s">
        <v>43</v>
      </c>
      <c r="R575" s="483">
        <v>619</v>
      </c>
      <c r="S575" s="487">
        <v>44337</v>
      </c>
      <c r="T575" s="483" t="s">
        <v>4731</v>
      </c>
      <c r="U575" s="474">
        <v>21000000</v>
      </c>
      <c r="V575" s="407"/>
      <c r="W575" s="363"/>
      <c r="X575" s="480" t="s">
        <v>4732</v>
      </c>
      <c r="Y575" s="481">
        <v>44347</v>
      </c>
      <c r="Z575" s="481">
        <v>44347</v>
      </c>
      <c r="AA575" s="481">
        <v>44560</v>
      </c>
      <c r="AB575" s="483" t="s">
        <v>2913</v>
      </c>
      <c r="AC575" s="480" t="s">
        <v>4425</v>
      </c>
      <c r="AD575" s="483" t="s">
        <v>4733</v>
      </c>
      <c r="AE575" s="483" t="s">
        <v>3435</v>
      </c>
      <c r="AF575" s="472">
        <v>21000000</v>
      </c>
      <c r="AG575" s="473">
        <f t="shared" si="9"/>
        <v>0</v>
      </c>
      <c r="AM575" s="213"/>
    </row>
    <row r="576" spans="1:39" hidden="1" x14ac:dyDescent="0.25">
      <c r="A576" s="465" t="s">
        <v>2243</v>
      </c>
      <c r="B576" s="466">
        <v>36795303</v>
      </c>
      <c r="C576" s="213" t="s">
        <v>2909</v>
      </c>
      <c r="D576" s="468">
        <v>567</v>
      </c>
      <c r="E576" s="468">
        <v>20217000026563</v>
      </c>
      <c r="F576" s="386">
        <v>44336</v>
      </c>
      <c r="G576" s="468" t="s">
        <v>2910</v>
      </c>
      <c r="H576" s="467" t="s">
        <v>2911</v>
      </c>
      <c r="I576" s="467" t="s">
        <v>164</v>
      </c>
      <c r="J576" s="470">
        <v>24530202</v>
      </c>
      <c r="K576" s="467" t="s">
        <v>138</v>
      </c>
      <c r="L576" s="467" t="s">
        <v>139</v>
      </c>
      <c r="M576" s="467" t="s">
        <v>44</v>
      </c>
      <c r="N576" s="467" t="s">
        <v>45</v>
      </c>
      <c r="O576" s="467" t="s">
        <v>142</v>
      </c>
      <c r="P576" s="467" t="s">
        <v>43</v>
      </c>
      <c r="Q576" s="467"/>
      <c r="R576" s="526">
        <v>620</v>
      </c>
      <c r="S576" s="525">
        <v>44337</v>
      </c>
      <c r="T576" s="526" t="s">
        <v>4734</v>
      </c>
      <c r="U576" s="474">
        <v>24530202</v>
      </c>
      <c r="V576" s="415"/>
      <c r="X576" s="480" t="s">
        <v>4735</v>
      </c>
      <c r="Y576" s="481">
        <v>44349</v>
      </c>
      <c r="Z576" s="481">
        <v>44349</v>
      </c>
      <c r="AA576" s="481">
        <v>44532</v>
      </c>
      <c r="AB576" s="483" t="s">
        <v>2913</v>
      </c>
      <c r="AC576" s="480" t="s">
        <v>4198</v>
      </c>
      <c r="AD576" s="483" t="s">
        <v>4142</v>
      </c>
      <c r="AE576" s="483" t="s">
        <v>4143</v>
      </c>
      <c r="AF576" s="493">
        <v>24530202</v>
      </c>
      <c r="AG576" s="473">
        <f t="shared" si="9"/>
        <v>0</v>
      </c>
      <c r="AI576" s="470"/>
      <c r="AJ576" s="470"/>
      <c r="AK576" s="470"/>
      <c r="AL576" s="470"/>
      <c r="AM576" s="213"/>
    </row>
    <row r="577" spans="1:39" hidden="1" x14ac:dyDescent="0.25">
      <c r="A577" s="475" t="s">
        <v>2716</v>
      </c>
      <c r="B577" s="476">
        <v>14536416</v>
      </c>
      <c r="C577" s="213" t="s">
        <v>2909</v>
      </c>
      <c r="D577" s="312">
        <v>568</v>
      </c>
      <c r="E577" s="312">
        <v>20211300026663</v>
      </c>
      <c r="F577" s="311">
        <v>44336</v>
      </c>
      <c r="G577" s="312" t="s">
        <v>2910</v>
      </c>
      <c r="H577" s="213" t="s">
        <v>2911</v>
      </c>
      <c r="I577" s="213" t="s">
        <v>210</v>
      </c>
      <c r="J577" s="474">
        <v>14536416</v>
      </c>
      <c r="K577" s="213" t="s">
        <v>138</v>
      </c>
      <c r="L577" s="213" t="s">
        <v>139</v>
      </c>
      <c r="M577" s="213" t="s">
        <v>44</v>
      </c>
      <c r="N577" s="213" t="s">
        <v>45</v>
      </c>
      <c r="O577" s="213" t="s">
        <v>142</v>
      </c>
      <c r="P577" s="213" t="s">
        <v>43</v>
      </c>
      <c r="R577" s="483">
        <v>621</v>
      </c>
      <c r="S577" s="487">
        <v>44337</v>
      </c>
      <c r="T577" s="483" t="s">
        <v>4736</v>
      </c>
      <c r="U577" s="474">
        <v>14536416</v>
      </c>
      <c r="V577" s="407"/>
      <c r="X577" s="480" t="s">
        <v>4737</v>
      </c>
      <c r="Y577" s="481">
        <v>44355</v>
      </c>
      <c r="Z577" s="481">
        <v>44355</v>
      </c>
      <c r="AA577" s="481">
        <v>44476</v>
      </c>
      <c r="AB577" s="483" t="s">
        <v>2913</v>
      </c>
      <c r="AC577" s="480" t="s">
        <v>4035</v>
      </c>
      <c r="AD577" s="483" t="s">
        <v>4349</v>
      </c>
      <c r="AE577" s="483" t="s">
        <v>4350</v>
      </c>
      <c r="AF577" s="493">
        <v>14536416</v>
      </c>
      <c r="AG577" s="473">
        <f t="shared" si="9"/>
        <v>0</v>
      </c>
      <c r="AM577" s="213"/>
    </row>
    <row r="578" spans="1:39" hidden="1" x14ac:dyDescent="0.25">
      <c r="A578" s="475" t="s">
        <v>2715</v>
      </c>
      <c r="B578" s="476">
        <v>35432514</v>
      </c>
      <c r="C578" s="213" t="s">
        <v>2909</v>
      </c>
      <c r="D578" s="312">
        <v>569</v>
      </c>
      <c r="E578" s="312">
        <v>20211300026673</v>
      </c>
      <c r="F578" s="311">
        <v>44336</v>
      </c>
      <c r="G578" s="312" t="s">
        <v>2910</v>
      </c>
      <c r="H578" s="213" t="s">
        <v>2911</v>
      </c>
      <c r="I578" s="213" t="s">
        <v>210</v>
      </c>
      <c r="J578" s="474">
        <v>29527095</v>
      </c>
      <c r="K578" s="213" t="s">
        <v>138</v>
      </c>
      <c r="L578" s="213" t="s">
        <v>139</v>
      </c>
      <c r="M578" s="213" t="s">
        <v>44</v>
      </c>
      <c r="N578" s="213" t="s">
        <v>45</v>
      </c>
      <c r="O578" s="213" t="s">
        <v>142</v>
      </c>
      <c r="P578" s="213" t="s">
        <v>43</v>
      </c>
      <c r="R578" s="483">
        <v>622</v>
      </c>
      <c r="S578" s="487">
        <v>44337</v>
      </c>
      <c r="T578" s="483" t="s">
        <v>4738</v>
      </c>
      <c r="U578" s="474">
        <v>29527095</v>
      </c>
      <c r="V578" s="407"/>
      <c r="X578" s="480" t="s">
        <v>4739</v>
      </c>
      <c r="Y578" s="481">
        <v>44355</v>
      </c>
      <c r="Z578" s="481">
        <v>44355</v>
      </c>
      <c r="AA578" s="481">
        <v>44507</v>
      </c>
      <c r="AB578" s="483" t="s">
        <v>2913</v>
      </c>
      <c r="AC578" s="480" t="s">
        <v>3887</v>
      </c>
      <c r="AD578" s="483" t="s">
        <v>4326</v>
      </c>
      <c r="AE578" s="483" t="s">
        <v>4327</v>
      </c>
      <c r="AF578" s="493">
        <v>29527095</v>
      </c>
      <c r="AG578" s="473">
        <f t="shared" si="9"/>
        <v>0</v>
      </c>
      <c r="AM578" s="213"/>
    </row>
    <row r="579" spans="1:39" s="211" customFormat="1" hidden="1" x14ac:dyDescent="0.25">
      <c r="A579" s="314" t="s">
        <v>2643</v>
      </c>
      <c r="B579" s="420">
        <v>32706936</v>
      </c>
      <c r="C579" s="213" t="s">
        <v>2909</v>
      </c>
      <c r="D579" s="310">
        <v>570</v>
      </c>
      <c r="E579" s="310">
        <v>20217000026753</v>
      </c>
      <c r="F579" s="311">
        <v>44336</v>
      </c>
      <c r="G579" s="310" t="s">
        <v>2910</v>
      </c>
      <c r="H579" s="211" t="s">
        <v>2911</v>
      </c>
      <c r="I579" s="211" t="s">
        <v>164</v>
      </c>
      <c r="J579" s="408">
        <v>22081128</v>
      </c>
      <c r="K579" s="211" t="s">
        <v>138</v>
      </c>
      <c r="L579" s="211" t="s">
        <v>139</v>
      </c>
      <c r="M579" s="211" t="s">
        <v>44</v>
      </c>
      <c r="N579" s="211" t="s">
        <v>45</v>
      </c>
      <c r="O579" s="211" t="s">
        <v>142</v>
      </c>
      <c r="P579" s="211" t="s">
        <v>43</v>
      </c>
      <c r="R579" s="483">
        <v>623</v>
      </c>
      <c r="S579" s="487">
        <v>44337</v>
      </c>
      <c r="T579" s="483" t="s">
        <v>4740</v>
      </c>
      <c r="U579" s="474">
        <v>22081128</v>
      </c>
      <c r="V579" s="416"/>
      <c r="W579" s="462"/>
      <c r="X579" s="480" t="s">
        <v>4741</v>
      </c>
      <c r="Y579" s="481">
        <v>44351</v>
      </c>
      <c r="Z579" s="481">
        <v>44351</v>
      </c>
      <c r="AA579" s="481">
        <v>44533</v>
      </c>
      <c r="AB579" s="483" t="s">
        <v>2913</v>
      </c>
      <c r="AC579" s="480" t="s">
        <v>3857</v>
      </c>
      <c r="AD579" s="483" t="s">
        <v>4150</v>
      </c>
      <c r="AE579" s="483" t="s">
        <v>4151</v>
      </c>
      <c r="AF579" s="493">
        <v>21804624</v>
      </c>
      <c r="AG579" s="473">
        <f t="shared" si="9"/>
        <v>276504</v>
      </c>
      <c r="AH579" s="408"/>
      <c r="AI579" s="408"/>
      <c r="AJ579" s="408"/>
      <c r="AK579" s="408"/>
      <c r="AL579" s="474"/>
      <c r="AM579" s="213"/>
    </row>
    <row r="580" spans="1:39" hidden="1" x14ac:dyDescent="0.25">
      <c r="C580" s="213" t="s">
        <v>4742</v>
      </c>
      <c r="D580" s="312">
        <v>571</v>
      </c>
      <c r="E580" s="312">
        <v>20213000026803</v>
      </c>
      <c r="F580" s="311">
        <v>44337</v>
      </c>
      <c r="G580" s="312" t="s">
        <v>2903</v>
      </c>
      <c r="H580" s="213" t="s">
        <v>2904</v>
      </c>
      <c r="I580" s="213" t="s">
        <v>432</v>
      </c>
      <c r="J580" s="408">
        <v>22516000</v>
      </c>
      <c r="K580" s="213" t="s">
        <v>342</v>
      </c>
      <c r="L580" s="213" t="s">
        <v>343</v>
      </c>
      <c r="M580" s="213" t="s">
        <v>44</v>
      </c>
      <c r="N580" s="213" t="s">
        <v>45</v>
      </c>
      <c r="O580" s="213" t="s">
        <v>310</v>
      </c>
      <c r="P580" s="213" t="s">
        <v>678</v>
      </c>
      <c r="R580" s="695">
        <v>625</v>
      </c>
      <c r="S580" s="487">
        <v>44337</v>
      </c>
      <c r="T580" s="483" t="s">
        <v>4743</v>
      </c>
      <c r="U580" s="474">
        <v>22516000</v>
      </c>
      <c r="V580" s="407"/>
      <c r="W580" s="363"/>
      <c r="AG580" s="473">
        <f t="shared" si="9"/>
        <v>22516000</v>
      </c>
      <c r="AM580" s="213"/>
    </row>
    <row r="581" spans="1:39" hidden="1" x14ac:dyDescent="0.25">
      <c r="A581" s="314" t="s">
        <v>2346</v>
      </c>
      <c r="B581" s="420">
        <v>36000000</v>
      </c>
      <c r="C581" s="213" t="s">
        <v>2909</v>
      </c>
      <c r="D581" s="312">
        <v>572</v>
      </c>
      <c r="E581" s="312">
        <v>20214000026953</v>
      </c>
      <c r="F581" s="311">
        <v>44337</v>
      </c>
      <c r="G581" s="312" t="s">
        <v>2943</v>
      </c>
      <c r="H581" s="213" t="s">
        <v>2944</v>
      </c>
      <c r="I581" s="213" t="s">
        <v>47</v>
      </c>
      <c r="J581" s="474">
        <v>36000000</v>
      </c>
      <c r="K581" s="213" t="s">
        <v>37</v>
      </c>
      <c r="L581" s="213" t="s">
        <v>2945</v>
      </c>
      <c r="M581" s="213" t="s">
        <v>44</v>
      </c>
      <c r="N581" s="213" t="s">
        <v>45</v>
      </c>
      <c r="O581" s="213" t="s">
        <v>310</v>
      </c>
      <c r="P581" s="213" t="s">
        <v>43</v>
      </c>
      <c r="R581" s="533">
        <v>626</v>
      </c>
      <c r="S581" s="487">
        <v>44337</v>
      </c>
      <c r="T581" s="483" t="s">
        <v>4744</v>
      </c>
      <c r="U581" s="474">
        <v>36000000</v>
      </c>
      <c r="V581" s="407"/>
      <c r="X581" s="480" t="s">
        <v>4745</v>
      </c>
      <c r="Y581" s="481">
        <v>44358</v>
      </c>
      <c r="Z581" s="481">
        <v>44358</v>
      </c>
      <c r="AA581" s="481">
        <v>44540</v>
      </c>
      <c r="AB581" s="483" t="s">
        <v>2913</v>
      </c>
      <c r="AC581" s="480" t="s">
        <v>4206</v>
      </c>
      <c r="AD581" s="483" t="s">
        <v>4746</v>
      </c>
      <c r="AE581" s="483" t="s">
        <v>4747</v>
      </c>
      <c r="AF581" s="493">
        <v>30857142</v>
      </c>
      <c r="AG581" s="473">
        <f t="shared" si="9"/>
        <v>5142858</v>
      </c>
      <c r="AM581" s="213"/>
    </row>
    <row r="582" spans="1:39" hidden="1" x14ac:dyDescent="0.25">
      <c r="A582" s="314" t="s">
        <v>2440</v>
      </c>
      <c r="B582" s="420">
        <v>310700000</v>
      </c>
      <c r="C582" s="213" t="s">
        <v>4598</v>
      </c>
      <c r="D582" s="312">
        <v>573</v>
      </c>
      <c r="E582" s="312">
        <v>20215000027033</v>
      </c>
      <c r="F582" s="311">
        <v>44337</v>
      </c>
      <c r="G582" s="310" t="s">
        <v>2903</v>
      </c>
      <c r="H582" s="211" t="s">
        <v>2904</v>
      </c>
      <c r="I582" s="211" t="s">
        <v>228</v>
      </c>
      <c r="J582" s="416">
        <v>150000000</v>
      </c>
      <c r="K582" s="211" t="s">
        <v>223</v>
      </c>
      <c r="L582" s="213" t="s">
        <v>236</v>
      </c>
      <c r="M582" s="211" t="s">
        <v>44</v>
      </c>
      <c r="N582" s="211" t="s">
        <v>45</v>
      </c>
      <c r="O582" s="211" t="s">
        <v>265</v>
      </c>
      <c r="P582" s="213" t="s">
        <v>678</v>
      </c>
      <c r="R582" s="533">
        <v>627</v>
      </c>
      <c r="S582" s="487">
        <v>44337</v>
      </c>
      <c r="T582" s="483" t="s">
        <v>4599</v>
      </c>
      <c r="U582" s="690">
        <v>150000000</v>
      </c>
      <c r="V582" s="407"/>
      <c r="W582" s="363"/>
      <c r="AG582" s="473">
        <f t="shared" si="9"/>
        <v>150000000</v>
      </c>
      <c r="AM582" s="213"/>
    </row>
    <row r="583" spans="1:39" s="313" customFormat="1" hidden="1" x14ac:dyDescent="0.25">
      <c r="A583" s="362"/>
      <c r="B583" s="418" t="s">
        <v>4653</v>
      </c>
      <c r="C583" s="313" t="s">
        <v>4748</v>
      </c>
      <c r="D583" s="326">
        <v>574</v>
      </c>
      <c r="E583" s="326">
        <v>20215000027133</v>
      </c>
      <c r="F583" s="316">
        <v>44342</v>
      </c>
      <c r="G583" s="326" t="s">
        <v>2903</v>
      </c>
      <c r="H583" s="313" t="s">
        <v>2904</v>
      </c>
      <c r="I583" s="313" t="s">
        <v>228</v>
      </c>
      <c r="J583" s="407">
        <v>57120000</v>
      </c>
      <c r="K583" s="313" t="s">
        <v>223</v>
      </c>
      <c r="L583" s="313" t="s">
        <v>236</v>
      </c>
      <c r="M583" s="313" t="s">
        <v>44</v>
      </c>
      <c r="N583" s="313" t="s">
        <v>45</v>
      </c>
      <c r="O583" s="313" t="s">
        <v>63</v>
      </c>
      <c r="P583" s="313" t="s">
        <v>678</v>
      </c>
      <c r="R583" s="389">
        <v>630</v>
      </c>
      <c r="S583" s="316">
        <v>44343</v>
      </c>
      <c r="T583" s="313" t="s">
        <v>4748</v>
      </c>
      <c r="U583" s="406">
        <f>57120000-57120000</f>
        <v>0</v>
      </c>
      <c r="V583" s="407">
        <v>57120000</v>
      </c>
      <c r="W583" s="363" t="s">
        <v>1757</v>
      </c>
      <c r="X583" s="315"/>
      <c r="Y583" s="359"/>
      <c r="Z583" s="359"/>
      <c r="AA583" s="359"/>
      <c r="AB583" s="318"/>
      <c r="AC583" s="317"/>
      <c r="AD583" s="318"/>
      <c r="AF583" s="411"/>
      <c r="AG583" s="319">
        <f t="shared" si="9"/>
        <v>0</v>
      </c>
      <c r="AH583" s="406"/>
      <c r="AI583" s="406"/>
      <c r="AJ583" s="406"/>
      <c r="AK583" s="406"/>
      <c r="AL583" s="406"/>
      <c r="AM583" s="213"/>
    </row>
    <row r="584" spans="1:39" s="313" customFormat="1" hidden="1" x14ac:dyDescent="0.25">
      <c r="A584" s="362" t="s">
        <v>4749</v>
      </c>
      <c r="B584" s="418">
        <v>20000000</v>
      </c>
      <c r="C584" s="313" t="s">
        <v>4750</v>
      </c>
      <c r="D584" s="326">
        <v>575</v>
      </c>
      <c r="E584" s="326">
        <v>20213000027343</v>
      </c>
      <c r="F584" s="316">
        <v>44342</v>
      </c>
      <c r="G584" s="326" t="s">
        <v>2903</v>
      </c>
      <c r="H584" s="313" t="s">
        <v>2904</v>
      </c>
      <c r="I584" s="313" t="s">
        <v>432</v>
      </c>
      <c r="J584" s="407">
        <v>20000000</v>
      </c>
      <c r="K584" s="313" t="s">
        <v>342</v>
      </c>
      <c r="L584" s="313" t="s">
        <v>351</v>
      </c>
      <c r="M584" s="313" t="s">
        <v>44</v>
      </c>
      <c r="N584" s="313" t="s">
        <v>45</v>
      </c>
      <c r="O584" s="313" t="s">
        <v>63</v>
      </c>
      <c r="P584" s="313" t="s">
        <v>4751</v>
      </c>
      <c r="Q584" s="313" t="s">
        <v>3563</v>
      </c>
      <c r="R584" s="389"/>
      <c r="S584" s="316"/>
      <c r="U584" s="474"/>
      <c r="V584" s="407"/>
      <c r="W584" s="400"/>
      <c r="X584" s="315"/>
      <c r="Y584" s="359"/>
      <c r="Z584" s="359"/>
      <c r="AA584" s="359"/>
      <c r="AB584" s="318"/>
      <c r="AC584" s="317"/>
      <c r="AD584" s="318"/>
      <c r="AF584" s="412"/>
      <c r="AG584" s="473">
        <f t="shared" si="9"/>
        <v>0</v>
      </c>
      <c r="AH584" s="407"/>
      <c r="AI584" s="407"/>
      <c r="AJ584" s="407"/>
      <c r="AK584" s="407"/>
      <c r="AL584" s="474"/>
      <c r="AM584" s="213"/>
    </row>
    <row r="585" spans="1:39" s="313" customFormat="1" hidden="1" x14ac:dyDescent="0.25">
      <c r="A585" s="362" t="s">
        <v>4752</v>
      </c>
      <c r="B585" s="418">
        <v>100000000</v>
      </c>
      <c r="C585" s="313" t="s">
        <v>4753</v>
      </c>
      <c r="D585" s="326">
        <v>576</v>
      </c>
      <c r="E585" s="326">
        <v>20213000027353</v>
      </c>
      <c r="F585" s="316">
        <v>44342</v>
      </c>
      <c r="G585" s="326" t="s">
        <v>2903</v>
      </c>
      <c r="H585" s="313" t="s">
        <v>2904</v>
      </c>
      <c r="I585" s="313" t="s">
        <v>432</v>
      </c>
      <c r="J585" s="407">
        <v>100000000</v>
      </c>
      <c r="K585" s="313" t="s">
        <v>342</v>
      </c>
      <c r="L585" s="313" t="s">
        <v>351</v>
      </c>
      <c r="M585" s="313" t="s">
        <v>44</v>
      </c>
      <c r="N585" s="313" t="s">
        <v>45</v>
      </c>
      <c r="O585" s="313" t="s">
        <v>63</v>
      </c>
      <c r="P585" s="313" t="s">
        <v>4751</v>
      </c>
      <c r="Q585" s="313" t="s">
        <v>3563</v>
      </c>
      <c r="S585" s="316"/>
      <c r="U585" s="407"/>
      <c r="V585" s="407"/>
      <c r="W585" s="400"/>
      <c r="X585" s="315"/>
      <c r="Y585" s="359"/>
      <c r="Z585" s="359"/>
      <c r="AA585" s="359"/>
      <c r="AB585" s="318"/>
      <c r="AC585" s="317"/>
      <c r="AD585" s="318"/>
      <c r="AF585" s="412"/>
      <c r="AG585" s="473">
        <f t="shared" si="9"/>
        <v>0</v>
      </c>
      <c r="AH585" s="407"/>
      <c r="AI585" s="407"/>
      <c r="AJ585" s="407"/>
      <c r="AK585" s="407"/>
      <c r="AL585" s="474"/>
      <c r="AM585" s="213"/>
    </row>
    <row r="586" spans="1:39" hidden="1" x14ac:dyDescent="0.25">
      <c r="A586" s="314" t="s">
        <v>2479</v>
      </c>
      <c r="B586" s="420">
        <v>29072832</v>
      </c>
      <c r="C586" s="213" t="s">
        <v>2909</v>
      </c>
      <c r="D586" s="312">
        <v>577</v>
      </c>
      <c r="E586" s="312">
        <v>20211300027503</v>
      </c>
      <c r="F586" s="311">
        <v>44342</v>
      </c>
      <c r="G586" s="312" t="s">
        <v>2910</v>
      </c>
      <c r="H586" s="213" t="s">
        <v>2911</v>
      </c>
      <c r="I586" s="213" t="s">
        <v>210</v>
      </c>
      <c r="J586" s="474">
        <v>29072832</v>
      </c>
      <c r="K586" s="213" t="s">
        <v>138</v>
      </c>
      <c r="L586" s="213" t="s">
        <v>139</v>
      </c>
      <c r="M586" s="213" t="s">
        <v>44</v>
      </c>
      <c r="N586" s="213" t="s">
        <v>45</v>
      </c>
      <c r="O586" s="213" t="s">
        <v>142</v>
      </c>
      <c r="P586" s="213" t="s">
        <v>43</v>
      </c>
      <c r="R586" s="213">
        <v>631</v>
      </c>
      <c r="S586" s="477">
        <v>44343</v>
      </c>
      <c r="T586" s="213" t="s">
        <v>2479</v>
      </c>
      <c r="U586" s="474">
        <v>29072832</v>
      </c>
      <c r="V586" s="407"/>
      <c r="W586" s="363"/>
      <c r="AG586" s="473">
        <f t="shared" si="9"/>
        <v>29072832</v>
      </c>
      <c r="AM586" s="213"/>
    </row>
    <row r="587" spans="1:39" hidden="1" x14ac:dyDescent="0.25">
      <c r="A587" s="314" t="s">
        <v>2341</v>
      </c>
      <c r="B587" s="420">
        <v>28800000</v>
      </c>
      <c r="C587" s="213" t="s">
        <v>2909</v>
      </c>
      <c r="D587" s="312">
        <v>578</v>
      </c>
      <c r="E587" s="312">
        <v>20215000027553</v>
      </c>
      <c r="F587" s="311">
        <v>44342</v>
      </c>
      <c r="G587" s="310" t="s">
        <v>2903</v>
      </c>
      <c r="H587" s="211" t="s">
        <v>2904</v>
      </c>
      <c r="I587" s="211" t="s">
        <v>228</v>
      </c>
      <c r="J587" s="416">
        <v>13666667</v>
      </c>
      <c r="K587" s="211" t="s">
        <v>223</v>
      </c>
      <c r="L587" s="213" t="s">
        <v>236</v>
      </c>
      <c r="M587" s="211" t="s">
        <v>44</v>
      </c>
      <c r="N587" s="211" t="s">
        <v>45</v>
      </c>
      <c r="O587" s="211" t="s">
        <v>63</v>
      </c>
      <c r="P587" s="213" t="s">
        <v>678</v>
      </c>
      <c r="R587" s="213">
        <v>632</v>
      </c>
      <c r="S587" s="477">
        <v>44343</v>
      </c>
      <c r="T587" s="213" t="s">
        <v>2341</v>
      </c>
      <c r="U587" s="474">
        <f>13666667-666667</f>
        <v>13000000</v>
      </c>
      <c r="V587" s="407">
        <v>666667</v>
      </c>
      <c r="W587" s="677" t="s">
        <v>1757</v>
      </c>
      <c r="X587" s="480" t="s">
        <v>4754</v>
      </c>
      <c r="Y587" s="481">
        <v>44363</v>
      </c>
      <c r="Z587" s="481">
        <v>44363</v>
      </c>
      <c r="AA587" s="481">
        <v>44560</v>
      </c>
      <c r="AB587" s="483" t="s">
        <v>2913</v>
      </c>
      <c r="AC587" s="480" t="s">
        <v>4442</v>
      </c>
      <c r="AD587" s="483" t="s">
        <v>4755</v>
      </c>
      <c r="AE587" s="483" t="s">
        <v>4756</v>
      </c>
      <c r="AF587" s="493">
        <v>13000000</v>
      </c>
      <c r="AG587" s="473">
        <f t="shared" si="9"/>
        <v>0</v>
      </c>
      <c r="AM587" s="213"/>
    </row>
    <row r="588" spans="1:39" hidden="1" x14ac:dyDescent="0.25">
      <c r="A588" s="314" t="s">
        <v>2512</v>
      </c>
      <c r="B588" s="420">
        <v>39900000</v>
      </c>
      <c r="C588" s="213" t="s">
        <v>2909</v>
      </c>
      <c r="D588" s="312">
        <v>579</v>
      </c>
      <c r="E588" s="312">
        <v>20214000027603</v>
      </c>
      <c r="F588" s="311">
        <v>44344</v>
      </c>
      <c r="G588" s="312" t="s">
        <v>2936</v>
      </c>
      <c r="H588" s="213" t="s">
        <v>2937</v>
      </c>
      <c r="I588" s="213" t="s">
        <v>117</v>
      </c>
      <c r="J588" s="427">
        <v>34972000</v>
      </c>
      <c r="K588" s="213" t="s">
        <v>112</v>
      </c>
      <c r="L588" s="213" t="s">
        <v>2938</v>
      </c>
      <c r="M588" s="213" t="s">
        <v>44</v>
      </c>
      <c r="N588" s="213" t="s">
        <v>45</v>
      </c>
      <c r="O588" s="213" t="s">
        <v>63</v>
      </c>
      <c r="P588" s="213" t="s">
        <v>43</v>
      </c>
      <c r="R588" s="213">
        <v>634</v>
      </c>
      <c r="S588" s="487">
        <v>44347</v>
      </c>
      <c r="T588" s="483" t="s">
        <v>4757</v>
      </c>
      <c r="U588" s="474">
        <v>34972000</v>
      </c>
      <c r="V588" s="407"/>
      <c r="X588" s="480" t="s">
        <v>4758</v>
      </c>
      <c r="Y588" s="481">
        <v>44355</v>
      </c>
      <c r="Z588" s="481">
        <v>44355</v>
      </c>
      <c r="AA588" s="481">
        <v>44557</v>
      </c>
      <c r="AB588" s="483" t="s">
        <v>2913</v>
      </c>
      <c r="AC588" s="480" t="s">
        <v>4190</v>
      </c>
      <c r="AD588" s="483" t="s">
        <v>4759</v>
      </c>
      <c r="AE588" s="483" t="s">
        <v>3033</v>
      </c>
      <c r="AF588" s="493">
        <v>33306666</v>
      </c>
      <c r="AG588" s="473">
        <f t="shared" si="9"/>
        <v>1665334</v>
      </c>
      <c r="AM588" s="213"/>
    </row>
    <row r="589" spans="1:39" hidden="1" x14ac:dyDescent="0.25">
      <c r="A589" s="314" t="s">
        <v>2482</v>
      </c>
      <c r="B589" s="420">
        <v>32704000</v>
      </c>
      <c r="C589" s="213" t="s">
        <v>2909</v>
      </c>
      <c r="D589" s="312">
        <v>580</v>
      </c>
      <c r="E589" s="312">
        <v>20214000027783</v>
      </c>
      <c r="F589" s="311">
        <v>44344</v>
      </c>
      <c r="G589" s="312" t="s">
        <v>2936</v>
      </c>
      <c r="H589" s="213" t="s">
        <v>2937</v>
      </c>
      <c r="I589" s="213" t="s">
        <v>117</v>
      </c>
      <c r="J589" s="427">
        <v>24528000</v>
      </c>
      <c r="K589" s="213" t="s">
        <v>112</v>
      </c>
      <c r="L589" s="213" t="s">
        <v>2938</v>
      </c>
      <c r="M589" s="213" t="s">
        <v>44</v>
      </c>
      <c r="N589" s="213" t="s">
        <v>45</v>
      </c>
      <c r="O589" s="213" t="s">
        <v>63</v>
      </c>
      <c r="P589" s="213" t="s">
        <v>43</v>
      </c>
      <c r="R589" s="213">
        <v>636</v>
      </c>
      <c r="S589" s="487">
        <v>44347</v>
      </c>
      <c r="T589" s="483" t="s">
        <v>4760</v>
      </c>
      <c r="U589" s="474">
        <v>24528000</v>
      </c>
      <c r="V589" s="407"/>
      <c r="W589" s="463"/>
      <c r="X589" s="480" t="s">
        <v>4761</v>
      </c>
      <c r="Y589" s="481">
        <v>44358</v>
      </c>
      <c r="Z589" s="481">
        <v>44358</v>
      </c>
      <c r="AA589" s="481">
        <v>44540</v>
      </c>
      <c r="AB589" s="483" t="s">
        <v>2913</v>
      </c>
      <c r="AC589" s="480" t="s">
        <v>4339</v>
      </c>
      <c r="AD589" s="483" t="s">
        <v>4762</v>
      </c>
      <c r="AE589" s="483" t="s">
        <v>4763</v>
      </c>
      <c r="AF589" s="493">
        <v>24528000</v>
      </c>
      <c r="AG589" s="473">
        <f t="shared" si="9"/>
        <v>0</v>
      </c>
      <c r="AM589" s="213"/>
    </row>
    <row r="590" spans="1:39" hidden="1" x14ac:dyDescent="0.25">
      <c r="A590" s="314" t="s">
        <v>2602</v>
      </c>
      <c r="B590" s="420">
        <v>85500000</v>
      </c>
      <c r="C590" s="213" t="s">
        <v>2909</v>
      </c>
      <c r="D590" s="312">
        <v>581</v>
      </c>
      <c r="E590" s="312">
        <v>20216000027703</v>
      </c>
      <c r="F590" s="311">
        <v>44344</v>
      </c>
      <c r="G590" s="312" t="s">
        <v>2910</v>
      </c>
      <c r="H590" s="213" t="s">
        <v>2911</v>
      </c>
      <c r="I590" s="213" t="s">
        <v>214</v>
      </c>
      <c r="J590" s="427">
        <v>56000000</v>
      </c>
      <c r="K590" s="213" t="s">
        <v>138</v>
      </c>
      <c r="L590" s="213" t="s">
        <v>139</v>
      </c>
      <c r="M590" s="213" t="s">
        <v>44</v>
      </c>
      <c r="N590" s="213" t="s">
        <v>45</v>
      </c>
      <c r="O590" s="213" t="s">
        <v>142</v>
      </c>
      <c r="P590" s="213" t="s">
        <v>43</v>
      </c>
      <c r="R590" s="213">
        <v>635</v>
      </c>
      <c r="S590" s="487">
        <v>44347</v>
      </c>
      <c r="T590" s="483" t="s">
        <v>4764</v>
      </c>
      <c r="U590" s="474">
        <v>56000000</v>
      </c>
      <c r="V590" s="407"/>
      <c r="X590" s="480" t="s">
        <v>4765</v>
      </c>
      <c r="Y590" s="481">
        <v>44370</v>
      </c>
      <c r="Z590" s="481">
        <v>44370</v>
      </c>
      <c r="AA590" s="481">
        <v>44552</v>
      </c>
      <c r="AB590" s="483" t="s">
        <v>2913</v>
      </c>
      <c r="AC590" s="480" t="s">
        <v>4527</v>
      </c>
      <c r="AD590" s="483" t="s">
        <v>4766</v>
      </c>
      <c r="AE590" s="483" t="s">
        <v>4767</v>
      </c>
      <c r="AF590" s="493">
        <v>48000000</v>
      </c>
      <c r="AG590" s="473">
        <f t="shared" si="9"/>
        <v>8000000</v>
      </c>
      <c r="AM590" s="213"/>
    </row>
    <row r="591" spans="1:39" hidden="1" x14ac:dyDescent="0.25">
      <c r="A591" s="314" t="s">
        <v>2476</v>
      </c>
      <c r="B591" s="420">
        <v>41337934</v>
      </c>
      <c r="C591" s="213" t="s">
        <v>2909</v>
      </c>
      <c r="D591" s="312">
        <v>582</v>
      </c>
      <c r="E591" s="312">
        <v>20211300027863</v>
      </c>
      <c r="F591" s="311">
        <v>44344</v>
      </c>
      <c r="G591" s="312" t="s">
        <v>2910</v>
      </c>
      <c r="H591" s="213" t="s">
        <v>2911</v>
      </c>
      <c r="I591" s="213" t="s">
        <v>210</v>
      </c>
      <c r="J591" s="427">
        <v>29527096</v>
      </c>
      <c r="K591" s="213" t="s">
        <v>138</v>
      </c>
      <c r="L591" s="213" t="s">
        <v>139</v>
      </c>
      <c r="M591" s="213" t="s">
        <v>44</v>
      </c>
      <c r="N591" s="213" t="s">
        <v>45</v>
      </c>
      <c r="O591" s="213" t="s">
        <v>142</v>
      </c>
      <c r="P591" s="213" t="s">
        <v>43</v>
      </c>
      <c r="R591" s="213">
        <v>637</v>
      </c>
      <c r="S591" s="487">
        <v>44347</v>
      </c>
      <c r="T591" s="483" t="s">
        <v>4768</v>
      </c>
      <c r="U591" s="474">
        <v>29527096</v>
      </c>
      <c r="V591" s="407"/>
      <c r="X591" s="480" t="s">
        <v>4769</v>
      </c>
      <c r="Y591" s="481">
        <v>44365</v>
      </c>
      <c r="Z591" s="481">
        <v>44365</v>
      </c>
      <c r="AA591" s="481">
        <v>44517</v>
      </c>
      <c r="AB591" s="483" t="s">
        <v>2913</v>
      </c>
      <c r="AC591" s="480" t="s">
        <v>4304</v>
      </c>
      <c r="AD591" s="483" t="s">
        <v>3994</v>
      </c>
      <c r="AE591" s="483" t="s">
        <v>3995</v>
      </c>
      <c r="AF591" s="493">
        <v>29527095</v>
      </c>
      <c r="AG591" s="473">
        <f t="shared" si="9"/>
        <v>1</v>
      </c>
      <c r="AM591" s="213"/>
    </row>
    <row r="592" spans="1:39" hidden="1" x14ac:dyDescent="0.25">
      <c r="A592" s="314" t="s">
        <v>2477</v>
      </c>
      <c r="B592" s="420">
        <v>41337934</v>
      </c>
      <c r="C592" s="213" t="s">
        <v>2909</v>
      </c>
      <c r="D592" s="312">
        <v>583</v>
      </c>
      <c r="E592" s="312">
        <v>20211300027883</v>
      </c>
      <c r="F592" s="311">
        <v>44344</v>
      </c>
      <c r="G592" s="312" t="s">
        <v>2910</v>
      </c>
      <c r="H592" s="213" t="s">
        <v>2911</v>
      </c>
      <c r="I592" s="213" t="s">
        <v>210</v>
      </c>
      <c r="J592" s="427">
        <v>29527096</v>
      </c>
      <c r="K592" s="213" t="s">
        <v>138</v>
      </c>
      <c r="L592" s="213" t="s">
        <v>139</v>
      </c>
      <c r="M592" s="213" t="s">
        <v>44</v>
      </c>
      <c r="N592" s="213" t="s">
        <v>45</v>
      </c>
      <c r="O592" s="213" t="s">
        <v>142</v>
      </c>
      <c r="P592" s="213" t="s">
        <v>43</v>
      </c>
      <c r="R592" s="213">
        <v>638</v>
      </c>
      <c r="S592" s="487">
        <v>44347</v>
      </c>
      <c r="T592" s="483" t="s">
        <v>4770</v>
      </c>
      <c r="U592" s="474">
        <v>29527096</v>
      </c>
      <c r="V592" s="407"/>
      <c r="X592" s="480" t="s">
        <v>4771</v>
      </c>
      <c r="Y592" s="481">
        <v>44369</v>
      </c>
      <c r="Z592" s="481">
        <v>44369</v>
      </c>
      <c r="AA592" s="481">
        <v>44521</v>
      </c>
      <c r="AB592" s="483" t="s">
        <v>2913</v>
      </c>
      <c r="AC592" s="480" t="s">
        <v>4380</v>
      </c>
      <c r="AD592" s="483" t="s">
        <v>4251</v>
      </c>
      <c r="AE592" s="483" t="s">
        <v>4252</v>
      </c>
      <c r="AF592" s="493">
        <v>29527095</v>
      </c>
      <c r="AG592" s="473">
        <f t="shared" si="9"/>
        <v>1</v>
      </c>
      <c r="AM592" s="213"/>
    </row>
    <row r="593" spans="1:39" hidden="1" x14ac:dyDescent="0.25">
      <c r="C593" s="213" t="s">
        <v>4772</v>
      </c>
      <c r="D593" s="312">
        <v>584</v>
      </c>
      <c r="E593" s="312">
        <v>20217000027903</v>
      </c>
      <c r="F593" s="311">
        <v>44347</v>
      </c>
      <c r="G593" s="312" t="s">
        <v>2910</v>
      </c>
      <c r="H593" s="213" t="s">
        <v>2911</v>
      </c>
      <c r="I593" s="211" t="s">
        <v>164</v>
      </c>
      <c r="J593" s="474">
        <v>234069437</v>
      </c>
      <c r="K593" s="213" t="s">
        <v>138</v>
      </c>
      <c r="L593" s="213" t="s">
        <v>139</v>
      </c>
      <c r="M593" s="213" t="s">
        <v>44</v>
      </c>
      <c r="N593" s="213" t="s">
        <v>45</v>
      </c>
      <c r="O593" s="213" t="s">
        <v>142</v>
      </c>
      <c r="P593" s="213" t="s">
        <v>43</v>
      </c>
      <c r="R593" s="213">
        <v>639</v>
      </c>
      <c r="S593" s="487">
        <v>44347</v>
      </c>
      <c r="T593" s="213" t="s">
        <v>4772</v>
      </c>
      <c r="U593" s="474">
        <v>234069437</v>
      </c>
      <c r="V593" s="407"/>
      <c r="X593" s="480" t="s">
        <v>4773</v>
      </c>
      <c r="Y593" s="481">
        <v>44348</v>
      </c>
      <c r="Z593" s="481">
        <v>44348</v>
      </c>
      <c r="AA593" s="481">
        <v>44408</v>
      </c>
      <c r="AB593" s="483" t="s">
        <v>4774</v>
      </c>
      <c r="AC593" s="480" t="s">
        <v>4212</v>
      </c>
      <c r="AD593" s="483" t="s">
        <v>4775</v>
      </c>
      <c r="AE593" s="483" t="s">
        <v>4776</v>
      </c>
      <c r="AF593" s="696">
        <v>212260942</v>
      </c>
      <c r="AG593" s="473">
        <f t="shared" si="9"/>
        <v>21808495</v>
      </c>
      <c r="AM593" s="213"/>
    </row>
    <row r="594" spans="1:39" hidden="1" x14ac:dyDescent="0.25">
      <c r="C594" s="213" t="s">
        <v>4772</v>
      </c>
      <c r="D594" s="387">
        <v>584</v>
      </c>
      <c r="E594" s="312">
        <v>20217000027903</v>
      </c>
      <c r="F594" s="311">
        <v>44347</v>
      </c>
      <c r="G594" s="312" t="s">
        <v>2943</v>
      </c>
      <c r="H594" s="213" t="s">
        <v>2944</v>
      </c>
      <c r="I594" s="213" t="s">
        <v>47</v>
      </c>
      <c r="J594" s="474">
        <v>59008248</v>
      </c>
      <c r="K594" s="213" t="s">
        <v>37</v>
      </c>
      <c r="L594" s="213" t="s">
        <v>3443</v>
      </c>
      <c r="M594" s="213" t="s">
        <v>44</v>
      </c>
      <c r="N594" s="213" t="s">
        <v>45</v>
      </c>
      <c r="O594" s="213" t="s">
        <v>142</v>
      </c>
      <c r="P594" s="213" t="s">
        <v>43</v>
      </c>
      <c r="R594" s="330">
        <v>639</v>
      </c>
      <c r="S594" s="487">
        <v>44347</v>
      </c>
      <c r="T594" s="213" t="s">
        <v>4772</v>
      </c>
      <c r="U594" s="474">
        <v>59008248</v>
      </c>
      <c r="V594" s="407"/>
      <c r="X594" s="480" t="s">
        <v>4773</v>
      </c>
      <c r="Y594" s="481">
        <v>44348</v>
      </c>
      <c r="Z594" s="481">
        <v>44348</v>
      </c>
      <c r="AA594" s="481">
        <v>44408</v>
      </c>
      <c r="AB594" s="483" t="s">
        <v>4774</v>
      </c>
      <c r="AC594" s="480" t="s">
        <v>4212</v>
      </c>
      <c r="AD594" s="483" t="s">
        <v>4775</v>
      </c>
      <c r="AE594" s="483" t="s">
        <v>4776</v>
      </c>
      <c r="AF594" s="493">
        <v>53510388</v>
      </c>
      <c r="AG594" s="473">
        <f t="shared" si="9"/>
        <v>5497860</v>
      </c>
      <c r="AM594" s="213"/>
    </row>
    <row r="595" spans="1:39" hidden="1" x14ac:dyDescent="0.25">
      <c r="A595" s="475" t="s">
        <v>2215</v>
      </c>
      <c r="B595" s="476">
        <v>59500000</v>
      </c>
      <c r="C595" s="213" t="s">
        <v>2909</v>
      </c>
      <c r="D595" s="312">
        <v>585</v>
      </c>
      <c r="E595" s="312">
        <v>20216000028303</v>
      </c>
      <c r="F595" s="477">
        <v>44349</v>
      </c>
      <c r="G595" s="312" t="s">
        <v>2910</v>
      </c>
      <c r="H595" s="213" t="s">
        <v>2911</v>
      </c>
      <c r="I595" s="213" t="s">
        <v>214</v>
      </c>
      <c r="J595" s="474">
        <v>59500000</v>
      </c>
      <c r="K595" s="213" t="s">
        <v>138</v>
      </c>
      <c r="L595" s="213" t="s">
        <v>139</v>
      </c>
      <c r="M595" s="213" t="s">
        <v>44</v>
      </c>
      <c r="N595" s="213" t="s">
        <v>45</v>
      </c>
      <c r="O595" s="213" t="s">
        <v>142</v>
      </c>
      <c r="P595" s="213" t="s">
        <v>43</v>
      </c>
      <c r="R595" s="213">
        <v>641</v>
      </c>
      <c r="S595" s="487">
        <v>44349</v>
      </c>
      <c r="T595" s="213" t="s">
        <v>4777</v>
      </c>
      <c r="U595" s="427">
        <v>59500000</v>
      </c>
      <c r="V595" s="407"/>
      <c r="X595" s="480" t="s">
        <v>4413</v>
      </c>
      <c r="Y595" s="487">
        <v>44377</v>
      </c>
      <c r="Z595" s="487">
        <v>44377</v>
      </c>
      <c r="AA595" s="487">
        <v>44559</v>
      </c>
      <c r="AB595" s="483" t="s">
        <v>2913</v>
      </c>
      <c r="AC595" s="480" t="s">
        <v>4506</v>
      </c>
      <c r="AD595" s="483" t="s">
        <v>4778</v>
      </c>
      <c r="AE595" s="483" t="s">
        <v>4779</v>
      </c>
      <c r="AF595" s="493">
        <v>51000000</v>
      </c>
      <c r="AG595" s="473">
        <f t="shared" si="9"/>
        <v>8500000</v>
      </c>
      <c r="AM595" s="213"/>
    </row>
    <row r="596" spans="1:39" s="313" customFormat="1" hidden="1" x14ac:dyDescent="0.25">
      <c r="A596" s="362" t="s">
        <v>2232</v>
      </c>
      <c r="B596" s="418">
        <v>45500000</v>
      </c>
      <c r="C596" s="313" t="s">
        <v>3025</v>
      </c>
      <c r="D596" s="326">
        <v>586</v>
      </c>
      <c r="E596" s="326">
        <v>20216000028283</v>
      </c>
      <c r="F596" s="316">
        <v>44349</v>
      </c>
      <c r="G596" s="326" t="s">
        <v>2910</v>
      </c>
      <c r="H596" s="313" t="s">
        <v>2911</v>
      </c>
      <c r="I596" s="313" t="s">
        <v>214</v>
      </c>
      <c r="J596" s="406">
        <v>42000000</v>
      </c>
      <c r="K596" s="313" t="s">
        <v>138</v>
      </c>
      <c r="L596" s="313" t="s">
        <v>139</v>
      </c>
      <c r="M596" s="313" t="s">
        <v>44</v>
      </c>
      <c r="N596" s="313" t="s">
        <v>45</v>
      </c>
      <c r="O596" s="313" t="s">
        <v>142</v>
      </c>
      <c r="P596" s="313" t="s">
        <v>43</v>
      </c>
      <c r="R596" s="313">
        <v>642</v>
      </c>
      <c r="S596" s="364">
        <v>44349</v>
      </c>
      <c r="T596" s="313" t="s">
        <v>4780</v>
      </c>
      <c r="U596" s="407">
        <f>42000000-42000000</f>
        <v>0</v>
      </c>
      <c r="V596" s="407">
        <v>42000000</v>
      </c>
      <c r="W596" s="363" t="s">
        <v>1757</v>
      </c>
      <c r="X596" s="315"/>
      <c r="Y596" s="359"/>
      <c r="Z596" s="359"/>
      <c r="AA596" s="359"/>
      <c r="AB596" s="318"/>
      <c r="AC596" s="317"/>
      <c r="AD596" s="318"/>
      <c r="AF596" s="411"/>
      <c r="AG596" s="319">
        <f t="shared" si="9"/>
        <v>0</v>
      </c>
      <c r="AH596" s="406"/>
      <c r="AI596" s="406"/>
      <c r="AJ596" s="406"/>
      <c r="AK596" s="406"/>
      <c r="AL596" s="406"/>
      <c r="AM596" s="213"/>
    </row>
    <row r="597" spans="1:39" hidden="1" x14ac:dyDescent="0.25">
      <c r="A597" s="314" t="s">
        <v>2648</v>
      </c>
      <c r="B597" s="420">
        <v>35000000</v>
      </c>
      <c r="C597" s="213" t="s">
        <v>2909</v>
      </c>
      <c r="D597" s="312">
        <v>587</v>
      </c>
      <c r="E597" s="312">
        <v>20216000028273</v>
      </c>
      <c r="F597" s="477">
        <v>44349</v>
      </c>
      <c r="G597" s="312" t="s">
        <v>2910</v>
      </c>
      <c r="H597" s="213" t="s">
        <v>2911</v>
      </c>
      <c r="I597" s="213" t="s">
        <v>214</v>
      </c>
      <c r="J597" s="427">
        <v>35000000</v>
      </c>
      <c r="K597" s="213" t="s">
        <v>138</v>
      </c>
      <c r="L597" s="213" t="s">
        <v>139</v>
      </c>
      <c r="M597" s="213" t="s">
        <v>44</v>
      </c>
      <c r="N597" s="213" t="s">
        <v>45</v>
      </c>
      <c r="O597" s="213" t="s">
        <v>142</v>
      </c>
      <c r="P597" s="213" t="s">
        <v>43</v>
      </c>
      <c r="R597" s="213">
        <v>643</v>
      </c>
      <c r="S597" s="477">
        <v>44349</v>
      </c>
      <c r="T597" s="213" t="s">
        <v>4781</v>
      </c>
      <c r="U597" s="427">
        <v>35000000</v>
      </c>
      <c r="V597" s="407"/>
      <c r="X597" s="480" t="s">
        <v>4782</v>
      </c>
      <c r="Y597" s="481">
        <v>44355</v>
      </c>
      <c r="Z597" s="481">
        <v>44355</v>
      </c>
      <c r="AA597" s="481">
        <v>44554</v>
      </c>
      <c r="AB597" s="483" t="s">
        <v>2913</v>
      </c>
      <c r="AC597" s="480" t="s">
        <v>4241</v>
      </c>
      <c r="AD597" s="483" t="s">
        <v>4783</v>
      </c>
      <c r="AE597" s="483" t="s">
        <v>4784</v>
      </c>
      <c r="AF597" s="493">
        <v>31330000</v>
      </c>
      <c r="AG597" s="473">
        <f t="shared" si="9"/>
        <v>3670000</v>
      </c>
      <c r="AM597" s="213"/>
    </row>
    <row r="598" spans="1:39" hidden="1" x14ac:dyDescent="0.25">
      <c r="A598" s="314"/>
      <c r="B598" s="420"/>
      <c r="C598" s="213" t="s">
        <v>4785</v>
      </c>
      <c r="D598" s="312">
        <v>588</v>
      </c>
      <c r="E598" s="312">
        <v>20212000028203</v>
      </c>
      <c r="F598" s="477">
        <v>44349</v>
      </c>
      <c r="G598" s="312" t="s">
        <v>2903</v>
      </c>
      <c r="H598" s="213" t="s">
        <v>2904</v>
      </c>
      <c r="I598" s="213" t="s">
        <v>391</v>
      </c>
      <c r="J598" s="427">
        <v>490454490</v>
      </c>
      <c r="K598" s="213" t="s">
        <v>2974</v>
      </c>
      <c r="L598" s="213" t="s">
        <v>4786</v>
      </c>
      <c r="M598" s="213" t="s">
        <v>44</v>
      </c>
      <c r="N598" s="213" t="s">
        <v>3199</v>
      </c>
      <c r="O598" s="213" t="s">
        <v>255</v>
      </c>
      <c r="P598" s="213" t="s">
        <v>4670</v>
      </c>
      <c r="R598" s="213">
        <v>644</v>
      </c>
      <c r="S598" s="477">
        <v>44349</v>
      </c>
      <c r="T598" s="213" t="s">
        <v>4787</v>
      </c>
      <c r="U598" s="474">
        <v>490454490</v>
      </c>
      <c r="V598" s="407"/>
      <c r="X598" s="480" t="s">
        <v>4788</v>
      </c>
      <c r="Y598" s="481">
        <v>44355</v>
      </c>
      <c r="Z598" s="481">
        <v>44355</v>
      </c>
      <c r="AA598" s="481">
        <v>44561</v>
      </c>
      <c r="AB598" s="483" t="s">
        <v>3369</v>
      </c>
      <c r="AC598" s="480" t="s">
        <v>3783</v>
      </c>
      <c r="AD598" s="483" t="s">
        <v>3806</v>
      </c>
      <c r="AE598" s="483" t="s">
        <v>3807</v>
      </c>
      <c r="AF598" s="493">
        <v>490454490</v>
      </c>
      <c r="AG598" s="473">
        <f t="shared" si="9"/>
        <v>0</v>
      </c>
      <c r="AM598" s="307">
        <v>490454490</v>
      </c>
    </row>
    <row r="599" spans="1:39" hidden="1" x14ac:dyDescent="0.25">
      <c r="A599" s="314" t="s">
        <v>1999</v>
      </c>
      <c r="B599" s="420">
        <v>20000000</v>
      </c>
      <c r="C599" s="213" t="s">
        <v>4789</v>
      </c>
      <c r="D599" s="312">
        <v>589</v>
      </c>
      <c r="E599" s="312">
        <v>20213000027343</v>
      </c>
      <c r="F599" s="477">
        <v>44349</v>
      </c>
      <c r="G599" s="379" t="s">
        <v>2903</v>
      </c>
      <c r="H599" s="378" t="s">
        <v>2904</v>
      </c>
      <c r="I599" s="378" t="s">
        <v>432</v>
      </c>
      <c r="J599" s="425">
        <v>20000000</v>
      </c>
      <c r="K599" s="467" t="s">
        <v>342</v>
      </c>
      <c r="L599" s="378" t="s">
        <v>351</v>
      </c>
      <c r="M599" s="378" t="s">
        <v>44</v>
      </c>
      <c r="N599" s="378" t="s">
        <v>45</v>
      </c>
      <c r="O599" s="378" t="s">
        <v>63</v>
      </c>
      <c r="P599" s="378" t="s">
        <v>4751</v>
      </c>
      <c r="Q599" s="467"/>
      <c r="R599" s="213">
        <v>647</v>
      </c>
      <c r="S599" s="477">
        <v>44349</v>
      </c>
      <c r="T599" s="213" t="s">
        <v>1999</v>
      </c>
      <c r="U599" s="474">
        <v>20000000</v>
      </c>
      <c r="V599" s="407"/>
      <c r="W599" s="363"/>
      <c r="AF599" s="493"/>
      <c r="AG599" s="473">
        <f t="shared" si="9"/>
        <v>20000000</v>
      </c>
      <c r="AM599" s="213"/>
    </row>
    <row r="600" spans="1:39" hidden="1" x14ac:dyDescent="0.25">
      <c r="A600" s="314" t="s">
        <v>2538</v>
      </c>
      <c r="B600" s="420">
        <v>100000000</v>
      </c>
      <c r="C600" s="213" t="s">
        <v>4790</v>
      </c>
      <c r="D600" s="312">
        <v>590</v>
      </c>
      <c r="E600" s="312">
        <v>20213000027353</v>
      </c>
      <c r="F600" s="477">
        <v>44349</v>
      </c>
      <c r="G600" s="379" t="s">
        <v>2903</v>
      </c>
      <c r="H600" s="378" t="s">
        <v>2904</v>
      </c>
      <c r="I600" s="378" t="s">
        <v>432</v>
      </c>
      <c r="J600" s="425">
        <v>100000000</v>
      </c>
      <c r="K600" s="467" t="s">
        <v>342</v>
      </c>
      <c r="L600" s="378" t="s">
        <v>351</v>
      </c>
      <c r="M600" s="378" t="s">
        <v>44</v>
      </c>
      <c r="N600" s="378" t="s">
        <v>45</v>
      </c>
      <c r="O600" s="378" t="s">
        <v>63</v>
      </c>
      <c r="P600" s="378" t="s">
        <v>4751</v>
      </c>
      <c r="R600" s="213">
        <v>646</v>
      </c>
      <c r="S600" s="477">
        <v>44349</v>
      </c>
      <c r="T600" s="213" t="s">
        <v>2538</v>
      </c>
      <c r="U600" s="474">
        <v>100000000</v>
      </c>
      <c r="V600" s="407"/>
      <c r="W600" s="363"/>
      <c r="AF600" s="493"/>
      <c r="AG600" s="473">
        <f t="shared" si="9"/>
        <v>100000000</v>
      </c>
      <c r="AM600" s="213"/>
    </row>
    <row r="601" spans="1:39" hidden="1" x14ac:dyDescent="0.25">
      <c r="A601" s="314" t="s">
        <v>2727</v>
      </c>
      <c r="B601" s="420">
        <v>24589800</v>
      </c>
      <c r="C601" s="213" t="s">
        <v>2909</v>
      </c>
      <c r="D601" s="312">
        <v>591</v>
      </c>
      <c r="E601" s="312">
        <v>20213000027953</v>
      </c>
      <c r="F601" s="477">
        <v>44349</v>
      </c>
      <c r="G601" s="379" t="s">
        <v>2903</v>
      </c>
      <c r="H601" s="378" t="s">
        <v>2904</v>
      </c>
      <c r="I601" s="378" t="s">
        <v>432</v>
      </c>
      <c r="J601" s="425">
        <v>24530202</v>
      </c>
      <c r="K601" s="467" t="s">
        <v>342</v>
      </c>
      <c r="L601" s="378" t="s">
        <v>351</v>
      </c>
      <c r="M601" s="378" t="s">
        <v>44</v>
      </c>
      <c r="N601" s="378" t="s">
        <v>45</v>
      </c>
      <c r="O601" s="378" t="s">
        <v>63</v>
      </c>
      <c r="P601" s="378" t="s">
        <v>678</v>
      </c>
      <c r="R601" s="213">
        <v>645</v>
      </c>
      <c r="S601" s="477">
        <v>44349</v>
      </c>
      <c r="T601" s="213" t="s">
        <v>2727</v>
      </c>
      <c r="U601" s="474">
        <v>24530202</v>
      </c>
      <c r="V601" s="407"/>
      <c r="X601" s="480" t="s">
        <v>4791</v>
      </c>
      <c r="Y601" s="481">
        <v>44362</v>
      </c>
      <c r="Z601" s="481">
        <v>44362</v>
      </c>
      <c r="AA601" s="481">
        <v>44544</v>
      </c>
      <c r="AB601" s="483" t="s">
        <v>2913</v>
      </c>
      <c r="AC601" s="480" t="s">
        <v>4792</v>
      </c>
      <c r="AD601" s="483" t="s">
        <v>4793</v>
      </c>
      <c r="AE601" s="483" t="s">
        <v>3242</v>
      </c>
      <c r="AF601" s="493">
        <v>24530202</v>
      </c>
      <c r="AG601" s="473">
        <f t="shared" si="9"/>
        <v>0</v>
      </c>
      <c r="AM601" s="213"/>
    </row>
    <row r="602" spans="1:39" s="313" customFormat="1" hidden="1" x14ac:dyDescent="0.25">
      <c r="A602" s="362"/>
      <c r="B602" s="418"/>
      <c r="C602" s="313" t="s">
        <v>4794</v>
      </c>
      <c r="D602" s="326">
        <v>592</v>
      </c>
      <c r="E602" s="326">
        <v>20213000028183</v>
      </c>
      <c r="F602" s="316">
        <v>44349</v>
      </c>
      <c r="G602" s="382" t="s">
        <v>2903</v>
      </c>
      <c r="H602" s="365" t="s">
        <v>2904</v>
      </c>
      <c r="I602" s="365" t="s">
        <v>432</v>
      </c>
      <c r="J602" s="409">
        <v>8176734</v>
      </c>
      <c r="K602" s="365" t="s">
        <v>342</v>
      </c>
      <c r="L602" s="365" t="s">
        <v>351</v>
      </c>
      <c r="M602" s="365" t="s">
        <v>44</v>
      </c>
      <c r="N602" s="365" t="s">
        <v>45</v>
      </c>
      <c r="O602" s="365" t="s">
        <v>63</v>
      </c>
      <c r="P602" s="365" t="s">
        <v>678</v>
      </c>
      <c r="Q602" s="313" t="s">
        <v>3563</v>
      </c>
      <c r="S602" s="316"/>
      <c r="U602" s="406"/>
      <c r="V602" s="407"/>
      <c r="W602" s="363"/>
      <c r="X602" s="315"/>
      <c r="Y602" s="359"/>
      <c r="Z602" s="359"/>
      <c r="AA602" s="359"/>
      <c r="AB602" s="318"/>
      <c r="AC602" s="317"/>
      <c r="AD602" s="318"/>
      <c r="AF602" s="493"/>
      <c r="AG602" s="319">
        <f t="shared" si="9"/>
        <v>0</v>
      </c>
      <c r="AH602" s="406"/>
      <c r="AI602" s="406"/>
      <c r="AJ602" s="406"/>
      <c r="AK602" s="406"/>
      <c r="AL602" s="406"/>
      <c r="AM602" s="213"/>
    </row>
    <row r="603" spans="1:39" hidden="1" x14ac:dyDescent="0.25">
      <c r="A603" s="314" t="s">
        <v>4407</v>
      </c>
      <c r="B603" s="420">
        <v>117952800</v>
      </c>
      <c r="C603" s="213" t="s">
        <v>4795</v>
      </c>
      <c r="D603" s="312">
        <v>593</v>
      </c>
      <c r="E603" s="312">
        <v>20215000028213</v>
      </c>
      <c r="F603" s="477">
        <v>44350</v>
      </c>
      <c r="G603" s="310" t="s">
        <v>2903</v>
      </c>
      <c r="H603" s="211" t="s">
        <v>2904</v>
      </c>
      <c r="I603" s="211" t="s">
        <v>228</v>
      </c>
      <c r="J603" s="416">
        <v>117952800</v>
      </c>
      <c r="K603" s="213" t="s">
        <v>223</v>
      </c>
      <c r="L603" s="213" t="s">
        <v>257</v>
      </c>
      <c r="M603" s="213" t="s">
        <v>44</v>
      </c>
      <c r="N603" s="213" t="s">
        <v>45</v>
      </c>
      <c r="O603" s="213" t="s">
        <v>46</v>
      </c>
      <c r="P603" s="213" t="s">
        <v>678</v>
      </c>
      <c r="R603" s="213">
        <v>650</v>
      </c>
      <c r="S603" s="477">
        <v>44350</v>
      </c>
      <c r="T603" s="213" t="s">
        <v>4796</v>
      </c>
      <c r="U603" s="416">
        <v>117952800</v>
      </c>
      <c r="V603" s="407"/>
      <c r="W603" s="363"/>
      <c r="AF603" s="493"/>
      <c r="AG603" s="473"/>
      <c r="AM603" s="213"/>
    </row>
    <row r="604" spans="1:39" hidden="1" x14ac:dyDescent="0.25">
      <c r="A604" s="314"/>
      <c r="B604" s="420" t="s">
        <v>4653</v>
      </c>
      <c r="C604" s="213" t="s">
        <v>4748</v>
      </c>
      <c r="D604" s="312">
        <v>594</v>
      </c>
      <c r="E604" s="312">
        <v>20215000028503</v>
      </c>
      <c r="F604" s="477">
        <v>44350</v>
      </c>
      <c r="G604" s="310" t="s">
        <v>2903</v>
      </c>
      <c r="H604" s="211" t="s">
        <v>2904</v>
      </c>
      <c r="I604" s="211" t="s">
        <v>228</v>
      </c>
      <c r="J604" s="416">
        <v>114240000</v>
      </c>
      <c r="K604" s="213" t="s">
        <v>223</v>
      </c>
      <c r="L604" s="213" t="s">
        <v>236</v>
      </c>
      <c r="M604" s="213" t="s">
        <v>44</v>
      </c>
      <c r="N604" s="213" t="s">
        <v>45</v>
      </c>
      <c r="O604" s="213" t="s">
        <v>63</v>
      </c>
      <c r="P604" s="213" t="s">
        <v>678</v>
      </c>
      <c r="R604" s="213">
        <v>652</v>
      </c>
      <c r="S604" s="477">
        <v>44350</v>
      </c>
      <c r="T604" s="213" t="s">
        <v>4797</v>
      </c>
      <c r="U604" s="690">
        <v>114240000</v>
      </c>
      <c r="V604" s="407"/>
      <c r="X604" s="480" t="s">
        <v>4798</v>
      </c>
      <c r="Y604" s="481">
        <v>44352</v>
      </c>
      <c r="Z604" s="481">
        <v>44322</v>
      </c>
      <c r="AA604" s="481">
        <v>44535</v>
      </c>
      <c r="AB604" s="483" t="s">
        <v>4305</v>
      </c>
      <c r="AC604" s="480" t="s">
        <v>4317</v>
      </c>
      <c r="AD604" s="483" t="s">
        <v>4799</v>
      </c>
      <c r="AE604" s="483" t="s">
        <v>4800</v>
      </c>
      <c r="AF604" s="493">
        <v>114240000</v>
      </c>
      <c r="AG604" s="473">
        <f t="shared" ref="AG604:AG617" si="10">+U604-AF604</f>
        <v>0</v>
      </c>
      <c r="AM604" s="213"/>
    </row>
    <row r="605" spans="1:39" hidden="1" x14ac:dyDescent="0.25">
      <c r="A605" s="314" t="s">
        <v>2118</v>
      </c>
      <c r="B605" s="420">
        <v>120000000</v>
      </c>
      <c r="C605" s="213" t="s">
        <v>4801</v>
      </c>
      <c r="D605" s="312">
        <v>595</v>
      </c>
      <c r="E605" s="312">
        <v>20215000028193</v>
      </c>
      <c r="F605" s="477">
        <v>44350</v>
      </c>
      <c r="G605" s="310" t="s">
        <v>2903</v>
      </c>
      <c r="H605" s="211" t="s">
        <v>2904</v>
      </c>
      <c r="I605" s="211" t="s">
        <v>228</v>
      </c>
      <c r="J605" s="416">
        <v>120000000</v>
      </c>
      <c r="K605" s="213" t="s">
        <v>223</v>
      </c>
      <c r="L605" s="213" t="s">
        <v>236</v>
      </c>
      <c r="M605" s="213" t="s">
        <v>44</v>
      </c>
      <c r="N605" s="213" t="s">
        <v>45</v>
      </c>
      <c r="O605" s="213" t="s">
        <v>63</v>
      </c>
      <c r="P605" s="213" t="s">
        <v>678</v>
      </c>
      <c r="R605" s="213">
        <v>649</v>
      </c>
      <c r="S605" s="477">
        <v>44350</v>
      </c>
      <c r="T605" s="213" t="s">
        <v>4802</v>
      </c>
      <c r="U605" s="690">
        <v>120000000</v>
      </c>
      <c r="V605" s="407"/>
      <c r="W605" s="363"/>
      <c r="AF605" s="493"/>
      <c r="AG605" s="473">
        <f t="shared" si="10"/>
        <v>120000000</v>
      </c>
      <c r="AM605" s="213"/>
    </row>
    <row r="606" spans="1:39" hidden="1" x14ac:dyDescent="0.25">
      <c r="A606" s="314"/>
      <c r="B606" s="420"/>
      <c r="C606" s="213" t="s">
        <v>4794</v>
      </c>
      <c r="D606" s="312">
        <v>596</v>
      </c>
      <c r="E606" s="312">
        <v>20213000028523</v>
      </c>
      <c r="F606" s="477">
        <v>44350</v>
      </c>
      <c r="G606" s="312" t="s">
        <v>2903</v>
      </c>
      <c r="H606" s="213" t="s">
        <v>2904</v>
      </c>
      <c r="I606" s="213" t="s">
        <v>432</v>
      </c>
      <c r="J606" s="427">
        <v>8176734</v>
      </c>
      <c r="K606" s="213" t="s">
        <v>358</v>
      </c>
      <c r="L606" s="213" t="s">
        <v>4568</v>
      </c>
      <c r="M606" s="213" t="s">
        <v>44</v>
      </c>
      <c r="N606" s="213" t="s">
        <v>45</v>
      </c>
      <c r="O606" s="213" t="s">
        <v>63</v>
      </c>
      <c r="P606" s="213" t="s">
        <v>678</v>
      </c>
      <c r="R606" s="213">
        <v>653</v>
      </c>
      <c r="S606" s="477">
        <v>44350</v>
      </c>
      <c r="T606" s="213" t="s">
        <v>4803</v>
      </c>
      <c r="U606" s="427">
        <v>8176734</v>
      </c>
      <c r="V606" s="407"/>
      <c r="X606" s="480" t="s">
        <v>4804</v>
      </c>
      <c r="Y606" s="481">
        <v>44356</v>
      </c>
      <c r="Z606" s="481">
        <v>44356</v>
      </c>
      <c r="AA606" s="481">
        <v>44416</v>
      </c>
      <c r="AB606" s="483" t="s">
        <v>2913</v>
      </c>
      <c r="AC606" s="480" t="s">
        <v>4805</v>
      </c>
      <c r="AD606" s="483" t="s">
        <v>4806</v>
      </c>
      <c r="AE606" s="483" t="s">
        <v>3244</v>
      </c>
      <c r="AF606" s="493">
        <v>8176734</v>
      </c>
      <c r="AG606" s="473">
        <f t="shared" si="10"/>
        <v>0</v>
      </c>
      <c r="AM606" s="213"/>
    </row>
    <row r="607" spans="1:39" hidden="1" x14ac:dyDescent="0.25">
      <c r="A607" s="314" t="s">
        <v>2350</v>
      </c>
      <c r="B607" s="420">
        <v>24000000</v>
      </c>
      <c r="C607" s="213" t="s">
        <v>2909</v>
      </c>
      <c r="D607" s="312">
        <v>597</v>
      </c>
      <c r="E607" s="312">
        <v>20213000028423</v>
      </c>
      <c r="F607" s="477">
        <v>44350</v>
      </c>
      <c r="G607" s="312" t="s">
        <v>2903</v>
      </c>
      <c r="H607" s="213" t="s">
        <v>2904</v>
      </c>
      <c r="I607" s="213" t="s">
        <v>432</v>
      </c>
      <c r="J607" s="427">
        <v>24000000</v>
      </c>
      <c r="K607" s="213" t="s">
        <v>342</v>
      </c>
      <c r="L607" s="213" t="s">
        <v>351</v>
      </c>
      <c r="M607" s="213" t="s">
        <v>44</v>
      </c>
      <c r="N607" s="213" t="s">
        <v>45</v>
      </c>
      <c r="O607" s="213" t="s">
        <v>63</v>
      </c>
      <c r="P607" s="213" t="s">
        <v>678</v>
      </c>
      <c r="R607" s="213">
        <v>651</v>
      </c>
      <c r="S607" s="477">
        <v>44350</v>
      </c>
      <c r="T607" s="213" t="s">
        <v>4807</v>
      </c>
      <c r="U607" s="427">
        <v>24000000</v>
      </c>
      <c r="V607" s="407"/>
      <c r="X607" s="527" t="s">
        <v>4808</v>
      </c>
      <c r="Y607" s="488">
        <v>44371</v>
      </c>
      <c r="Z607" s="488">
        <v>44371</v>
      </c>
      <c r="AA607" s="488">
        <v>44553</v>
      </c>
      <c r="AB607" s="490" t="s">
        <v>2913</v>
      </c>
      <c r="AC607" s="527" t="s">
        <v>3208</v>
      </c>
      <c r="AD607" s="490" t="s">
        <v>4809</v>
      </c>
      <c r="AE607" s="490" t="s">
        <v>4810</v>
      </c>
      <c r="AF607" s="493">
        <v>24000000</v>
      </c>
      <c r="AG607" s="473">
        <f t="shared" si="10"/>
        <v>0</v>
      </c>
      <c r="AM607" s="213"/>
    </row>
    <row r="608" spans="1:39" hidden="1" x14ac:dyDescent="0.25">
      <c r="A608" s="314" t="s">
        <v>2129</v>
      </c>
      <c r="B608" s="420">
        <v>18000000</v>
      </c>
      <c r="C608" s="213" t="s">
        <v>2909</v>
      </c>
      <c r="D608" s="312">
        <v>598</v>
      </c>
      <c r="E608" s="312">
        <v>20213000027333</v>
      </c>
      <c r="F608" s="477">
        <v>44350</v>
      </c>
      <c r="G608" s="312" t="s">
        <v>2903</v>
      </c>
      <c r="H608" s="213" t="s">
        <v>2904</v>
      </c>
      <c r="I608" s="213" t="s">
        <v>432</v>
      </c>
      <c r="J608" s="427">
        <v>18000000</v>
      </c>
      <c r="K608" s="213" t="s">
        <v>342</v>
      </c>
      <c r="L608" s="213" t="s">
        <v>351</v>
      </c>
      <c r="M608" s="213" t="s">
        <v>44</v>
      </c>
      <c r="N608" s="213" t="s">
        <v>45</v>
      </c>
      <c r="O608" s="213" t="s">
        <v>63</v>
      </c>
      <c r="P608" s="213" t="s">
        <v>678</v>
      </c>
      <c r="R608" s="213">
        <v>648</v>
      </c>
      <c r="S608" s="477">
        <v>44350</v>
      </c>
      <c r="T608" s="213" t="s">
        <v>4811</v>
      </c>
      <c r="U608" s="427">
        <v>18000000</v>
      </c>
      <c r="V608" s="407"/>
      <c r="X608" s="480" t="s">
        <v>4812</v>
      </c>
      <c r="Y608" s="481">
        <v>44363</v>
      </c>
      <c r="Z608" s="481">
        <v>44364</v>
      </c>
      <c r="AA608" s="481">
        <v>44546</v>
      </c>
      <c r="AB608" s="483" t="s">
        <v>2913</v>
      </c>
      <c r="AC608" s="480" t="s">
        <v>4352</v>
      </c>
      <c r="AD608" s="483" t="s">
        <v>4813</v>
      </c>
      <c r="AE608" s="483" t="s">
        <v>4814</v>
      </c>
      <c r="AF608" s="493">
        <v>18000000</v>
      </c>
      <c r="AG608" s="473">
        <f t="shared" si="10"/>
        <v>0</v>
      </c>
      <c r="AM608" s="213"/>
    </row>
    <row r="609" spans="1:39" hidden="1" x14ac:dyDescent="0.25">
      <c r="A609" s="314" t="s">
        <v>2852</v>
      </c>
      <c r="B609" s="420">
        <v>21000000</v>
      </c>
      <c r="C609" s="213" t="s">
        <v>2909</v>
      </c>
      <c r="D609" s="312">
        <v>599</v>
      </c>
      <c r="E609" s="312">
        <v>20214000029113</v>
      </c>
      <c r="F609" s="477">
        <v>44356</v>
      </c>
      <c r="G609" s="312" t="s">
        <v>2936</v>
      </c>
      <c r="H609" s="213" t="s">
        <v>2937</v>
      </c>
      <c r="I609" s="213" t="s">
        <v>117</v>
      </c>
      <c r="J609" s="427">
        <v>15000000</v>
      </c>
      <c r="K609" s="213" t="s">
        <v>112</v>
      </c>
      <c r="L609" s="213" t="s">
        <v>2938</v>
      </c>
      <c r="M609" s="213" t="s">
        <v>44</v>
      </c>
      <c r="N609" s="213" t="s">
        <v>45</v>
      </c>
      <c r="O609" s="213" t="s">
        <v>63</v>
      </c>
      <c r="P609" s="213" t="s">
        <v>43</v>
      </c>
      <c r="R609" s="213">
        <v>661</v>
      </c>
      <c r="S609" s="477">
        <v>44357</v>
      </c>
      <c r="T609" s="213" t="s">
        <v>4815</v>
      </c>
      <c r="U609" s="427">
        <v>15000000</v>
      </c>
      <c r="V609" s="407"/>
      <c r="X609" s="480" t="s">
        <v>4816</v>
      </c>
      <c r="Y609" s="487">
        <v>44376</v>
      </c>
      <c r="Z609" s="487">
        <v>44376</v>
      </c>
      <c r="AA609" s="487">
        <v>44528</v>
      </c>
      <c r="AB609" s="483" t="s">
        <v>2913</v>
      </c>
      <c r="AC609" s="480" t="s">
        <v>4176</v>
      </c>
      <c r="AD609" s="483" t="s">
        <v>4817</v>
      </c>
      <c r="AE609" s="483" t="s">
        <v>3284</v>
      </c>
      <c r="AF609" s="689">
        <v>15000000</v>
      </c>
      <c r="AG609" s="473">
        <f t="shared" si="10"/>
        <v>0</v>
      </c>
      <c r="AM609" s="213"/>
    </row>
    <row r="610" spans="1:39" hidden="1" x14ac:dyDescent="0.25">
      <c r="A610" s="314" t="s">
        <v>2486</v>
      </c>
      <c r="B610" s="420">
        <v>42000000</v>
      </c>
      <c r="C610" s="213" t="s">
        <v>2909</v>
      </c>
      <c r="D610" s="312">
        <v>600</v>
      </c>
      <c r="E610" s="312">
        <v>20214000029123</v>
      </c>
      <c r="F610" s="477">
        <v>44356</v>
      </c>
      <c r="G610" s="312" t="s">
        <v>2943</v>
      </c>
      <c r="H610" s="213" t="s">
        <v>2944</v>
      </c>
      <c r="I610" s="213" t="s">
        <v>47</v>
      </c>
      <c r="J610" s="427">
        <v>30000000</v>
      </c>
      <c r="K610" s="213" t="s">
        <v>37</v>
      </c>
      <c r="L610" s="213" t="s">
        <v>2945</v>
      </c>
      <c r="M610" s="213" t="s">
        <v>44</v>
      </c>
      <c r="N610" s="213" t="s">
        <v>45</v>
      </c>
      <c r="O610" s="213" t="s">
        <v>310</v>
      </c>
      <c r="P610" s="213" t="s">
        <v>43</v>
      </c>
      <c r="R610" s="213">
        <v>658</v>
      </c>
      <c r="S610" s="477">
        <v>44357</v>
      </c>
      <c r="T610" s="213" t="s">
        <v>4818</v>
      </c>
      <c r="U610" s="427">
        <v>30000000</v>
      </c>
      <c r="V610" s="407"/>
      <c r="W610" s="363"/>
      <c r="AF610" s="493"/>
      <c r="AG610" s="473">
        <f t="shared" si="10"/>
        <v>30000000</v>
      </c>
      <c r="AM610" s="213"/>
    </row>
    <row r="611" spans="1:39" hidden="1" x14ac:dyDescent="0.25">
      <c r="A611" s="314" t="s">
        <v>2503</v>
      </c>
      <c r="B611" s="420">
        <v>39900000</v>
      </c>
      <c r="C611" s="213" t="s">
        <v>2909</v>
      </c>
      <c r="D611" s="213">
        <v>601</v>
      </c>
      <c r="E611" s="312">
        <v>20214000029133</v>
      </c>
      <c r="F611" s="477">
        <v>44356</v>
      </c>
      <c r="G611" s="312" t="s">
        <v>2936</v>
      </c>
      <c r="H611" s="213" t="s">
        <v>2937</v>
      </c>
      <c r="I611" s="213" t="s">
        <v>117</v>
      </c>
      <c r="J611" s="474">
        <v>28500000</v>
      </c>
      <c r="K611" s="213" t="s">
        <v>112</v>
      </c>
      <c r="L611" s="213" t="s">
        <v>2938</v>
      </c>
      <c r="M611" s="213" t="s">
        <v>44</v>
      </c>
      <c r="N611" s="213" t="s">
        <v>45</v>
      </c>
      <c r="O611" s="213" t="s">
        <v>63</v>
      </c>
      <c r="P611" s="213" t="s">
        <v>43</v>
      </c>
      <c r="R611" s="213">
        <v>659</v>
      </c>
      <c r="S611" s="477">
        <v>44357</v>
      </c>
      <c r="T611" s="213" t="s">
        <v>4819</v>
      </c>
      <c r="U611" s="474">
        <v>28500000</v>
      </c>
      <c r="V611" s="536"/>
      <c r="W611" s="213"/>
      <c r="X611" s="480" t="s">
        <v>4820</v>
      </c>
      <c r="Y611" s="481">
        <v>44365</v>
      </c>
      <c r="Z611" s="481">
        <v>44365</v>
      </c>
      <c r="AA611" s="481">
        <v>44517</v>
      </c>
      <c r="AB611" s="483" t="s">
        <v>2913</v>
      </c>
      <c r="AC611" s="480" t="s">
        <v>4355</v>
      </c>
      <c r="AD611" s="483" t="s">
        <v>4821</v>
      </c>
      <c r="AE611" s="483" t="s">
        <v>3327</v>
      </c>
      <c r="AF611" s="493">
        <v>28500000</v>
      </c>
      <c r="AG611" s="473">
        <f t="shared" si="10"/>
        <v>0</v>
      </c>
      <c r="AM611" s="213"/>
    </row>
    <row r="612" spans="1:39" s="313" customFormat="1" hidden="1" x14ac:dyDescent="0.25">
      <c r="A612" s="362" t="s">
        <v>2267</v>
      </c>
      <c r="B612" s="418">
        <v>39975144</v>
      </c>
      <c r="C612" s="313" t="s">
        <v>3025</v>
      </c>
      <c r="D612" s="313">
        <v>602</v>
      </c>
      <c r="E612" s="326">
        <v>20217000029143</v>
      </c>
      <c r="F612" s="316">
        <v>44356</v>
      </c>
      <c r="G612" s="326" t="s">
        <v>2910</v>
      </c>
      <c r="H612" s="313" t="s">
        <v>2911</v>
      </c>
      <c r="I612" s="313" t="s">
        <v>164</v>
      </c>
      <c r="J612" s="407">
        <v>19079046</v>
      </c>
      <c r="K612" s="313" t="s">
        <v>138</v>
      </c>
      <c r="L612" s="313" t="s">
        <v>139</v>
      </c>
      <c r="M612" s="313" t="s">
        <v>44</v>
      </c>
      <c r="N612" s="313" t="s">
        <v>45</v>
      </c>
      <c r="O612" s="313" t="s">
        <v>142</v>
      </c>
      <c r="P612" s="313" t="s">
        <v>43</v>
      </c>
      <c r="R612" s="313">
        <v>660</v>
      </c>
      <c r="S612" s="316">
        <v>44357</v>
      </c>
      <c r="T612" s="313" t="s">
        <v>4822</v>
      </c>
      <c r="U612" s="407">
        <f>19079046-19079046</f>
        <v>0</v>
      </c>
      <c r="V612" s="407">
        <v>19079046</v>
      </c>
      <c r="W612" s="389" t="s">
        <v>1757</v>
      </c>
      <c r="X612" s="317"/>
      <c r="Y612" s="317"/>
      <c r="Z612" s="317"/>
      <c r="AA612" s="317"/>
      <c r="AC612" s="317"/>
      <c r="AF612" s="493"/>
      <c r="AG612" s="319">
        <f t="shared" si="10"/>
        <v>0</v>
      </c>
      <c r="AH612" s="406"/>
      <c r="AI612" s="406"/>
      <c r="AJ612" s="406"/>
      <c r="AK612" s="406"/>
      <c r="AL612" s="406"/>
      <c r="AM612" s="213"/>
    </row>
    <row r="613" spans="1:39" hidden="1" x14ac:dyDescent="0.25">
      <c r="A613" s="314" t="s">
        <v>2232</v>
      </c>
      <c r="B613" s="420">
        <v>45500000</v>
      </c>
      <c r="C613" s="213" t="s">
        <v>2909</v>
      </c>
      <c r="D613" s="213">
        <v>603</v>
      </c>
      <c r="E613" s="312">
        <v>20216000029073</v>
      </c>
      <c r="F613" s="477">
        <v>44356</v>
      </c>
      <c r="G613" s="312" t="s">
        <v>2910</v>
      </c>
      <c r="H613" s="213" t="s">
        <v>2911</v>
      </c>
      <c r="I613" s="213" t="s">
        <v>214</v>
      </c>
      <c r="J613" s="427">
        <v>42000000</v>
      </c>
      <c r="K613" s="213" t="s">
        <v>138</v>
      </c>
      <c r="L613" s="213" t="s">
        <v>139</v>
      </c>
      <c r="M613" s="213" t="s">
        <v>44</v>
      </c>
      <c r="N613" s="213" t="s">
        <v>45</v>
      </c>
      <c r="O613" s="213" t="s">
        <v>142</v>
      </c>
      <c r="P613" s="213" t="s">
        <v>43</v>
      </c>
      <c r="R613" s="213">
        <v>656</v>
      </c>
      <c r="S613" s="477">
        <v>44357</v>
      </c>
      <c r="T613" s="213" t="s">
        <v>4823</v>
      </c>
      <c r="U613" s="427">
        <v>42000000</v>
      </c>
      <c r="V613" s="536"/>
      <c r="W613" s="213"/>
      <c r="X613" s="480" t="s">
        <v>4824</v>
      </c>
      <c r="Y613" s="481">
        <v>44362</v>
      </c>
      <c r="Z613" s="481">
        <v>44362</v>
      </c>
      <c r="AA613" s="481">
        <v>44559</v>
      </c>
      <c r="AB613" s="483" t="s">
        <v>2913</v>
      </c>
      <c r="AC613" s="480" t="s">
        <v>3964</v>
      </c>
      <c r="AD613" s="483" t="s">
        <v>4825</v>
      </c>
      <c r="AE613" s="483" t="s">
        <v>4826</v>
      </c>
      <c r="AF613" s="493">
        <v>39000000</v>
      </c>
      <c r="AG613" s="473">
        <f t="shared" si="10"/>
        <v>3000000</v>
      </c>
      <c r="AM613" s="213"/>
    </row>
    <row r="614" spans="1:39" hidden="1" x14ac:dyDescent="0.25">
      <c r="A614" s="314" t="s">
        <v>2474</v>
      </c>
      <c r="B614" s="420">
        <v>41337934</v>
      </c>
      <c r="C614" s="213" t="s">
        <v>2909</v>
      </c>
      <c r="D614" s="213">
        <v>604</v>
      </c>
      <c r="E614" s="312">
        <v>20211300029263</v>
      </c>
      <c r="F614" s="477">
        <v>44357</v>
      </c>
      <c r="G614" s="312" t="s">
        <v>2910</v>
      </c>
      <c r="H614" s="213" t="s">
        <v>2911</v>
      </c>
      <c r="I614" s="213" t="s">
        <v>210</v>
      </c>
      <c r="J614" s="427">
        <v>29527095</v>
      </c>
      <c r="K614" s="213" t="s">
        <v>138</v>
      </c>
      <c r="L614" s="213" t="s">
        <v>139</v>
      </c>
      <c r="M614" s="213" t="s">
        <v>44</v>
      </c>
      <c r="N614" s="213" t="s">
        <v>45</v>
      </c>
      <c r="O614" s="213" t="s">
        <v>142</v>
      </c>
      <c r="P614" s="213" t="s">
        <v>43</v>
      </c>
      <c r="R614" s="213">
        <v>664</v>
      </c>
      <c r="S614" s="477">
        <v>44358</v>
      </c>
      <c r="T614" s="213" t="s">
        <v>4827</v>
      </c>
      <c r="U614" s="427">
        <v>29527095</v>
      </c>
      <c r="V614" s="536"/>
      <c r="W614" s="537"/>
      <c r="X614" s="212"/>
      <c r="Y614" s="212"/>
      <c r="Z614" s="212"/>
      <c r="AA614" s="212"/>
      <c r="AB614" s="213"/>
      <c r="AD614" s="213"/>
      <c r="AF614" s="493"/>
      <c r="AG614" s="473">
        <f t="shared" si="10"/>
        <v>29527095</v>
      </c>
      <c r="AM614" s="213"/>
    </row>
    <row r="615" spans="1:39" hidden="1" x14ac:dyDescent="0.25">
      <c r="A615" s="314" t="s">
        <v>2072</v>
      </c>
      <c r="B615" s="420">
        <v>300000000</v>
      </c>
      <c r="C615" s="213" t="s">
        <v>4828</v>
      </c>
      <c r="D615" s="213">
        <v>605</v>
      </c>
      <c r="E615" s="312">
        <v>20213000029273</v>
      </c>
      <c r="F615" s="477">
        <v>44357</v>
      </c>
      <c r="G615" s="312" t="s">
        <v>2903</v>
      </c>
      <c r="H615" s="213" t="s">
        <v>2904</v>
      </c>
      <c r="I615" s="213" t="s">
        <v>432</v>
      </c>
      <c r="J615" s="427">
        <v>300000000</v>
      </c>
      <c r="K615" s="213" t="s">
        <v>342</v>
      </c>
      <c r="L615" s="213" t="s">
        <v>351</v>
      </c>
      <c r="M615" s="213" t="s">
        <v>44</v>
      </c>
      <c r="N615" s="213" t="s">
        <v>45</v>
      </c>
      <c r="O615" s="213" t="s">
        <v>63</v>
      </c>
      <c r="P615" s="213" t="s">
        <v>4829</v>
      </c>
      <c r="R615" s="213">
        <v>665</v>
      </c>
      <c r="S615" s="477">
        <v>44358</v>
      </c>
      <c r="T615" s="213" t="s">
        <v>4830</v>
      </c>
      <c r="U615" s="427">
        <v>300000000</v>
      </c>
      <c r="V615" s="536"/>
      <c r="W615" s="537"/>
      <c r="X615" s="212"/>
      <c r="Y615" s="212"/>
      <c r="Z615" s="212"/>
      <c r="AA615" s="212"/>
      <c r="AB615" s="213"/>
      <c r="AD615" s="213"/>
      <c r="AF615" s="493"/>
      <c r="AG615" s="473">
        <f t="shared" si="10"/>
        <v>300000000</v>
      </c>
      <c r="AM615" s="213"/>
    </row>
    <row r="616" spans="1:39" x14ac:dyDescent="0.25">
      <c r="A616" s="314" t="s">
        <v>2181</v>
      </c>
      <c r="B616" s="420">
        <v>42500000</v>
      </c>
      <c r="C616" s="213" t="s">
        <v>2909</v>
      </c>
      <c r="D616" s="213">
        <v>606</v>
      </c>
      <c r="E616" s="312">
        <v>20215000029803</v>
      </c>
      <c r="F616" s="477">
        <v>44362</v>
      </c>
      <c r="G616" s="312" t="s">
        <v>2903</v>
      </c>
      <c r="H616" s="213" t="s">
        <v>2904</v>
      </c>
      <c r="I616" s="213" t="s">
        <v>228</v>
      </c>
      <c r="J616" s="427">
        <v>42500000</v>
      </c>
      <c r="K616" s="213" t="s">
        <v>223</v>
      </c>
      <c r="L616" s="213" t="s">
        <v>236</v>
      </c>
      <c r="M616" s="213" t="s">
        <v>44</v>
      </c>
      <c r="N616" s="213" t="s">
        <v>45</v>
      </c>
      <c r="O616" s="213" t="s">
        <v>63</v>
      </c>
      <c r="P616" s="213" t="s">
        <v>678</v>
      </c>
      <c r="R616" s="213">
        <v>674</v>
      </c>
      <c r="S616" s="477">
        <v>44363</v>
      </c>
      <c r="T616" s="213" t="s">
        <v>4831</v>
      </c>
      <c r="U616" s="427">
        <v>42500000</v>
      </c>
      <c r="V616" s="536"/>
      <c r="W616" s="213"/>
      <c r="X616" s="480" t="s">
        <v>4832</v>
      </c>
      <c r="Y616" s="487">
        <v>44377</v>
      </c>
      <c r="Z616" s="487">
        <v>44377</v>
      </c>
      <c r="AA616" s="487">
        <v>44559</v>
      </c>
      <c r="AB616" s="483" t="s">
        <v>2913</v>
      </c>
      <c r="AC616" s="480" t="s">
        <v>4170</v>
      </c>
      <c r="AD616" s="483" t="s">
        <v>4833</v>
      </c>
      <c r="AE616" s="483" t="s">
        <v>4834</v>
      </c>
      <c r="AF616" s="689">
        <v>24000000</v>
      </c>
      <c r="AG616" s="473">
        <f t="shared" si="10"/>
        <v>18500000</v>
      </c>
      <c r="AM616" s="213"/>
    </row>
    <row r="617" spans="1:39" x14ac:dyDescent="0.25">
      <c r="A617" s="314" t="s">
        <v>2542</v>
      </c>
      <c r="B617" s="420">
        <v>50000000</v>
      </c>
      <c r="C617" s="213" t="s">
        <v>4835</v>
      </c>
      <c r="D617" s="213">
        <v>607</v>
      </c>
      <c r="E617" s="312">
        <v>20213000029723</v>
      </c>
      <c r="F617" s="477">
        <v>44362</v>
      </c>
      <c r="G617" s="312" t="s">
        <v>2903</v>
      </c>
      <c r="H617" s="213" t="s">
        <v>2904</v>
      </c>
      <c r="I617" s="213" t="s">
        <v>432</v>
      </c>
      <c r="J617" s="427">
        <v>50000000</v>
      </c>
      <c r="K617" s="213" t="s">
        <v>342</v>
      </c>
      <c r="L617" s="213" t="s">
        <v>351</v>
      </c>
      <c r="M617" s="213" t="s">
        <v>44</v>
      </c>
      <c r="N617" s="213" t="s">
        <v>45</v>
      </c>
      <c r="O617" s="213" t="s">
        <v>63</v>
      </c>
      <c r="P617" s="213" t="s">
        <v>4829</v>
      </c>
      <c r="R617" s="213">
        <v>668</v>
      </c>
      <c r="S617" s="477">
        <v>44363</v>
      </c>
      <c r="T617" s="213" t="s">
        <v>4836</v>
      </c>
      <c r="U617" s="427">
        <v>50000000</v>
      </c>
      <c r="V617" s="536"/>
      <c r="W617" s="537"/>
      <c r="X617" s="212"/>
      <c r="Y617" s="212"/>
      <c r="Z617" s="212"/>
      <c r="AA617" s="212"/>
      <c r="AB617" s="213"/>
      <c r="AD617" s="213"/>
      <c r="AF617" s="493"/>
      <c r="AG617" s="473">
        <f t="shared" si="10"/>
        <v>50000000</v>
      </c>
      <c r="AM617" s="213"/>
    </row>
    <row r="618" spans="1:39" x14ac:dyDescent="0.25">
      <c r="A618" s="314" t="s">
        <v>2536</v>
      </c>
      <c r="B618" s="420">
        <v>50000000</v>
      </c>
      <c r="C618" s="213" t="s">
        <v>4837</v>
      </c>
      <c r="D618" s="213">
        <v>608</v>
      </c>
      <c r="E618" s="312">
        <v>20213000029733</v>
      </c>
      <c r="F618" s="477">
        <v>44362</v>
      </c>
      <c r="G618" s="312" t="s">
        <v>2903</v>
      </c>
      <c r="H618" s="213" t="s">
        <v>2904</v>
      </c>
      <c r="I618" s="213" t="s">
        <v>432</v>
      </c>
      <c r="J618" s="427">
        <v>50000000</v>
      </c>
      <c r="K618" s="213" t="s">
        <v>342</v>
      </c>
      <c r="L618" s="213" t="s">
        <v>351</v>
      </c>
      <c r="M618" s="213" t="s">
        <v>44</v>
      </c>
      <c r="N618" s="213" t="s">
        <v>45</v>
      </c>
      <c r="O618" s="213" t="s">
        <v>63</v>
      </c>
      <c r="P618" s="213" t="s">
        <v>4829</v>
      </c>
      <c r="R618" s="213">
        <v>669</v>
      </c>
      <c r="S618" s="477">
        <v>44363</v>
      </c>
      <c r="T618" s="213" t="s">
        <v>2536</v>
      </c>
      <c r="U618" s="427">
        <v>50000000</v>
      </c>
      <c r="V618" s="536"/>
      <c r="W618" s="537"/>
      <c r="X618" s="212"/>
      <c r="Y618" s="212"/>
      <c r="Z618" s="212"/>
      <c r="AA618" s="212"/>
      <c r="AB618" s="213"/>
      <c r="AD618" s="213"/>
      <c r="AF618" s="493"/>
      <c r="AM618" s="213"/>
    </row>
    <row r="619" spans="1:39" x14ac:dyDescent="0.25">
      <c r="A619" s="314" t="s">
        <v>2082</v>
      </c>
      <c r="B619" s="420">
        <v>210000000</v>
      </c>
      <c r="C619" s="213" t="s">
        <v>4838</v>
      </c>
      <c r="D619" s="213">
        <v>609</v>
      </c>
      <c r="E619" s="312">
        <v>20213000029743</v>
      </c>
      <c r="F619" s="477">
        <v>44362</v>
      </c>
      <c r="G619" s="312" t="s">
        <v>2903</v>
      </c>
      <c r="H619" s="213" t="s">
        <v>2904</v>
      </c>
      <c r="I619" s="213" t="s">
        <v>432</v>
      </c>
      <c r="J619" s="427">
        <v>200000000</v>
      </c>
      <c r="K619" s="213" t="s">
        <v>342</v>
      </c>
      <c r="L619" s="213" t="s">
        <v>351</v>
      </c>
      <c r="M619" s="213" t="s">
        <v>44</v>
      </c>
      <c r="N619" s="213" t="s">
        <v>45</v>
      </c>
      <c r="O619" s="213" t="s">
        <v>63</v>
      </c>
      <c r="P619" s="213" t="s">
        <v>4839</v>
      </c>
      <c r="R619" s="213">
        <v>670</v>
      </c>
      <c r="S619" s="477">
        <v>44363</v>
      </c>
      <c r="T619" s="213" t="s">
        <v>4840</v>
      </c>
      <c r="U619" s="427">
        <v>200000000</v>
      </c>
      <c r="V619" s="536"/>
      <c r="W619" s="537"/>
      <c r="X619" s="212"/>
      <c r="Y619" s="212"/>
      <c r="Z619" s="212"/>
      <c r="AA619" s="212"/>
      <c r="AB619" s="213"/>
      <c r="AD619" s="213"/>
      <c r="AF619" s="493"/>
      <c r="AM619" s="213"/>
    </row>
    <row r="620" spans="1:39" x14ac:dyDescent="0.25">
      <c r="A620" s="314" t="s">
        <v>2151</v>
      </c>
      <c r="B620" s="420">
        <v>370678608</v>
      </c>
      <c r="C620" s="213" t="s">
        <v>4604</v>
      </c>
      <c r="D620" s="213">
        <v>610</v>
      </c>
      <c r="E620" s="312">
        <v>20213000029823</v>
      </c>
      <c r="F620" s="477">
        <v>44362</v>
      </c>
      <c r="G620" s="312" t="s">
        <v>2903</v>
      </c>
      <c r="H620" s="213" t="s">
        <v>2904</v>
      </c>
      <c r="I620" s="213" t="s">
        <v>432</v>
      </c>
      <c r="J620" s="427">
        <v>370678608</v>
      </c>
      <c r="K620" s="213" t="s">
        <v>342</v>
      </c>
      <c r="L620" s="213" t="s">
        <v>351</v>
      </c>
      <c r="M620" s="213" t="s">
        <v>44</v>
      </c>
      <c r="N620" s="213" t="s">
        <v>45</v>
      </c>
      <c r="O620" s="213" t="s">
        <v>63</v>
      </c>
      <c r="P620" s="213" t="s">
        <v>678</v>
      </c>
      <c r="R620" s="213">
        <v>671</v>
      </c>
      <c r="S620" s="477">
        <v>44363</v>
      </c>
      <c r="T620" s="213" t="s">
        <v>4841</v>
      </c>
      <c r="U620" s="427">
        <v>370678608</v>
      </c>
      <c r="V620" s="536"/>
      <c r="W620" s="537"/>
      <c r="X620" s="212"/>
      <c r="Y620" s="212"/>
      <c r="Z620" s="212"/>
      <c r="AA620" s="212"/>
      <c r="AB620" s="213"/>
      <c r="AD620" s="213"/>
      <c r="AF620" s="493"/>
      <c r="AM620" s="213"/>
    </row>
    <row r="621" spans="1:39" x14ac:dyDescent="0.25">
      <c r="A621" s="314" t="s">
        <v>2149</v>
      </c>
      <c r="B621" s="420">
        <v>648968200</v>
      </c>
      <c r="C621" s="213" t="s">
        <v>4596</v>
      </c>
      <c r="D621" s="312">
        <v>611</v>
      </c>
      <c r="E621" s="312">
        <v>20213000029833</v>
      </c>
      <c r="F621" s="477">
        <v>44362</v>
      </c>
      <c r="G621" s="312" t="s">
        <v>2903</v>
      </c>
      <c r="H621" s="213" t="s">
        <v>2904</v>
      </c>
      <c r="I621" s="213" t="s">
        <v>432</v>
      </c>
      <c r="J621" s="474">
        <v>648968200</v>
      </c>
      <c r="K621" s="213" t="s">
        <v>342</v>
      </c>
      <c r="L621" s="213" t="s">
        <v>351</v>
      </c>
      <c r="M621" s="213" t="s">
        <v>44</v>
      </c>
      <c r="N621" s="213" t="s">
        <v>45</v>
      </c>
      <c r="O621" s="213" t="s">
        <v>63</v>
      </c>
      <c r="P621" s="213" t="s">
        <v>678</v>
      </c>
      <c r="R621" s="213">
        <v>672</v>
      </c>
      <c r="S621" s="477">
        <v>44363</v>
      </c>
      <c r="T621" s="213" t="s">
        <v>4842</v>
      </c>
      <c r="U621" s="474">
        <v>648968200</v>
      </c>
      <c r="V621" s="536"/>
      <c r="W621" s="537"/>
      <c r="X621" s="212"/>
      <c r="Y621" s="212"/>
      <c r="Z621" s="212"/>
      <c r="AA621" s="212"/>
      <c r="AB621" s="213"/>
      <c r="AD621" s="213"/>
      <c r="AF621" s="493"/>
      <c r="AM621" s="213"/>
    </row>
    <row r="622" spans="1:39" x14ac:dyDescent="0.25">
      <c r="A622" s="314" t="s">
        <v>2641</v>
      </c>
      <c r="B622" s="420">
        <v>65394432</v>
      </c>
      <c r="C622" s="213" t="s">
        <v>2909</v>
      </c>
      <c r="D622" s="310">
        <v>612</v>
      </c>
      <c r="E622" s="310">
        <v>20217000029893</v>
      </c>
      <c r="F622" s="477">
        <v>44362</v>
      </c>
      <c r="G622" s="310" t="s">
        <v>2910</v>
      </c>
      <c r="H622" s="211" t="s">
        <v>2911</v>
      </c>
      <c r="I622" s="211" t="s">
        <v>164</v>
      </c>
      <c r="J622" s="416">
        <v>35000000</v>
      </c>
      <c r="K622" s="211" t="s">
        <v>138</v>
      </c>
      <c r="L622" s="211" t="s">
        <v>139</v>
      </c>
      <c r="M622" s="211" t="s">
        <v>44</v>
      </c>
      <c r="N622" s="211" t="s">
        <v>45</v>
      </c>
      <c r="O622" s="211" t="s">
        <v>142</v>
      </c>
      <c r="P622" s="211" t="s">
        <v>43</v>
      </c>
      <c r="Q622" s="313"/>
      <c r="R622" s="213">
        <v>673</v>
      </c>
      <c r="S622" s="477">
        <v>44363</v>
      </c>
      <c r="T622" s="213" t="s">
        <v>4843</v>
      </c>
      <c r="U622" s="536">
        <v>35000000</v>
      </c>
      <c r="V622" s="536"/>
      <c r="W622" s="537"/>
      <c r="X622" s="212"/>
      <c r="Y622" s="212"/>
      <c r="Z622" s="212"/>
      <c r="AA622" s="212"/>
      <c r="AB622" s="213"/>
      <c r="AD622" s="213"/>
      <c r="AF622" s="493"/>
      <c r="AM622" s="213"/>
    </row>
    <row r="623" spans="1:39" x14ac:dyDescent="0.25">
      <c r="A623" s="314" t="s">
        <v>2055</v>
      </c>
      <c r="B623" s="420">
        <v>25000000</v>
      </c>
      <c r="C623" s="213" t="s">
        <v>2909</v>
      </c>
      <c r="D623" s="213">
        <v>613</v>
      </c>
      <c r="E623" s="310">
        <v>20217000030013</v>
      </c>
      <c r="F623" s="477">
        <v>44363</v>
      </c>
      <c r="G623" s="312" t="s">
        <v>2910</v>
      </c>
      <c r="H623" s="213" t="s">
        <v>2911</v>
      </c>
      <c r="I623" s="213" t="s">
        <v>164</v>
      </c>
      <c r="J623" s="427">
        <v>19998000</v>
      </c>
      <c r="K623" s="213" t="s">
        <v>138</v>
      </c>
      <c r="L623" s="213" t="s">
        <v>139</v>
      </c>
      <c r="M623" s="213" t="s">
        <v>44</v>
      </c>
      <c r="N623" s="213" t="s">
        <v>45</v>
      </c>
      <c r="O623" s="213" t="s">
        <v>142</v>
      </c>
      <c r="P623" s="428" t="s">
        <v>116</v>
      </c>
      <c r="R623" s="213">
        <v>679</v>
      </c>
      <c r="S623" s="477">
        <v>44364</v>
      </c>
      <c r="T623" s="213" t="s">
        <v>4844</v>
      </c>
      <c r="U623" s="536">
        <v>19998000</v>
      </c>
      <c r="V623" s="536"/>
      <c r="W623" s="213"/>
      <c r="X623" s="527" t="s">
        <v>4845</v>
      </c>
      <c r="Y623" s="488">
        <v>44375</v>
      </c>
      <c r="Z623" s="488">
        <v>44375</v>
      </c>
      <c r="AA623" s="488">
        <v>44466</v>
      </c>
      <c r="AB623" s="490" t="s">
        <v>2913</v>
      </c>
      <c r="AC623" s="527" t="s">
        <v>4431</v>
      </c>
      <c r="AD623" s="490" t="s">
        <v>4846</v>
      </c>
      <c r="AE623" s="490" t="s">
        <v>4847</v>
      </c>
      <c r="AF623" s="493">
        <v>19998000</v>
      </c>
      <c r="AG623" s="473"/>
      <c r="AM623" s="213"/>
    </row>
    <row r="624" spans="1:39" x14ac:dyDescent="0.25">
      <c r="A624" s="314" t="s">
        <v>2320</v>
      </c>
      <c r="B624" s="420">
        <v>46410000</v>
      </c>
      <c r="C624" s="213" t="s">
        <v>2909</v>
      </c>
      <c r="D624" s="213">
        <v>614</v>
      </c>
      <c r="E624" s="310">
        <v>20212000029933</v>
      </c>
      <c r="F624" s="477">
        <v>44363</v>
      </c>
      <c r="G624" s="468" t="s">
        <v>2903</v>
      </c>
      <c r="H624" s="467" t="s">
        <v>2904</v>
      </c>
      <c r="I624" s="467" t="s">
        <v>391</v>
      </c>
      <c r="J624" s="470">
        <v>46410000</v>
      </c>
      <c r="K624" s="378" t="s">
        <v>2974</v>
      </c>
      <c r="L624" s="467" t="s">
        <v>2975</v>
      </c>
      <c r="M624" s="378" t="s">
        <v>44</v>
      </c>
      <c r="N624" s="378" t="s">
        <v>45</v>
      </c>
      <c r="O624" s="467" t="s">
        <v>63</v>
      </c>
      <c r="P624" s="213" t="s">
        <v>678</v>
      </c>
      <c r="Q624" s="467"/>
      <c r="R624" s="213">
        <v>675</v>
      </c>
      <c r="S624" s="477">
        <v>44364</v>
      </c>
      <c r="T624" s="213" t="s">
        <v>4848</v>
      </c>
      <c r="U624" s="536">
        <v>46410000</v>
      </c>
      <c r="V624" s="536"/>
      <c r="W624" s="213"/>
      <c r="X624" s="480" t="s">
        <v>4849</v>
      </c>
      <c r="Y624" s="487">
        <v>44376</v>
      </c>
      <c r="Z624" s="487">
        <v>44376</v>
      </c>
      <c r="AA624" s="487">
        <v>44558</v>
      </c>
      <c r="AB624" s="483" t="s">
        <v>2913</v>
      </c>
      <c r="AC624" s="480" t="s">
        <v>3974</v>
      </c>
      <c r="AD624" s="483" t="s">
        <v>4850</v>
      </c>
      <c r="AE624" s="483" t="s">
        <v>4851</v>
      </c>
      <c r="AF624" s="689">
        <v>42840000</v>
      </c>
      <c r="AG624" s="473"/>
      <c r="AM624" s="213"/>
    </row>
    <row r="625" spans="1:39" x14ac:dyDescent="0.25">
      <c r="A625" s="314" t="s">
        <v>2319</v>
      </c>
      <c r="B625" s="420">
        <v>24528000</v>
      </c>
      <c r="C625" s="213" t="s">
        <v>2909</v>
      </c>
      <c r="D625" s="213">
        <v>615</v>
      </c>
      <c r="E625" s="310">
        <v>20212000029943</v>
      </c>
      <c r="F625" s="477">
        <v>44363</v>
      </c>
      <c r="G625" s="468" t="s">
        <v>2903</v>
      </c>
      <c r="H625" s="467" t="s">
        <v>2904</v>
      </c>
      <c r="I625" s="467" t="s">
        <v>391</v>
      </c>
      <c r="J625" s="470">
        <v>24528000</v>
      </c>
      <c r="K625" s="378" t="s">
        <v>2974</v>
      </c>
      <c r="L625" s="467" t="s">
        <v>2975</v>
      </c>
      <c r="M625" s="378" t="s">
        <v>44</v>
      </c>
      <c r="N625" s="378" t="s">
        <v>45</v>
      </c>
      <c r="O625" s="467" t="s">
        <v>63</v>
      </c>
      <c r="P625" s="213" t="s">
        <v>678</v>
      </c>
      <c r="R625" s="213">
        <v>676</v>
      </c>
      <c r="S625" s="477">
        <v>44364</v>
      </c>
      <c r="T625" s="213" t="s">
        <v>4852</v>
      </c>
      <c r="U625" s="536">
        <v>24528000</v>
      </c>
      <c r="V625" s="536"/>
      <c r="W625" s="537"/>
      <c r="X625" s="212"/>
      <c r="Y625" s="212"/>
      <c r="Z625" s="212"/>
      <c r="AA625" s="212"/>
      <c r="AB625" s="213"/>
      <c r="AD625" s="213"/>
      <c r="AF625" s="493"/>
      <c r="AG625" s="473"/>
      <c r="AM625" s="213"/>
    </row>
    <row r="626" spans="1:39" x14ac:dyDescent="0.25">
      <c r="A626" s="314" t="s">
        <v>2317</v>
      </c>
      <c r="B626" s="420">
        <v>26572000</v>
      </c>
      <c r="C626" s="213" t="s">
        <v>2909</v>
      </c>
      <c r="D626" s="213">
        <v>616</v>
      </c>
      <c r="E626" s="310">
        <v>20212000029953</v>
      </c>
      <c r="F626" s="477">
        <v>44363</v>
      </c>
      <c r="G626" s="468" t="s">
        <v>2903</v>
      </c>
      <c r="H626" s="467" t="s">
        <v>2904</v>
      </c>
      <c r="I626" s="467" t="s">
        <v>391</v>
      </c>
      <c r="J626" s="470">
        <v>24528000</v>
      </c>
      <c r="K626" s="378" t="s">
        <v>2974</v>
      </c>
      <c r="L626" s="467" t="s">
        <v>2975</v>
      </c>
      <c r="M626" s="378" t="s">
        <v>44</v>
      </c>
      <c r="N626" s="378" t="s">
        <v>45</v>
      </c>
      <c r="O626" s="467" t="s">
        <v>63</v>
      </c>
      <c r="P626" s="213" t="s">
        <v>678</v>
      </c>
      <c r="R626" s="213">
        <v>677</v>
      </c>
      <c r="S626" s="477">
        <v>44364</v>
      </c>
      <c r="T626" s="213" t="s">
        <v>4853</v>
      </c>
      <c r="U626" s="536">
        <v>24528000</v>
      </c>
      <c r="V626" s="536"/>
      <c r="W626" s="537"/>
      <c r="X626" s="212"/>
      <c r="Y626" s="212"/>
      <c r="Z626" s="212"/>
      <c r="AA626" s="212"/>
      <c r="AB626" s="213"/>
      <c r="AD626" s="213"/>
      <c r="AF626" s="493"/>
      <c r="AG626" s="473"/>
      <c r="AM626" s="213"/>
    </row>
    <row r="627" spans="1:39" x14ac:dyDescent="0.25">
      <c r="A627" s="314" t="s">
        <v>2383</v>
      </c>
      <c r="B627" s="420">
        <v>34850000</v>
      </c>
      <c r="C627" s="213" t="s">
        <v>2909</v>
      </c>
      <c r="D627" s="213">
        <v>617</v>
      </c>
      <c r="E627" s="310">
        <v>20212000029993</v>
      </c>
      <c r="F627" s="477">
        <v>44363</v>
      </c>
      <c r="G627" s="468" t="s">
        <v>2903</v>
      </c>
      <c r="H627" s="467" t="s">
        <v>2904</v>
      </c>
      <c r="I627" s="467" t="s">
        <v>391</v>
      </c>
      <c r="J627" s="470">
        <v>26650000</v>
      </c>
      <c r="K627" s="378" t="s">
        <v>2974</v>
      </c>
      <c r="L627" s="467" t="s">
        <v>2975</v>
      </c>
      <c r="M627" s="378" t="s">
        <v>44</v>
      </c>
      <c r="N627" s="378" t="s">
        <v>45</v>
      </c>
      <c r="O627" s="467" t="s">
        <v>63</v>
      </c>
      <c r="P627" s="213" t="s">
        <v>678</v>
      </c>
      <c r="R627" s="213">
        <v>678</v>
      </c>
      <c r="S627" s="477">
        <v>44364</v>
      </c>
      <c r="T627" s="213" t="s">
        <v>4854</v>
      </c>
      <c r="U627" s="536">
        <v>26650000</v>
      </c>
      <c r="V627" s="536"/>
      <c r="W627" s="537"/>
      <c r="X627" s="212"/>
      <c r="Y627" s="212"/>
      <c r="Z627" s="212"/>
      <c r="AA627" s="212"/>
      <c r="AB627" s="213"/>
      <c r="AD627" s="213"/>
      <c r="AF627" s="493"/>
      <c r="AG627" s="473"/>
      <c r="AM627" s="213"/>
    </row>
    <row r="628" spans="1:39" x14ac:dyDescent="0.25">
      <c r="A628" s="314" t="s">
        <v>2247</v>
      </c>
      <c r="B628" s="420">
        <v>36795303</v>
      </c>
      <c r="C628" s="213" t="s">
        <v>2909</v>
      </c>
      <c r="D628" s="213">
        <v>618</v>
      </c>
      <c r="E628" s="310">
        <v>20217000030083</v>
      </c>
      <c r="F628" s="477">
        <v>44363</v>
      </c>
      <c r="G628" s="312" t="s">
        <v>2910</v>
      </c>
      <c r="H628" s="213" t="s">
        <v>2911</v>
      </c>
      <c r="I628" s="213" t="s">
        <v>164</v>
      </c>
      <c r="J628" s="427">
        <v>24530202</v>
      </c>
      <c r="K628" s="213" t="s">
        <v>138</v>
      </c>
      <c r="L628" s="213" t="s">
        <v>139</v>
      </c>
      <c r="M628" s="213" t="s">
        <v>44</v>
      </c>
      <c r="N628" s="213" t="s">
        <v>45</v>
      </c>
      <c r="O628" s="213" t="s">
        <v>142</v>
      </c>
      <c r="P628" s="211" t="s">
        <v>678</v>
      </c>
      <c r="R628" s="213">
        <v>680</v>
      </c>
      <c r="S628" s="477">
        <v>44364</v>
      </c>
      <c r="T628" s="213" t="s">
        <v>4855</v>
      </c>
      <c r="U628" s="536">
        <v>24530202</v>
      </c>
      <c r="V628" s="536"/>
      <c r="W628" s="213"/>
      <c r="X628" s="527" t="s">
        <v>4856</v>
      </c>
      <c r="Y628" s="488">
        <v>44372</v>
      </c>
      <c r="Z628" s="488">
        <v>44372</v>
      </c>
      <c r="AA628" s="488">
        <v>44554</v>
      </c>
      <c r="AB628" s="490" t="s">
        <v>2913</v>
      </c>
      <c r="AC628" s="527" t="s">
        <v>4313</v>
      </c>
      <c r="AD628" s="490" t="s">
        <v>4377</v>
      </c>
      <c r="AE628" s="490" t="s">
        <v>4378</v>
      </c>
      <c r="AF628" s="493">
        <v>24530202</v>
      </c>
      <c r="AG628" s="473"/>
      <c r="AM628" s="213"/>
    </row>
    <row r="629" spans="1:39" x14ac:dyDescent="0.25">
      <c r="A629" s="314" t="s">
        <v>2150</v>
      </c>
      <c r="B629" s="420">
        <v>199875720</v>
      </c>
      <c r="C629" s="213" t="s">
        <v>4857</v>
      </c>
      <c r="D629" s="213">
        <v>619</v>
      </c>
      <c r="E629" s="310">
        <v>20213000030143</v>
      </c>
      <c r="F629" s="477">
        <v>44363</v>
      </c>
      <c r="G629" s="312" t="s">
        <v>2903</v>
      </c>
      <c r="H629" s="213" t="s">
        <v>2904</v>
      </c>
      <c r="I629" s="213" t="s">
        <v>432</v>
      </c>
      <c r="J629" s="427">
        <v>199875720</v>
      </c>
      <c r="K629" s="213" t="s">
        <v>342</v>
      </c>
      <c r="L629" s="213" t="s">
        <v>351</v>
      </c>
      <c r="M629" s="213" t="s">
        <v>44</v>
      </c>
      <c r="N629" s="213" t="s">
        <v>45</v>
      </c>
      <c r="O629" s="213" t="s">
        <v>63</v>
      </c>
      <c r="P629" s="213" t="s">
        <v>678</v>
      </c>
      <c r="R629" s="213">
        <v>681</v>
      </c>
      <c r="S629" s="477">
        <v>44364</v>
      </c>
      <c r="T629" s="213" t="s">
        <v>4858</v>
      </c>
      <c r="U629" s="536">
        <v>199875720</v>
      </c>
      <c r="V629" s="536"/>
      <c r="W629" s="537"/>
      <c r="X629" s="212"/>
      <c r="Y629" s="212"/>
      <c r="Z629" s="212"/>
      <c r="AA629" s="212"/>
      <c r="AB629" s="213"/>
      <c r="AD629" s="213"/>
      <c r="AF629" s="493"/>
      <c r="AG629" s="473"/>
      <c r="AM629" s="213"/>
    </row>
    <row r="630" spans="1:39" s="211" customFormat="1" x14ac:dyDescent="0.25">
      <c r="A630" s="314"/>
      <c r="B630" s="420" t="s">
        <v>4653</v>
      </c>
      <c r="C630" s="211" t="s">
        <v>4859</v>
      </c>
      <c r="D630" s="211">
        <v>620</v>
      </c>
      <c r="E630" s="310">
        <v>20213000030153</v>
      </c>
      <c r="F630" s="311">
        <v>44363</v>
      </c>
      <c r="G630" s="310" t="s">
        <v>2903</v>
      </c>
      <c r="H630" s="211" t="s">
        <v>2904</v>
      </c>
      <c r="I630" s="211" t="s">
        <v>432</v>
      </c>
      <c r="J630" s="408">
        <v>241278049</v>
      </c>
      <c r="K630" s="211" t="s">
        <v>342</v>
      </c>
      <c r="L630" s="211" t="s">
        <v>343</v>
      </c>
      <c r="M630" s="211" t="s">
        <v>44</v>
      </c>
      <c r="N630" s="211" t="s">
        <v>45</v>
      </c>
      <c r="O630" s="213" t="s">
        <v>310</v>
      </c>
      <c r="P630" s="213" t="s">
        <v>678</v>
      </c>
      <c r="R630" s="213">
        <v>707</v>
      </c>
      <c r="S630" s="477">
        <v>44375</v>
      </c>
      <c r="T630" s="213" t="s">
        <v>4860</v>
      </c>
      <c r="U630" s="536">
        <v>241278049</v>
      </c>
      <c r="V630" s="458"/>
      <c r="W630" s="459"/>
      <c r="X630" s="323"/>
      <c r="Y630" s="323"/>
      <c r="Z630" s="323"/>
      <c r="AA630" s="323"/>
      <c r="AC630" s="323"/>
      <c r="AF630" s="493"/>
      <c r="AG630" s="473"/>
      <c r="AH630" s="408"/>
      <c r="AI630" s="408"/>
      <c r="AJ630" s="408"/>
      <c r="AK630" s="408"/>
      <c r="AL630" s="408"/>
      <c r="AM630" s="213"/>
    </row>
    <row r="631" spans="1:39" x14ac:dyDescent="0.25">
      <c r="A631" s="314" t="s">
        <v>2464</v>
      </c>
      <c r="B631" s="420">
        <v>34000000</v>
      </c>
      <c r="C631" s="213" t="s">
        <v>4861</v>
      </c>
      <c r="D631" s="213">
        <v>621</v>
      </c>
      <c r="E631" s="310">
        <v>20211200030103</v>
      </c>
      <c r="F631" s="477">
        <v>44363</v>
      </c>
      <c r="G631" s="213" t="s">
        <v>2910</v>
      </c>
      <c r="H631" s="213" t="s">
        <v>2911</v>
      </c>
      <c r="I631" s="213" t="s">
        <v>143</v>
      </c>
      <c r="J631" s="408">
        <v>34000000</v>
      </c>
      <c r="K631" s="213" t="s">
        <v>138</v>
      </c>
      <c r="L631" s="213" t="s">
        <v>139</v>
      </c>
      <c r="M631" s="213" t="s">
        <v>3105</v>
      </c>
      <c r="N631" s="213" t="s">
        <v>150</v>
      </c>
      <c r="O631" s="213" t="s">
        <v>151</v>
      </c>
      <c r="P631" s="213" t="s">
        <v>43</v>
      </c>
      <c r="Q631" s="313"/>
      <c r="R631" s="213">
        <v>682</v>
      </c>
      <c r="S631" s="477">
        <v>44365</v>
      </c>
      <c r="T631" s="213" t="s">
        <v>2464</v>
      </c>
      <c r="U631" s="536">
        <v>34000000</v>
      </c>
      <c r="V631" s="213"/>
      <c r="W631" s="213"/>
      <c r="X631" s="212"/>
      <c r="Y631" s="213"/>
      <c r="Z631" s="212"/>
      <c r="AA631" s="213"/>
      <c r="AB631" s="213"/>
      <c r="AD631" s="213"/>
      <c r="AF631" s="493"/>
      <c r="AG631" s="473"/>
      <c r="AH631" s="213"/>
      <c r="AI631" s="213"/>
      <c r="AJ631" s="213"/>
      <c r="AK631" s="213"/>
      <c r="AL631" s="213"/>
      <c r="AM631" s="213"/>
    </row>
    <row r="632" spans="1:39" x14ac:dyDescent="0.25">
      <c r="A632" s="314" t="s">
        <v>2241</v>
      </c>
      <c r="B632" s="420">
        <v>28618569</v>
      </c>
      <c r="C632" s="213" t="s">
        <v>2909</v>
      </c>
      <c r="D632" s="213">
        <v>622</v>
      </c>
      <c r="E632" s="310">
        <v>20217000030163</v>
      </c>
      <c r="F632" s="477">
        <v>44363</v>
      </c>
      <c r="G632" s="213" t="s">
        <v>2910</v>
      </c>
      <c r="H632" s="213" t="s">
        <v>2911</v>
      </c>
      <c r="I632" s="213" t="s">
        <v>164</v>
      </c>
      <c r="J632" s="408">
        <v>19079046</v>
      </c>
      <c r="K632" s="213" t="s">
        <v>138</v>
      </c>
      <c r="L632" s="213" t="s">
        <v>139</v>
      </c>
      <c r="M632" s="213" t="s">
        <v>44</v>
      </c>
      <c r="N632" s="213" t="s">
        <v>45</v>
      </c>
      <c r="O632" s="213" t="s">
        <v>142</v>
      </c>
      <c r="P632" s="213" t="s">
        <v>678</v>
      </c>
      <c r="Q632" s="313"/>
      <c r="R632" s="213">
        <v>683</v>
      </c>
      <c r="S632" s="477">
        <v>44365</v>
      </c>
      <c r="T632" s="213" t="s">
        <v>4862</v>
      </c>
      <c r="U632" s="536">
        <v>19079046</v>
      </c>
      <c r="V632" s="213"/>
      <c r="W632" s="213"/>
      <c r="X632" s="212"/>
      <c r="Y632" s="213"/>
      <c r="Z632" s="212"/>
      <c r="AA632" s="213"/>
      <c r="AB632" s="213"/>
      <c r="AD632" s="213"/>
      <c r="AF632" s="493"/>
      <c r="AG632" s="473"/>
      <c r="AH632" s="213"/>
      <c r="AI632" s="213"/>
      <c r="AJ632" s="213"/>
      <c r="AK632" s="213"/>
      <c r="AL632" s="213"/>
      <c r="AM632" s="213"/>
    </row>
    <row r="633" spans="1:39" x14ac:dyDescent="0.25">
      <c r="A633" s="314" t="s">
        <v>2710</v>
      </c>
      <c r="B633" s="420">
        <v>18600000</v>
      </c>
      <c r="C633" s="213" t="s">
        <v>2909</v>
      </c>
      <c r="D633" s="213">
        <v>623</v>
      </c>
      <c r="E633" s="310">
        <v>20217000030213</v>
      </c>
      <c r="F633" s="477">
        <v>44363</v>
      </c>
      <c r="G633" s="312" t="s">
        <v>2910</v>
      </c>
      <c r="H633" s="213" t="s">
        <v>2911</v>
      </c>
      <c r="I633" s="213" t="s">
        <v>164</v>
      </c>
      <c r="J633" s="427">
        <v>13627890</v>
      </c>
      <c r="K633" s="213" t="s">
        <v>138</v>
      </c>
      <c r="L633" s="213" t="s">
        <v>139</v>
      </c>
      <c r="M633" s="213" t="s">
        <v>44</v>
      </c>
      <c r="N633" s="213" t="s">
        <v>45</v>
      </c>
      <c r="O633" s="213" t="s">
        <v>142</v>
      </c>
      <c r="P633" s="213" t="s">
        <v>678</v>
      </c>
      <c r="Q633" s="313"/>
      <c r="R633" s="213">
        <v>684</v>
      </c>
      <c r="S633" s="477">
        <v>44365</v>
      </c>
      <c r="T633" s="213" t="s">
        <v>4863</v>
      </c>
      <c r="U633" s="536">
        <v>13627890</v>
      </c>
      <c r="V633" s="536"/>
      <c r="W633" s="213"/>
      <c r="X633" s="480" t="s">
        <v>4864</v>
      </c>
      <c r="Y633" s="487">
        <v>44377</v>
      </c>
      <c r="Z633" s="487">
        <v>44377</v>
      </c>
      <c r="AA633" s="487">
        <v>44559</v>
      </c>
      <c r="AB633" s="483" t="s">
        <v>2913</v>
      </c>
      <c r="AC633" s="480" t="s">
        <v>4421</v>
      </c>
      <c r="AD633" s="483" t="s">
        <v>4865</v>
      </c>
      <c r="AE633" s="483" t="s">
        <v>4866</v>
      </c>
      <c r="AF633" s="689">
        <v>13627890</v>
      </c>
      <c r="AG633" s="473"/>
      <c r="AM633" s="213"/>
    </row>
    <row r="634" spans="1:39" x14ac:dyDescent="0.25">
      <c r="A634" s="314"/>
      <c r="B634" s="420" t="s">
        <v>4662</v>
      </c>
      <c r="C634" s="213" t="s">
        <v>4867</v>
      </c>
      <c r="D634" s="213">
        <v>624</v>
      </c>
      <c r="E634" s="310">
        <v>20212000030183</v>
      </c>
      <c r="F634" s="477">
        <v>44365</v>
      </c>
      <c r="G634" s="312" t="s">
        <v>2903</v>
      </c>
      <c r="H634" s="213" t="s">
        <v>2904</v>
      </c>
      <c r="I634" s="213" t="s">
        <v>391</v>
      </c>
      <c r="J634" s="427">
        <v>28966366</v>
      </c>
      <c r="K634" s="213" t="s">
        <v>2974</v>
      </c>
      <c r="L634" s="213" t="s">
        <v>4786</v>
      </c>
      <c r="M634" s="213" t="s">
        <v>44</v>
      </c>
      <c r="N634" s="213" t="s">
        <v>3199</v>
      </c>
      <c r="O634" s="213" t="s">
        <v>255</v>
      </c>
      <c r="P634" s="213" t="s">
        <v>4670</v>
      </c>
      <c r="Q634" s="313"/>
      <c r="R634" s="213">
        <v>687</v>
      </c>
      <c r="S634" s="477">
        <v>44365</v>
      </c>
      <c r="T634" s="213" t="s">
        <v>4868</v>
      </c>
      <c r="U634" s="536">
        <v>28966366</v>
      </c>
      <c r="V634" s="536"/>
      <c r="W634" s="537"/>
      <c r="X634" s="212"/>
      <c r="Y634" s="212"/>
      <c r="Z634" s="212"/>
      <c r="AA634" s="212"/>
      <c r="AB634" s="213"/>
      <c r="AD634" s="213"/>
      <c r="AF634" s="493"/>
      <c r="AG634" s="473"/>
      <c r="AM634" s="213"/>
    </row>
    <row r="635" spans="1:39" x14ac:dyDescent="0.25">
      <c r="A635" s="314"/>
      <c r="B635" s="420" t="s">
        <v>4662</v>
      </c>
      <c r="C635" s="213" t="s">
        <v>4869</v>
      </c>
      <c r="D635" s="213">
        <v>625</v>
      </c>
      <c r="E635" s="310">
        <v>20212000030193</v>
      </c>
      <c r="F635" s="477">
        <v>44365</v>
      </c>
      <c r="G635" s="312" t="s">
        <v>2903</v>
      </c>
      <c r="H635" s="213" t="s">
        <v>2904</v>
      </c>
      <c r="I635" s="213" t="s">
        <v>391</v>
      </c>
      <c r="J635" s="427">
        <v>921121770</v>
      </c>
      <c r="K635" s="213" t="s">
        <v>2974</v>
      </c>
      <c r="L635" s="213" t="s">
        <v>4786</v>
      </c>
      <c r="M635" s="213" t="s">
        <v>44</v>
      </c>
      <c r="N635" s="213" t="s">
        <v>3199</v>
      </c>
      <c r="O635" s="213" t="s">
        <v>255</v>
      </c>
      <c r="P635" s="213" t="s">
        <v>4670</v>
      </c>
      <c r="Q635" s="313"/>
      <c r="R635" s="213">
        <v>688</v>
      </c>
      <c r="S635" s="477">
        <v>44365</v>
      </c>
      <c r="T635" s="213" t="s">
        <v>4870</v>
      </c>
      <c r="U635" s="536">
        <v>921121770</v>
      </c>
      <c r="V635" s="536"/>
      <c r="W635" s="537"/>
      <c r="X635" s="212"/>
      <c r="Y635" s="212"/>
      <c r="Z635" s="212"/>
      <c r="AA635" s="212"/>
      <c r="AB635" s="213"/>
      <c r="AD635" s="213"/>
      <c r="AF635" s="493"/>
      <c r="AG635" s="473"/>
      <c r="AM635" s="213"/>
    </row>
    <row r="636" spans="1:39" s="313" customFormat="1" x14ac:dyDescent="0.25">
      <c r="A636" s="362"/>
      <c r="B636" s="418" t="s">
        <v>4662</v>
      </c>
      <c r="C636" s="313" t="s">
        <v>4871</v>
      </c>
      <c r="D636" s="313">
        <v>626</v>
      </c>
      <c r="E636" s="326">
        <v>20212000030203</v>
      </c>
      <c r="F636" s="316">
        <v>44365</v>
      </c>
      <c r="G636" s="326" t="s">
        <v>2903</v>
      </c>
      <c r="H636" s="313" t="s">
        <v>2904</v>
      </c>
      <c r="I636" s="313" t="s">
        <v>391</v>
      </c>
      <c r="J636" s="407">
        <v>12092439</v>
      </c>
      <c r="K636" s="313" t="s">
        <v>2974</v>
      </c>
      <c r="L636" s="313" t="s">
        <v>4786</v>
      </c>
      <c r="M636" s="313" t="s">
        <v>44</v>
      </c>
      <c r="N636" s="313" t="s">
        <v>3199</v>
      </c>
      <c r="O636" s="313" t="s">
        <v>255</v>
      </c>
      <c r="P636" s="313" t="s">
        <v>4670</v>
      </c>
      <c r="R636" s="313">
        <v>689</v>
      </c>
      <c r="S636" s="316">
        <v>44365</v>
      </c>
      <c r="T636" s="313" t="s">
        <v>4872</v>
      </c>
      <c r="U636" s="446">
        <f>12092439-12092439</f>
        <v>0</v>
      </c>
      <c r="V636" s="446">
        <v>12092439</v>
      </c>
      <c r="W636" s="389" t="s">
        <v>1757</v>
      </c>
      <c r="X636" s="317"/>
      <c r="Y636" s="317"/>
      <c r="Z636" s="317"/>
      <c r="AA636" s="317"/>
      <c r="AC636" s="317"/>
      <c r="AF636" s="697"/>
      <c r="AG636" s="319"/>
      <c r="AH636" s="446"/>
      <c r="AI636" s="446"/>
      <c r="AJ636" s="446"/>
      <c r="AK636" s="446"/>
      <c r="AL636" s="446"/>
      <c r="AM636" s="213"/>
    </row>
    <row r="637" spans="1:39" s="313" customFormat="1" x14ac:dyDescent="0.25">
      <c r="A637" s="362" t="s">
        <v>2137</v>
      </c>
      <c r="B637" s="418">
        <v>566352000</v>
      </c>
      <c r="C637" s="313" t="s">
        <v>4873</v>
      </c>
      <c r="D637" s="447">
        <v>627</v>
      </c>
      <c r="E637" s="326">
        <v>20215000030673</v>
      </c>
      <c r="F637" s="316">
        <v>44368</v>
      </c>
      <c r="G637" s="326" t="s">
        <v>2903</v>
      </c>
      <c r="H637" s="313" t="s">
        <v>2904</v>
      </c>
      <c r="I637" s="313" t="s">
        <v>228</v>
      </c>
      <c r="J637" s="407">
        <v>566352000</v>
      </c>
      <c r="K637" s="313" t="s">
        <v>223</v>
      </c>
      <c r="L637" s="313" t="s">
        <v>257</v>
      </c>
      <c r="M637" s="313" t="s">
        <v>44</v>
      </c>
      <c r="N637" s="313" t="s">
        <v>45</v>
      </c>
      <c r="O637" s="313" t="s">
        <v>63</v>
      </c>
      <c r="P637" s="313" t="s">
        <v>678</v>
      </c>
      <c r="Q637" s="313" t="s">
        <v>3563</v>
      </c>
      <c r="R637" s="213"/>
      <c r="S637" s="477"/>
      <c r="T637" s="213"/>
      <c r="U637" s="536"/>
      <c r="V637" s="446"/>
      <c r="W637" s="389"/>
      <c r="X637" s="317"/>
      <c r="Y637" s="317"/>
      <c r="Z637" s="317"/>
      <c r="AA637" s="317"/>
      <c r="AC637" s="317"/>
      <c r="AF637" s="493"/>
      <c r="AG637" s="473"/>
      <c r="AH637" s="406"/>
      <c r="AI637" s="406"/>
      <c r="AJ637" s="406"/>
      <c r="AK637" s="406"/>
      <c r="AL637" s="406"/>
      <c r="AM637" s="213"/>
    </row>
    <row r="638" spans="1:39" x14ac:dyDescent="0.25">
      <c r="A638" s="314"/>
      <c r="B638" s="420" t="s">
        <v>4653</v>
      </c>
      <c r="C638" s="213" t="s">
        <v>4874</v>
      </c>
      <c r="D638" s="213">
        <v>628</v>
      </c>
      <c r="E638" s="310">
        <v>20213000030733</v>
      </c>
      <c r="F638" s="477">
        <v>44369</v>
      </c>
      <c r="G638" s="468" t="s">
        <v>2903</v>
      </c>
      <c r="H638" s="467" t="s">
        <v>2904</v>
      </c>
      <c r="I638" s="467" t="s">
        <v>432</v>
      </c>
      <c r="J638" s="470">
        <v>8176734</v>
      </c>
      <c r="K638" s="467" t="s">
        <v>358</v>
      </c>
      <c r="L638" s="467" t="s">
        <v>4568</v>
      </c>
      <c r="M638" s="467" t="s">
        <v>44</v>
      </c>
      <c r="N638" s="467" t="s">
        <v>45</v>
      </c>
      <c r="O638" s="467" t="s">
        <v>63</v>
      </c>
      <c r="P638" s="213" t="s">
        <v>678</v>
      </c>
      <c r="R638" s="213">
        <v>691</v>
      </c>
      <c r="S638" s="477">
        <v>44370</v>
      </c>
      <c r="T638" s="213" t="s">
        <v>4875</v>
      </c>
      <c r="U638" s="536">
        <v>8176734</v>
      </c>
      <c r="V638" s="536"/>
      <c r="W638" s="213"/>
      <c r="X638" s="480" t="s">
        <v>4876</v>
      </c>
      <c r="Y638" s="487">
        <v>44377</v>
      </c>
      <c r="Z638" s="487">
        <v>44377</v>
      </c>
      <c r="AA638" s="487">
        <v>44468</v>
      </c>
      <c r="AB638" s="483" t="s">
        <v>2913</v>
      </c>
      <c r="AC638" s="480" t="s">
        <v>4877</v>
      </c>
      <c r="AD638" s="483" t="s">
        <v>4878</v>
      </c>
      <c r="AE638" s="483" t="s">
        <v>3446</v>
      </c>
      <c r="AF638" s="493">
        <v>8176734</v>
      </c>
      <c r="AG638" s="473"/>
      <c r="AM638" s="213"/>
    </row>
    <row r="639" spans="1:39" x14ac:dyDescent="0.25">
      <c r="A639" s="314" t="s">
        <v>2116</v>
      </c>
      <c r="B639" s="420">
        <v>257000000</v>
      </c>
      <c r="C639" s="213" t="s">
        <v>4879</v>
      </c>
      <c r="D639" s="213">
        <v>629</v>
      </c>
      <c r="E639" s="310">
        <v>20215000030753</v>
      </c>
      <c r="F639" s="477">
        <v>44369</v>
      </c>
      <c r="G639" s="312" t="s">
        <v>2903</v>
      </c>
      <c r="H639" s="213" t="s">
        <v>2904</v>
      </c>
      <c r="I639" s="213" t="s">
        <v>228</v>
      </c>
      <c r="J639" s="427">
        <v>254659992</v>
      </c>
      <c r="K639" s="213" t="s">
        <v>223</v>
      </c>
      <c r="L639" s="467" t="s">
        <v>224</v>
      </c>
      <c r="M639" s="213" t="s">
        <v>44</v>
      </c>
      <c r="N639" s="213" t="s">
        <v>45</v>
      </c>
      <c r="O639" s="213" t="s">
        <v>63</v>
      </c>
      <c r="P639" s="213" t="s">
        <v>678</v>
      </c>
      <c r="R639" s="213">
        <v>692</v>
      </c>
      <c r="S639" s="477">
        <v>44370</v>
      </c>
      <c r="T639" s="213" t="s">
        <v>4880</v>
      </c>
      <c r="U639" s="536">
        <v>254659992</v>
      </c>
      <c r="V639" s="536"/>
      <c r="W639" s="537"/>
      <c r="X639" s="212"/>
      <c r="Y639" s="212"/>
      <c r="Z639" s="212"/>
      <c r="AA639" s="212"/>
      <c r="AB639" s="213"/>
      <c r="AD639" s="213"/>
      <c r="AF639" s="493"/>
      <c r="AG639" s="473"/>
      <c r="AM639" s="213"/>
    </row>
    <row r="640" spans="1:39" x14ac:dyDescent="0.25">
      <c r="A640" s="314" t="s">
        <v>2114</v>
      </c>
      <c r="B640" s="420">
        <v>356000000</v>
      </c>
      <c r="C640" s="213" t="s">
        <v>4881</v>
      </c>
      <c r="D640" s="213">
        <v>630</v>
      </c>
      <c r="E640" s="310">
        <v>20215000030763</v>
      </c>
      <c r="F640" s="477">
        <v>44369</v>
      </c>
      <c r="G640" s="312" t="s">
        <v>2903</v>
      </c>
      <c r="H640" s="213" t="s">
        <v>2904</v>
      </c>
      <c r="I640" s="213" t="s">
        <v>228</v>
      </c>
      <c r="J640" s="427">
        <v>324292404</v>
      </c>
      <c r="K640" s="213" t="s">
        <v>223</v>
      </c>
      <c r="L640" s="467" t="s">
        <v>224</v>
      </c>
      <c r="M640" s="213" t="s">
        <v>44</v>
      </c>
      <c r="N640" s="213" t="s">
        <v>45</v>
      </c>
      <c r="O640" s="213" t="s">
        <v>63</v>
      </c>
      <c r="P640" s="213" t="s">
        <v>678</v>
      </c>
      <c r="R640" s="213">
        <v>693</v>
      </c>
      <c r="S640" s="477">
        <v>44370</v>
      </c>
      <c r="T640" s="213" t="s">
        <v>4882</v>
      </c>
      <c r="U640" s="536">
        <v>324292404</v>
      </c>
      <c r="W640" s="537"/>
      <c r="X640" s="212"/>
      <c r="Y640" s="212"/>
      <c r="Z640" s="212"/>
      <c r="AA640" s="212"/>
      <c r="AB640" s="213"/>
      <c r="AD640" s="213"/>
      <c r="AF640" s="493"/>
      <c r="AG640" s="473"/>
      <c r="AM640" s="213"/>
    </row>
    <row r="641" spans="1:39" x14ac:dyDescent="0.25">
      <c r="A641" s="314" t="s">
        <v>2119</v>
      </c>
      <c r="B641" s="420">
        <v>381000000</v>
      </c>
      <c r="C641" s="213" t="s">
        <v>4879</v>
      </c>
      <c r="D641" s="213">
        <v>631</v>
      </c>
      <c r="E641" s="310">
        <v>20215000030773</v>
      </c>
      <c r="F641" s="477">
        <v>44369</v>
      </c>
      <c r="G641" s="312" t="s">
        <v>2903</v>
      </c>
      <c r="H641" s="213" t="s">
        <v>2904</v>
      </c>
      <c r="I641" s="213" t="s">
        <v>228</v>
      </c>
      <c r="J641" s="427">
        <v>272400000</v>
      </c>
      <c r="K641" s="213" t="s">
        <v>223</v>
      </c>
      <c r="L641" s="467" t="s">
        <v>224</v>
      </c>
      <c r="M641" s="213" t="s">
        <v>44</v>
      </c>
      <c r="N641" s="213" t="s">
        <v>45</v>
      </c>
      <c r="O641" s="213" t="s">
        <v>63</v>
      </c>
      <c r="P641" s="213" t="s">
        <v>678</v>
      </c>
      <c r="R641" s="213">
        <v>694</v>
      </c>
      <c r="S641" s="477">
        <v>44370</v>
      </c>
      <c r="T641" s="213" t="s">
        <v>4883</v>
      </c>
      <c r="U641" s="536">
        <v>272400000</v>
      </c>
      <c r="V641" s="536"/>
      <c r="W641" s="537"/>
      <c r="X641" s="212"/>
      <c r="Y641" s="212"/>
      <c r="Z641" s="212"/>
      <c r="AA641" s="212"/>
      <c r="AB641" s="213"/>
      <c r="AD641" s="213"/>
      <c r="AF641" s="493"/>
      <c r="AG641" s="473"/>
      <c r="AM641" s="213"/>
    </row>
    <row r="642" spans="1:39" x14ac:dyDescent="0.25">
      <c r="A642" s="314"/>
      <c r="B642" s="476" t="s">
        <v>3366</v>
      </c>
      <c r="C642" s="213" t="s">
        <v>4884</v>
      </c>
      <c r="D642" s="213">
        <v>632</v>
      </c>
      <c r="E642" s="310">
        <v>20217000030813</v>
      </c>
      <c r="F642" s="477">
        <v>44369</v>
      </c>
      <c r="G642" s="312" t="s">
        <v>2910</v>
      </c>
      <c r="H642" s="213" t="s">
        <v>2911</v>
      </c>
      <c r="I642" s="213" t="s">
        <v>164</v>
      </c>
      <c r="J642" s="472">
        <v>1800000</v>
      </c>
      <c r="K642" s="213" t="s">
        <v>138</v>
      </c>
      <c r="L642" s="213" t="s">
        <v>139</v>
      </c>
      <c r="M642" s="213" t="s">
        <v>44</v>
      </c>
      <c r="N642" s="213" t="s">
        <v>45</v>
      </c>
      <c r="O642" s="213" t="s">
        <v>142</v>
      </c>
      <c r="P642" s="213" t="s">
        <v>43</v>
      </c>
      <c r="R642" s="213">
        <v>695</v>
      </c>
      <c r="S642" s="477">
        <v>44370</v>
      </c>
      <c r="T642" s="213" t="s">
        <v>4885</v>
      </c>
      <c r="U642" s="536">
        <v>1300000</v>
      </c>
      <c r="V642" s="536"/>
      <c r="W642" s="213"/>
      <c r="X642" s="527" t="s">
        <v>4886</v>
      </c>
      <c r="Y642" s="488">
        <v>44371</v>
      </c>
      <c r="Z642" s="488">
        <v>44371</v>
      </c>
      <c r="AA642" s="488">
        <v>44377</v>
      </c>
      <c r="AB642" s="490" t="s">
        <v>3369</v>
      </c>
      <c r="AC642" s="527" t="s">
        <v>3644</v>
      </c>
      <c r="AD642" s="490" t="s">
        <v>3370</v>
      </c>
      <c r="AE642" s="490" t="s">
        <v>3371</v>
      </c>
      <c r="AF642" s="493">
        <v>1300000</v>
      </c>
      <c r="AG642" s="473"/>
      <c r="AM642" s="307">
        <v>203900</v>
      </c>
    </row>
    <row r="643" spans="1:39" x14ac:dyDescent="0.25">
      <c r="A643" s="314" t="s">
        <v>2483</v>
      </c>
      <c r="B643" s="420">
        <v>30000000</v>
      </c>
      <c r="C643" s="213" t="s">
        <v>2909</v>
      </c>
      <c r="D643" s="213">
        <v>633</v>
      </c>
      <c r="E643" s="310">
        <v>20214000030783</v>
      </c>
      <c r="F643" s="477">
        <v>44370</v>
      </c>
      <c r="G643" s="312" t="s">
        <v>2936</v>
      </c>
      <c r="H643" s="213" t="s">
        <v>2937</v>
      </c>
      <c r="I643" s="213" t="s">
        <v>117</v>
      </c>
      <c r="J643" s="474">
        <v>30000000</v>
      </c>
      <c r="K643" s="213" t="s">
        <v>112</v>
      </c>
      <c r="L643" s="213" t="s">
        <v>2938</v>
      </c>
      <c r="M643" s="213" t="s">
        <v>44</v>
      </c>
      <c r="N643" s="213" t="s">
        <v>45</v>
      </c>
      <c r="O643" s="213" t="s">
        <v>63</v>
      </c>
      <c r="P643" s="213" t="s">
        <v>43</v>
      </c>
      <c r="R643" s="213">
        <v>698</v>
      </c>
      <c r="S643" s="477">
        <v>44371</v>
      </c>
      <c r="T643" s="213" t="s">
        <v>4887</v>
      </c>
      <c r="U643" s="536">
        <v>30000000</v>
      </c>
      <c r="V643" s="536"/>
      <c r="W643" s="537"/>
      <c r="X643" s="212"/>
      <c r="Y643" s="212"/>
      <c r="Z643" s="212"/>
      <c r="AA643" s="212"/>
      <c r="AB643" s="213"/>
      <c r="AD643" s="213"/>
      <c r="AF643" s="474"/>
      <c r="AM643" s="213"/>
    </row>
    <row r="644" spans="1:39" x14ac:dyDescent="0.25">
      <c r="A644" s="314"/>
      <c r="B644" s="420" t="s">
        <v>4662</v>
      </c>
      <c r="C644" s="213" t="s">
        <v>4888</v>
      </c>
      <c r="D644" s="213">
        <v>634</v>
      </c>
      <c r="E644" s="310">
        <v>20214000030793</v>
      </c>
      <c r="F644" s="477">
        <v>44370</v>
      </c>
      <c r="G644" s="312" t="s">
        <v>2936</v>
      </c>
      <c r="H644" s="213" t="s">
        <v>2937</v>
      </c>
      <c r="I644" s="213" t="s">
        <v>117</v>
      </c>
      <c r="J644" s="474">
        <v>15627675</v>
      </c>
      <c r="K644" s="213" t="s">
        <v>112</v>
      </c>
      <c r="L644" s="213" t="s">
        <v>2938</v>
      </c>
      <c r="M644" s="213" t="s">
        <v>44</v>
      </c>
      <c r="N644" s="213" t="s">
        <v>45</v>
      </c>
      <c r="O644" s="213" t="s">
        <v>63</v>
      </c>
      <c r="P644" s="213" t="s">
        <v>4889</v>
      </c>
      <c r="R644" s="213">
        <v>699</v>
      </c>
      <c r="S644" s="477">
        <v>44371</v>
      </c>
      <c r="T644" s="213" t="s">
        <v>4890</v>
      </c>
      <c r="U644" s="536">
        <v>15627675</v>
      </c>
      <c r="V644" s="536"/>
      <c r="W644" s="537"/>
      <c r="X644" s="212"/>
      <c r="Y644" s="212"/>
      <c r="Z644" s="212"/>
      <c r="AA644" s="212"/>
      <c r="AB644" s="213"/>
      <c r="AD644" s="213"/>
      <c r="AF644" s="474"/>
      <c r="AM644" s="213"/>
    </row>
    <row r="645" spans="1:39" s="450" customFormat="1" x14ac:dyDescent="0.25">
      <c r="A645" s="448"/>
      <c r="B645" s="449"/>
      <c r="D645" s="450">
        <v>634</v>
      </c>
      <c r="E645" s="451">
        <v>20214000030793</v>
      </c>
      <c r="F645" s="452">
        <v>44370</v>
      </c>
      <c r="G645" s="451" t="s">
        <v>2943</v>
      </c>
      <c r="H645" s="450" t="s">
        <v>2944</v>
      </c>
      <c r="I645" s="450" t="s">
        <v>47</v>
      </c>
      <c r="J645" s="453">
        <v>5209225</v>
      </c>
      <c r="K645" s="450" t="s">
        <v>37</v>
      </c>
      <c r="L645" s="450" t="s">
        <v>2945</v>
      </c>
      <c r="M645" s="450" t="s">
        <v>44</v>
      </c>
      <c r="N645" s="450" t="s">
        <v>45</v>
      </c>
      <c r="O645" s="213" t="s">
        <v>310</v>
      </c>
      <c r="P645" s="450" t="s">
        <v>4889</v>
      </c>
      <c r="R645" s="213">
        <v>699</v>
      </c>
      <c r="S645" s="477">
        <v>44371</v>
      </c>
      <c r="T645" s="213" t="s">
        <v>4890</v>
      </c>
      <c r="U645" s="536">
        <v>5209225</v>
      </c>
      <c r="V645" s="454"/>
      <c r="W645" s="455"/>
      <c r="X645" s="456"/>
      <c r="Y645" s="456"/>
      <c r="Z645" s="456"/>
      <c r="AA645" s="456"/>
      <c r="AC645" s="456"/>
      <c r="AF645" s="457"/>
      <c r="AH645" s="457"/>
      <c r="AI645" s="457"/>
      <c r="AJ645" s="457"/>
      <c r="AK645" s="457"/>
      <c r="AL645" s="457"/>
      <c r="AM645" s="213"/>
    </row>
    <row r="646" spans="1:39" x14ac:dyDescent="0.25">
      <c r="A646" s="314" t="s">
        <v>2137</v>
      </c>
      <c r="B646" s="420">
        <v>566352000</v>
      </c>
      <c r="C646" s="213" t="s">
        <v>4891</v>
      </c>
      <c r="D646" s="538">
        <v>635</v>
      </c>
      <c r="E646" s="310">
        <v>20215000030673</v>
      </c>
      <c r="F646" s="477">
        <v>44370</v>
      </c>
      <c r="G646" s="312" t="s">
        <v>2903</v>
      </c>
      <c r="H646" s="213" t="s">
        <v>2904</v>
      </c>
      <c r="I646" s="213" t="s">
        <v>228</v>
      </c>
      <c r="J646" s="427">
        <v>566352000</v>
      </c>
      <c r="K646" s="213" t="s">
        <v>223</v>
      </c>
      <c r="L646" s="213" t="s">
        <v>257</v>
      </c>
      <c r="M646" s="213" t="s">
        <v>44</v>
      </c>
      <c r="N646" s="213" t="s">
        <v>45</v>
      </c>
      <c r="O646" s="213" t="s">
        <v>63</v>
      </c>
      <c r="P646" s="213" t="s">
        <v>678</v>
      </c>
      <c r="R646" s="213">
        <v>697</v>
      </c>
      <c r="S646" s="477">
        <v>44371</v>
      </c>
      <c r="T646" s="213" t="s">
        <v>4892</v>
      </c>
      <c r="U646" s="536">
        <v>566352000</v>
      </c>
      <c r="V646" s="536"/>
      <c r="W646" s="537"/>
      <c r="X646" s="212"/>
      <c r="Y646" s="212"/>
      <c r="Z646" s="212"/>
      <c r="AA646" s="212"/>
      <c r="AB646" s="213"/>
      <c r="AD646" s="213"/>
      <c r="AF646" s="474"/>
      <c r="AM646" s="213"/>
    </row>
    <row r="647" spans="1:39" x14ac:dyDescent="0.25">
      <c r="A647" s="475" t="s">
        <v>2152</v>
      </c>
      <c r="B647" s="476">
        <v>439581220</v>
      </c>
      <c r="C647" s="213" t="s">
        <v>4893</v>
      </c>
      <c r="D647" s="213">
        <v>636</v>
      </c>
      <c r="E647" s="312">
        <v>20213000031073</v>
      </c>
      <c r="F647" s="477">
        <v>44370</v>
      </c>
      <c r="G647" s="312" t="s">
        <v>2903</v>
      </c>
      <c r="H647" s="213" t="s">
        <v>2904</v>
      </c>
      <c r="I647" s="213" t="s">
        <v>432</v>
      </c>
      <c r="J647" s="427">
        <v>439581220</v>
      </c>
      <c r="K647" s="213" t="s">
        <v>342</v>
      </c>
      <c r="L647" s="213" t="s">
        <v>351</v>
      </c>
      <c r="M647" s="213" t="s">
        <v>44</v>
      </c>
      <c r="N647" s="213" t="s">
        <v>45</v>
      </c>
      <c r="O647" s="213" t="s">
        <v>63</v>
      </c>
      <c r="P647" s="213" t="s">
        <v>4829</v>
      </c>
      <c r="R647" s="213">
        <v>700</v>
      </c>
      <c r="S647" s="477">
        <v>44371</v>
      </c>
      <c r="T647" s="213" t="s">
        <v>4894</v>
      </c>
      <c r="U647" s="536">
        <v>439581220</v>
      </c>
      <c r="V647" s="536"/>
      <c r="W647" s="537"/>
      <c r="X647" s="212"/>
      <c r="Y647" s="212"/>
      <c r="Z647" s="212"/>
      <c r="AA647" s="212"/>
      <c r="AB647" s="213"/>
      <c r="AD647" s="213"/>
      <c r="AF647" s="474"/>
      <c r="AM647" s="213"/>
    </row>
    <row r="648" spans="1:39" x14ac:dyDescent="0.25">
      <c r="A648" s="448"/>
      <c r="B648" s="420" t="s">
        <v>4662</v>
      </c>
      <c r="C648" s="213" t="s">
        <v>4895</v>
      </c>
      <c r="D648" s="213">
        <v>637</v>
      </c>
      <c r="E648" s="312">
        <v>20212000031083</v>
      </c>
      <c r="F648" s="477">
        <v>44370</v>
      </c>
      <c r="G648" s="312" t="s">
        <v>2903</v>
      </c>
      <c r="H648" s="213" t="s">
        <v>2904</v>
      </c>
      <c r="I648" s="213" t="s">
        <v>391</v>
      </c>
      <c r="J648" s="427">
        <v>12092439</v>
      </c>
      <c r="K648" s="213" t="s">
        <v>2974</v>
      </c>
      <c r="L648" s="213" t="s">
        <v>4786</v>
      </c>
      <c r="M648" s="213" t="s">
        <v>44</v>
      </c>
      <c r="N648" s="213" t="s">
        <v>3199</v>
      </c>
      <c r="O648" s="213" t="s">
        <v>255</v>
      </c>
      <c r="P648" s="213" t="s">
        <v>4670</v>
      </c>
      <c r="R648" s="213">
        <v>701</v>
      </c>
      <c r="S648" s="477">
        <v>44371</v>
      </c>
      <c r="T648" s="213" t="s">
        <v>4896</v>
      </c>
      <c r="U648" s="536">
        <v>12092439</v>
      </c>
      <c r="V648" s="536"/>
      <c r="W648" s="537"/>
      <c r="X648" s="212"/>
      <c r="Y648" s="212"/>
      <c r="Z648" s="212"/>
      <c r="AA648" s="212"/>
      <c r="AB648" s="213"/>
      <c r="AD648" s="213"/>
      <c r="AF648" s="474"/>
      <c r="AM648" s="213"/>
    </row>
    <row r="649" spans="1:39" x14ac:dyDescent="0.25">
      <c r="A649" s="448"/>
      <c r="B649" s="420" t="s">
        <v>4662</v>
      </c>
      <c r="C649" s="213" t="s">
        <v>4897</v>
      </c>
      <c r="D649" s="213">
        <v>638</v>
      </c>
      <c r="E649" s="312">
        <v>20215000031193</v>
      </c>
      <c r="F649" s="477">
        <v>44371</v>
      </c>
      <c r="G649" s="312" t="s">
        <v>2903</v>
      </c>
      <c r="H649" s="213" t="s">
        <v>2904</v>
      </c>
      <c r="I649" s="213" t="s">
        <v>228</v>
      </c>
      <c r="J649" s="474">
        <v>3066667</v>
      </c>
      <c r="K649" s="213" t="s">
        <v>223</v>
      </c>
      <c r="L649" s="213" t="s">
        <v>233</v>
      </c>
      <c r="M649" s="213" t="s">
        <v>44</v>
      </c>
      <c r="N649" s="213" t="s">
        <v>45</v>
      </c>
      <c r="O649" s="213" t="s">
        <v>63</v>
      </c>
      <c r="P649" s="213" t="s">
        <v>4889</v>
      </c>
      <c r="R649" s="213">
        <v>702</v>
      </c>
      <c r="S649" s="477">
        <v>44372</v>
      </c>
      <c r="T649" s="213" t="s">
        <v>4898</v>
      </c>
      <c r="U649" s="536">
        <v>3066667</v>
      </c>
      <c r="V649" s="536"/>
      <c r="W649" s="537"/>
      <c r="X649" s="212"/>
      <c r="Y649" s="212"/>
      <c r="Z649" s="212"/>
      <c r="AA649" s="212"/>
      <c r="AB649" s="213"/>
      <c r="AD649" s="213"/>
      <c r="AF649" s="474"/>
      <c r="AM649" s="213"/>
    </row>
    <row r="650" spans="1:39" x14ac:dyDescent="0.25">
      <c r="A650" s="448"/>
      <c r="B650" s="420" t="s">
        <v>4662</v>
      </c>
      <c r="C650" s="213" t="s">
        <v>4899</v>
      </c>
      <c r="D650" s="213">
        <v>639</v>
      </c>
      <c r="E650" s="312">
        <v>20215000031203</v>
      </c>
      <c r="F650" s="477">
        <v>44371</v>
      </c>
      <c r="G650" s="312" t="s">
        <v>2903</v>
      </c>
      <c r="H650" s="213" t="s">
        <v>2904</v>
      </c>
      <c r="I650" s="213" t="s">
        <v>228</v>
      </c>
      <c r="J650" s="474">
        <v>53103705</v>
      </c>
      <c r="K650" s="213" t="s">
        <v>223</v>
      </c>
      <c r="L650" s="213" t="s">
        <v>233</v>
      </c>
      <c r="M650" s="213" t="s">
        <v>44</v>
      </c>
      <c r="N650" s="213" t="s">
        <v>45</v>
      </c>
      <c r="O650" s="213" t="s">
        <v>63</v>
      </c>
      <c r="P650" s="213" t="s">
        <v>4889</v>
      </c>
      <c r="R650" s="213">
        <v>703</v>
      </c>
      <c r="S650" s="477">
        <v>44372</v>
      </c>
      <c r="T650" s="213" t="s">
        <v>4900</v>
      </c>
      <c r="U650" s="536">
        <v>53103705</v>
      </c>
      <c r="V650" s="536"/>
      <c r="W650" s="537"/>
      <c r="X650" s="212"/>
      <c r="Y650" s="212"/>
      <c r="Z650" s="212"/>
      <c r="AA650" s="212"/>
      <c r="AB650" s="213"/>
      <c r="AD650" s="213"/>
      <c r="AF650" s="474"/>
      <c r="AM650" s="213"/>
    </row>
    <row r="651" spans="1:39" x14ac:dyDescent="0.25">
      <c r="A651" s="314" t="s">
        <v>2500</v>
      </c>
      <c r="B651" s="476">
        <v>5838000000</v>
      </c>
      <c r="C651" s="213" t="s">
        <v>4901</v>
      </c>
      <c r="D651" s="213">
        <v>640</v>
      </c>
      <c r="E651" s="312">
        <v>20214000031283</v>
      </c>
      <c r="F651" s="477">
        <v>44371</v>
      </c>
      <c r="G651" s="312" t="s">
        <v>2936</v>
      </c>
      <c r="H651" s="213" t="s">
        <v>2937</v>
      </c>
      <c r="I651" s="213" t="s">
        <v>117</v>
      </c>
      <c r="J651" s="474">
        <v>4180303080</v>
      </c>
      <c r="K651" s="213" t="s">
        <v>112</v>
      </c>
      <c r="L651" s="213" t="s">
        <v>113</v>
      </c>
      <c r="M651" s="213" t="s">
        <v>44</v>
      </c>
      <c r="N651" s="213" t="s">
        <v>45</v>
      </c>
      <c r="O651" s="213" t="s">
        <v>142</v>
      </c>
      <c r="P651" s="213" t="s">
        <v>678</v>
      </c>
      <c r="R651" s="213">
        <v>704</v>
      </c>
      <c r="S651" s="477">
        <v>44372</v>
      </c>
      <c r="T651" s="213" t="s">
        <v>4902</v>
      </c>
      <c r="U651" s="536">
        <v>4180303080</v>
      </c>
      <c r="V651" s="536"/>
      <c r="W651" s="537"/>
      <c r="X651" s="212"/>
      <c r="Y651" s="212"/>
      <c r="Z651" s="212"/>
      <c r="AA651" s="212"/>
      <c r="AB651" s="213"/>
      <c r="AD651" s="213"/>
      <c r="AF651" s="474"/>
      <c r="AM651" s="213"/>
    </row>
    <row r="652" spans="1:39" x14ac:dyDescent="0.25">
      <c r="A652" s="475" t="s">
        <v>2397</v>
      </c>
      <c r="B652" s="476">
        <v>28200000</v>
      </c>
      <c r="C652" s="213" t="s">
        <v>2909</v>
      </c>
      <c r="D652" s="213">
        <v>641</v>
      </c>
      <c r="E652" s="312">
        <v>20214000031303</v>
      </c>
      <c r="F652" s="477">
        <v>44371</v>
      </c>
      <c r="G652" s="312" t="s">
        <v>2943</v>
      </c>
      <c r="H652" s="213" t="s">
        <v>2944</v>
      </c>
      <c r="I652" s="213" t="s">
        <v>47</v>
      </c>
      <c r="J652" s="427">
        <v>23500000</v>
      </c>
      <c r="K652" s="213" t="s">
        <v>37</v>
      </c>
      <c r="L652" s="213" t="s">
        <v>2945</v>
      </c>
      <c r="M652" s="213" t="s">
        <v>44</v>
      </c>
      <c r="N652" s="213" t="s">
        <v>45</v>
      </c>
      <c r="O652" s="213" t="s">
        <v>310</v>
      </c>
      <c r="P652" s="211" t="s">
        <v>43</v>
      </c>
      <c r="R652" s="213">
        <v>705</v>
      </c>
      <c r="S652" s="477">
        <v>44372</v>
      </c>
      <c r="T652" s="213" t="s">
        <v>4903</v>
      </c>
      <c r="U652" s="536">
        <v>23500000</v>
      </c>
      <c r="V652" s="536"/>
      <c r="W652" s="537"/>
      <c r="X652" s="212"/>
      <c r="Y652" s="212"/>
      <c r="Z652" s="212"/>
      <c r="AA652" s="212"/>
      <c r="AB652" s="213"/>
      <c r="AD652" s="213"/>
      <c r="AF652" s="474"/>
      <c r="AM652" s="213"/>
    </row>
    <row r="653" spans="1:39" x14ac:dyDescent="0.25">
      <c r="A653" s="475" t="s">
        <v>2612</v>
      </c>
      <c r="B653" s="476">
        <v>100000000</v>
      </c>
      <c r="C653" s="213" t="s">
        <v>4904</v>
      </c>
      <c r="D653" s="213">
        <v>642</v>
      </c>
      <c r="E653" s="312">
        <v>20213000030273</v>
      </c>
      <c r="F653" s="477">
        <v>44372</v>
      </c>
      <c r="G653" s="312" t="s">
        <v>2903</v>
      </c>
      <c r="H653" s="213" t="s">
        <v>2904</v>
      </c>
      <c r="I653" s="213" t="s">
        <v>432</v>
      </c>
      <c r="J653" s="474">
        <v>100000000</v>
      </c>
      <c r="K653" s="213" t="s">
        <v>342</v>
      </c>
      <c r="L653" s="213" t="s">
        <v>351</v>
      </c>
      <c r="M653" s="213" t="s">
        <v>44</v>
      </c>
      <c r="N653" s="213" t="s">
        <v>45</v>
      </c>
      <c r="O653" s="213" t="s">
        <v>63</v>
      </c>
      <c r="P653" s="213" t="s">
        <v>4829</v>
      </c>
      <c r="R653" s="213">
        <v>706</v>
      </c>
      <c r="S653" s="477">
        <v>44372</v>
      </c>
      <c r="T653" s="213" t="s">
        <v>4905</v>
      </c>
      <c r="U653" s="536">
        <v>100000000</v>
      </c>
      <c r="V653" s="536"/>
      <c r="W653" s="537"/>
      <c r="X653" s="212"/>
      <c r="Y653" s="212"/>
      <c r="Z653" s="212"/>
      <c r="AA653" s="212"/>
      <c r="AB653" s="213"/>
      <c r="AD653" s="213"/>
      <c r="AF653" s="474"/>
      <c r="AM653" s="213"/>
    </row>
    <row r="654" spans="1:39" x14ac:dyDescent="0.25">
      <c r="B654" s="476" t="s">
        <v>4662</v>
      </c>
      <c r="C654" s="213" t="s">
        <v>4906</v>
      </c>
      <c r="D654" s="213">
        <v>643</v>
      </c>
      <c r="E654" s="312">
        <v>20215000031473</v>
      </c>
      <c r="F654" s="477">
        <v>44375</v>
      </c>
      <c r="G654" s="312" t="s">
        <v>2903</v>
      </c>
      <c r="H654" s="213" t="s">
        <v>2904</v>
      </c>
      <c r="I654" s="213" t="s">
        <v>228</v>
      </c>
      <c r="J654" s="427">
        <v>4290000</v>
      </c>
      <c r="K654" s="213" t="s">
        <v>223</v>
      </c>
      <c r="L654" s="213" t="s">
        <v>233</v>
      </c>
      <c r="M654" s="213" t="s">
        <v>44</v>
      </c>
      <c r="N654" s="213" t="s">
        <v>45</v>
      </c>
      <c r="O654" s="213" t="s">
        <v>63</v>
      </c>
      <c r="P654" s="213" t="s">
        <v>4889</v>
      </c>
      <c r="R654" s="213">
        <v>709</v>
      </c>
      <c r="S654" s="477">
        <v>44375</v>
      </c>
      <c r="T654" s="213" t="s">
        <v>4907</v>
      </c>
      <c r="U654" s="427">
        <v>4290000</v>
      </c>
      <c r="V654" s="536"/>
      <c r="W654" s="325"/>
      <c r="X654" s="212"/>
      <c r="Y654" s="212"/>
      <c r="Z654" s="212"/>
      <c r="AA654" s="212"/>
      <c r="AB654" s="213"/>
      <c r="AD654" s="213"/>
      <c r="AF654" s="427"/>
      <c r="AH654" s="427"/>
      <c r="AI654" s="427"/>
      <c r="AJ654" s="427"/>
      <c r="AK654" s="427"/>
      <c r="AL654" s="427"/>
      <c r="AM654" s="213"/>
    </row>
    <row r="655" spans="1:39" x14ac:dyDescent="0.25">
      <c r="A655" s="475" t="s">
        <v>4908</v>
      </c>
      <c r="B655" s="476">
        <v>2500000000</v>
      </c>
      <c r="C655" s="213" t="s">
        <v>4904</v>
      </c>
      <c r="D655" s="213">
        <v>644</v>
      </c>
      <c r="E655" s="312">
        <v>20215000031503</v>
      </c>
      <c r="F655" s="477">
        <v>44375</v>
      </c>
      <c r="G655" s="312" t="s">
        <v>2903</v>
      </c>
      <c r="H655" s="213" t="s">
        <v>2904</v>
      </c>
      <c r="I655" s="213" t="s">
        <v>228</v>
      </c>
      <c r="J655" s="427">
        <v>2500000000</v>
      </c>
      <c r="K655" s="213" t="s">
        <v>223</v>
      </c>
      <c r="L655" s="213" t="s">
        <v>257</v>
      </c>
      <c r="M655" s="213" t="s">
        <v>44</v>
      </c>
      <c r="N655" s="213" t="s">
        <v>45</v>
      </c>
      <c r="O655" s="213" t="s">
        <v>310</v>
      </c>
      <c r="P655" s="213" t="s">
        <v>774</v>
      </c>
      <c r="R655" s="213">
        <v>710</v>
      </c>
      <c r="S655" s="477">
        <v>44375</v>
      </c>
      <c r="T655" s="213" t="s">
        <v>4909</v>
      </c>
      <c r="U655" s="427">
        <v>2500000000</v>
      </c>
      <c r="V655" s="536"/>
      <c r="W655" s="539"/>
      <c r="X655" s="212"/>
      <c r="Y655" s="212"/>
      <c r="Z655" s="212"/>
      <c r="AA655" s="212"/>
      <c r="AB655" s="213"/>
      <c r="AD655" s="213"/>
      <c r="AF655" s="427"/>
      <c r="AH655" s="427"/>
      <c r="AI655" s="427"/>
      <c r="AJ655" s="427"/>
      <c r="AK655" s="427"/>
      <c r="AL655" s="427"/>
      <c r="AM655" s="213"/>
    </row>
    <row r="656" spans="1:39" x14ac:dyDescent="0.25">
      <c r="A656" s="475" t="s">
        <v>4910</v>
      </c>
      <c r="B656" s="476">
        <v>50150000</v>
      </c>
      <c r="C656" s="213" t="s">
        <v>2909</v>
      </c>
      <c r="D656" s="213">
        <v>645</v>
      </c>
      <c r="E656" s="312">
        <v>20215000031513</v>
      </c>
      <c r="F656" s="477">
        <v>44375</v>
      </c>
      <c r="G656" s="312" t="s">
        <v>2903</v>
      </c>
      <c r="H656" s="213" t="s">
        <v>2904</v>
      </c>
      <c r="I656" s="213" t="s">
        <v>228</v>
      </c>
      <c r="J656" s="427">
        <v>50150000</v>
      </c>
      <c r="K656" s="213" t="s">
        <v>223</v>
      </c>
      <c r="L656" s="213" t="s">
        <v>233</v>
      </c>
      <c r="M656" s="213" t="s">
        <v>44</v>
      </c>
      <c r="N656" s="213" t="s">
        <v>45</v>
      </c>
      <c r="O656" s="213" t="s">
        <v>63</v>
      </c>
      <c r="P656" s="213" t="s">
        <v>678</v>
      </c>
      <c r="R656" s="213">
        <v>711</v>
      </c>
      <c r="S656" s="477">
        <v>44375</v>
      </c>
      <c r="T656" s="213" t="s">
        <v>4911</v>
      </c>
      <c r="U656" s="427">
        <v>50150000</v>
      </c>
      <c r="V656" s="536"/>
      <c r="W656" s="325"/>
      <c r="X656" s="212"/>
      <c r="Y656" s="212"/>
      <c r="Z656" s="212"/>
      <c r="AA656" s="212"/>
      <c r="AB656" s="213"/>
      <c r="AD656" s="213"/>
      <c r="AF656" s="427"/>
      <c r="AH656" s="427"/>
      <c r="AI656" s="427"/>
      <c r="AJ656" s="427"/>
      <c r="AK656" s="427"/>
      <c r="AL656" s="427"/>
      <c r="AM656" s="213"/>
    </row>
    <row r="657" spans="1:39" x14ac:dyDescent="0.25">
      <c r="A657" s="475" t="s">
        <v>2614</v>
      </c>
      <c r="B657" s="476">
        <v>59000000</v>
      </c>
      <c r="C657" s="213" t="s">
        <v>4912</v>
      </c>
      <c r="D657" s="213">
        <v>646</v>
      </c>
      <c r="E657" s="312">
        <v>20213000031583</v>
      </c>
      <c r="F657" s="477">
        <v>44375</v>
      </c>
      <c r="G657" s="312" t="s">
        <v>2903</v>
      </c>
      <c r="H657" s="213" t="s">
        <v>2904</v>
      </c>
      <c r="I657" s="213" t="s">
        <v>432</v>
      </c>
      <c r="J657" s="474">
        <v>59000000</v>
      </c>
      <c r="K657" s="213" t="s">
        <v>342</v>
      </c>
      <c r="L657" s="213" t="s">
        <v>351</v>
      </c>
      <c r="M657" s="213" t="s">
        <v>44</v>
      </c>
      <c r="N657" s="213" t="s">
        <v>45</v>
      </c>
      <c r="O657" s="213" t="s">
        <v>63</v>
      </c>
      <c r="P657" s="213" t="s">
        <v>4829</v>
      </c>
      <c r="R657" s="213">
        <v>714</v>
      </c>
      <c r="S657" s="477">
        <v>44376</v>
      </c>
      <c r="T657" s="213" t="s">
        <v>4913</v>
      </c>
      <c r="U657" s="536">
        <v>59000000</v>
      </c>
      <c r="V657" s="536"/>
      <c r="W657" s="537"/>
      <c r="X657" s="212"/>
      <c r="Y657" s="212"/>
      <c r="Z657" s="212"/>
      <c r="AA657" s="212"/>
      <c r="AB657" s="213"/>
      <c r="AD657" s="213"/>
      <c r="AF657" s="474"/>
      <c r="AM657" s="213"/>
    </row>
    <row r="658" spans="1:39" x14ac:dyDescent="0.25">
      <c r="A658" s="475" t="s">
        <v>2576</v>
      </c>
      <c r="B658" s="476">
        <v>650000000</v>
      </c>
      <c r="C658" s="213" t="s">
        <v>4914</v>
      </c>
      <c r="D658" s="213">
        <v>647</v>
      </c>
      <c r="E658" s="312">
        <v>20211400031553</v>
      </c>
      <c r="F658" s="477">
        <v>44375</v>
      </c>
      <c r="G658" s="312" t="s">
        <v>2910</v>
      </c>
      <c r="H658" s="213" t="s">
        <v>2911</v>
      </c>
      <c r="I658" s="213" t="s">
        <v>184</v>
      </c>
      <c r="J658" s="474">
        <v>650000000</v>
      </c>
      <c r="K658" s="213" t="s">
        <v>138</v>
      </c>
      <c r="L658" s="213" t="s">
        <v>181</v>
      </c>
      <c r="M658" s="213" t="s">
        <v>44</v>
      </c>
      <c r="N658" s="213" t="s">
        <v>45</v>
      </c>
      <c r="O658" s="213" t="s">
        <v>194</v>
      </c>
      <c r="P658" s="213" t="s">
        <v>678</v>
      </c>
      <c r="R658" s="213">
        <v>712</v>
      </c>
      <c r="S658" s="477">
        <v>44376</v>
      </c>
      <c r="T658" s="483" t="s">
        <v>4915</v>
      </c>
      <c r="U658" s="689">
        <v>650000000</v>
      </c>
      <c r="V658" s="536"/>
      <c r="W658" s="537"/>
      <c r="X658" s="212"/>
      <c r="Y658" s="212"/>
      <c r="Z658" s="212"/>
      <c r="AA658" s="212"/>
      <c r="AB658" s="213"/>
      <c r="AD658" s="213"/>
      <c r="AF658" s="474"/>
      <c r="AM658" s="213"/>
    </row>
    <row r="659" spans="1:39" x14ac:dyDescent="0.25">
      <c r="B659" s="540" t="s">
        <v>4653</v>
      </c>
      <c r="C659" s="213" t="s">
        <v>4916</v>
      </c>
      <c r="D659" s="213">
        <v>648</v>
      </c>
      <c r="E659" s="312">
        <v>20211300031573</v>
      </c>
      <c r="F659" s="477">
        <v>44375</v>
      </c>
      <c r="G659" s="312" t="s">
        <v>2910</v>
      </c>
      <c r="H659" s="213" t="s">
        <v>2911</v>
      </c>
      <c r="I659" s="213" t="s">
        <v>210</v>
      </c>
      <c r="J659" s="474">
        <v>10902312</v>
      </c>
      <c r="K659" s="213" t="s">
        <v>138</v>
      </c>
      <c r="L659" s="213" t="s">
        <v>139</v>
      </c>
      <c r="M659" s="213" t="s">
        <v>44</v>
      </c>
      <c r="N659" s="213" t="s">
        <v>45</v>
      </c>
      <c r="O659" s="213" t="s">
        <v>142</v>
      </c>
      <c r="P659" s="213" t="s">
        <v>43</v>
      </c>
      <c r="R659" s="213">
        <v>713</v>
      </c>
      <c r="S659" s="487">
        <v>44376</v>
      </c>
      <c r="T659" s="483" t="s">
        <v>4917</v>
      </c>
      <c r="U659" s="689">
        <v>10902312</v>
      </c>
      <c r="V659" s="536"/>
      <c r="W659" s="537"/>
      <c r="X659" s="212"/>
      <c r="Y659" s="212"/>
      <c r="Z659" s="212"/>
      <c r="AA659" s="212"/>
      <c r="AB659" s="213"/>
      <c r="AD659" s="213"/>
      <c r="AF659" s="474"/>
      <c r="AM659" s="213"/>
    </row>
    <row r="660" spans="1:39" x14ac:dyDescent="0.25">
      <c r="A660" s="475" t="s">
        <v>2851</v>
      </c>
      <c r="B660" s="476">
        <v>21804000</v>
      </c>
      <c r="C660" s="213" t="s">
        <v>2909</v>
      </c>
      <c r="D660" s="213">
        <v>649</v>
      </c>
      <c r="E660" s="312">
        <v>20214000031653</v>
      </c>
      <c r="F660" s="477">
        <v>44376</v>
      </c>
      <c r="G660" s="312" t="s">
        <v>2936</v>
      </c>
      <c r="H660" s="213" t="s">
        <v>2937</v>
      </c>
      <c r="I660" s="213" t="s">
        <v>117</v>
      </c>
      <c r="J660" s="474">
        <v>18170000</v>
      </c>
      <c r="K660" s="213" t="s">
        <v>112</v>
      </c>
      <c r="L660" s="213" t="s">
        <v>2938</v>
      </c>
      <c r="M660" s="213" t="s">
        <v>44</v>
      </c>
      <c r="N660" s="213" t="s">
        <v>45</v>
      </c>
      <c r="O660" s="213" t="s">
        <v>63</v>
      </c>
      <c r="P660" s="213" t="s">
        <v>43</v>
      </c>
      <c r="R660" s="213">
        <v>716</v>
      </c>
      <c r="S660" s="477">
        <v>44377</v>
      </c>
      <c r="T660" s="213" t="s">
        <v>4918</v>
      </c>
      <c r="U660" s="536">
        <v>18170000</v>
      </c>
      <c r="V660" s="536"/>
      <c r="W660" s="537"/>
      <c r="X660" s="212"/>
      <c r="Y660" s="212"/>
      <c r="Z660" s="212"/>
      <c r="AA660" s="212"/>
      <c r="AB660" s="213"/>
      <c r="AD660" s="213"/>
      <c r="AF660" s="474"/>
      <c r="AM660" s="213"/>
    </row>
    <row r="661" spans="1:39" s="313" customFormat="1" x14ac:dyDescent="0.25">
      <c r="A661" s="362" t="s">
        <v>4919</v>
      </c>
      <c r="B661" s="418">
        <v>80000000</v>
      </c>
      <c r="C661" s="313" t="s">
        <v>4920</v>
      </c>
      <c r="D661" s="313">
        <v>650</v>
      </c>
      <c r="E661" s="326">
        <v>20216000031753</v>
      </c>
      <c r="F661" s="316">
        <v>44376</v>
      </c>
      <c r="G661" s="326" t="s">
        <v>2903</v>
      </c>
      <c r="H661" s="313" t="s">
        <v>2904</v>
      </c>
      <c r="I661" s="313" t="s">
        <v>228</v>
      </c>
      <c r="J661" s="407">
        <v>40000000</v>
      </c>
      <c r="K661" s="313" t="s">
        <v>223</v>
      </c>
      <c r="L661" s="365" t="s">
        <v>224</v>
      </c>
      <c r="M661" s="313" t="s">
        <v>44</v>
      </c>
      <c r="N661" s="313" t="s">
        <v>3199</v>
      </c>
      <c r="O661" s="313" t="s">
        <v>132</v>
      </c>
      <c r="P661" s="313" t="s">
        <v>678</v>
      </c>
      <c r="Q661" s="313" t="s">
        <v>3563</v>
      </c>
      <c r="U661" s="446"/>
      <c r="V661" s="446"/>
      <c r="W661" s="389"/>
      <c r="X661" s="317"/>
      <c r="Y661" s="317"/>
      <c r="Z661" s="317"/>
      <c r="AA661" s="317"/>
      <c r="AC661" s="317"/>
      <c r="AF661" s="406"/>
      <c r="AH661" s="406"/>
      <c r="AI661" s="406"/>
      <c r="AJ661" s="406"/>
      <c r="AK661" s="406"/>
      <c r="AL661" s="406"/>
      <c r="AM661" s="213"/>
    </row>
    <row r="662" spans="1:39" s="313" customFormat="1" x14ac:dyDescent="0.25">
      <c r="A662" s="362"/>
      <c r="B662" s="698"/>
      <c r="D662" s="313">
        <v>650</v>
      </c>
      <c r="E662" s="326">
        <v>20216000031753</v>
      </c>
      <c r="F662" s="316">
        <v>44376</v>
      </c>
      <c r="G662" s="382" t="s">
        <v>2903</v>
      </c>
      <c r="H662" s="365" t="s">
        <v>2904</v>
      </c>
      <c r="I662" s="365" t="s">
        <v>432</v>
      </c>
      <c r="J662" s="407">
        <v>40000000</v>
      </c>
      <c r="K662" s="313" t="s">
        <v>342</v>
      </c>
      <c r="L662" s="365" t="s">
        <v>351</v>
      </c>
      <c r="M662" s="313" t="s">
        <v>44</v>
      </c>
      <c r="N662" s="365" t="s">
        <v>150</v>
      </c>
      <c r="O662" s="365" t="s">
        <v>4921</v>
      </c>
      <c r="P662" s="313" t="s">
        <v>678</v>
      </c>
      <c r="Q662" s="313" t="s">
        <v>3563</v>
      </c>
      <c r="U662" s="446"/>
      <c r="V662" s="446"/>
      <c r="W662" s="389"/>
      <c r="X662" s="317"/>
      <c r="Y662" s="317"/>
      <c r="Z662" s="317"/>
      <c r="AA662" s="317"/>
      <c r="AC662" s="317"/>
      <c r="AF662" s="406"/>
      <c r="AH662" s="406"/>
      <c r="AI662" s="406"/>
      <c r="AJ662" s="406"/>
      <c r="AK662" s="406"/>
      <c r="AL662" s="406"/>
      <c r="AM662" s="213"/>
    </row>
    <row r="663" spans="1:39" x14ac:dyDescent="0.25">
      <c r="A663" s="475" t="s">
        <v>2752</v>
      </c>
      <c r="B663" s="476">
        <v>21725000</v>
      </c>
      <c r="C663" s="213" t="s">
        <v>2909</v>
      </c>
      <c r="D663" s="213">
        <v>651</v>
      </c>
      <c r="E663" s="312">
        <v>20212000031763</v>
      </c>
      <c r="F663" s="477">
        <v>44376</v>
      </c>
      <c r="G663" s="468" t="s">
        <v>2903</v>
      </c>
      <c r="H663" s="467" t="s">
        <v>2904</v>
      </c>
      <c r="I663" s="467" t="s">
        <v>391</v>
      </c>
      <c r="J663" s="470">
        <v>21725000</v>
      </c>
      <c r="K663" s="378" t="s">
        <v>2974</v>
      </c>
      <c r="L663" s="467" t="s">
        <v>2975</v>
      </c>
      <c r="M663" s="378" t="s">
        <v>44</v>
      </c>
      <c r="N663" s="378" t="s">
        <v>45</v>
      </c>
      <c r="O663" s="467" t="s">
        <v>63</v>
      </c>
      <c r="P663" s="213" t="s">
        <v>678</v>
      </c>
      <c r="Q663" s="467"/>
      <c r="R663" s="213">
        <v>717</v>
      </c>
      <c r="S663" s="477">
        <v>44377</v>
      </c>
      <c r="T663" s="213" t="s">
        <v>4922</v>
      </c>
      <c r="U663" s="536">
        <v>21725000</v>
      </c>
      <c r="V663" s="536"/>
      <c r="W663" s="537"/>
      <c r="X663" s="212"/>
      <c r="Y663" s="212"/>
      <c r="Z663" s="212"/>
      <c r="AA663" s="212"/>
      <c r="AB663" s="213"/>
      <c r="AD663" s="213"/>
      <c r="AF663" s="474"/>
      <c r="AM663" s="213"/>
    </row>
    <row r="664" spans="1:39" x14ac:dyDescent="0.25">
      <c r="A664" s="475" t="s">
        <v>2759</v>
      </c>
      <c r="B664" s="476">
        <v>24600000</v>
      </c>
      <c r="C664" s="213" t="s">
        <v>2909</v>
      </c>
      <c r="D664" s="213">
        <v>652</v>
      </c>
      <c r="E664" s="312">
        <v>20212000031773</v>
      </c>
      <c r="F664" s="477">
        <v>44376</v>
      </c>
      <c r="G664" s="468" t="s">
        <v>2903</v>
      </c>
      <c r="H664" s="467" t="s">
        <v>2904</v>
      </c>
      <c r="I664" s="467" t="s">
        <v>391</v>
      </c>
      <c r="J664" s="470">
        <v>24600000</v>
      </c>
      <c r="K664" s="378" t="s">
        <v>2974</v>
      </c>
      <c r="L664" s="467" t="s">
        <v>2975</v>
      </c>
      <c r="M664" s="378" t="s">
        <v>44</v>
      </c>
      <c r="N664" s="378" t="s">
        <v>45</v>
      </c>
      <c r="O664" s="467" t="s">
        <v>63</v>
      </c>
      <c r="P664" s="213" t="s">
        <v>678</v>
      </c>
      <c r="R664" s="213">
        <v>718</v>
      </c>
      <c r="S664" s="477">
        <v>44377</v>
      </c>
      <c r="T664" s="213" t="s">
        <v>4923</v>
      </c>
      <c r="U664" s="536">
        <v>24600000</v>
      </c>
      <c r="V664" s="536"/>
      <c r="W664" s="537"/>
      <c r="X664" s="212"/>
      <c r="Y664" s="212"/>
      <c r="Z664" s="212"/>
      <c r="AA664" s="212"/>
      <c r="AB664" s="213"/>
      <c r="AD664" s="213"/>
      <c r="AF664" s="474"/>
      <c r="AM664" s="213"/>
    </row>
    <row r="665" spans="1:39" x14ac:dyDescent="0.25">
      <c r="A665" s="475" t="s">
        <v>2620</v>
      </c>
      <c r="B665" s="476">
        <v>45100000</v>
      </c>
      <c r="C665" s="213" t="s">
        <v>2909</v>
      </c>
      <c r="D665" s="213">
        <v>653</v>
      </c>
      <c r="E665" s="312">
        <v>20212000031783</v>
      </c>
      <c r="F665" s="477">
        <v>44376</v>
      </c>
      <c r="G665" s="468" t="s">
        <v>2903</v>
      </c>
      <c r="H665" s="467" t="s">
        <v>2904</v>
      </c>
      <c r="I665" s="467" t="s">
        <v>391</v>
      </c>
      <c r="J665" s="470">
        <v>45100000</v>
      </c>
      <c r="K665" s="378" t="s">
        <v>2974</v>
      </c>
      <c r="L665" s="467" t="s">
        <v>2975</v>
      </c>
      <c r="M665" s="378" t="s">
        <v>44</v>
      </c>
      <c r="N665" s="378" t="s">
        <v>45</v>
      </c>
      <c r="O665" s="467" t="s">
        <v>63</v>
      </c>
      <c r="P665" s="213" t="s">
        <v>678</v>
      </c>
      <c r="R665" s="213">
        <v>719</v>
      </c>
      <c r="S665" s="477">
        <v>44377</v>
      </c>
      <c r="T665" s="213" t="s">
        <v>4924</v>
      </c>
      <c r="U665" s="536">
        <v>45100000</v>
      </c>
      <c r="V665" s="536"/>
      <c r="W665" s="537"/>
      <c r="X665" s="212"/>
      <c r="Y665" s="212"/>
      <c r="Z665" s="212"/>
      <c r="AA665" s="212"/>
      <c r="AB665" s="213"/>
      <c r="AD665" s="213"/>
      <c r="AF665" s="474"/>
      <c r="AM665" s="213"/>
    </row>
    <row r="666" spans="1:39" x14ac:dyDescent="0.25">
      <c r="A666" s="475" t="s">
        <v>2621</v>
      </c>
      <c r="B666" s="476">
        <v>27500000</v>
      </c>
      <c r="C666" s="213" t="s">
        <v>2909</v>
      </c>
      <c r="D666" s="213">
        <v>654</v>
      </c>
      <c r="E666" s="312">
        <v>20212000031793</v>
      </c>
      <c r="F666" s="477">
        <v>44376</v>
      </c>
      <c r="G666" s="468" t="s">
        <v>2903</v>
      </c>
      <c r="H666" s="467" t="s">
        <v>2904</v>
      </c>
      <c r="I666" s="467" t="s">
        <v>391</v>
      </c>
      <c r="J666" s="470">
        <v>27500000</v>
      </c>
      <c r="K666" s="378" t="s">
        <v>2974</v>
      </c>
      <c r="L666" s="467" t="s">
        <v>2975</v>
      </c>
      <c r="M666" s="378" t="s">
        <v>44</v>
      </c>
      <c r="N666" s="378" t="s">
        <v>45</v>
      </c>
      <c r="O666" s="467" t="s">
        <v>63</v>
      </c>
      <c r="P666" s="213" t="s">
        <v>678</v>
      </c>
      <c r="R666" s="213">
        <v>720</v>
      </c>
      <c r="S666" s="477">
        <v>44377</v>
      </c>
      <c r="T666" s="213" t="s">
        <v>4925</v>
      </c>
      <c r="U666" s="536">
        <v>27500000</v>
      </c>
      <c r="V666" s="536"/>
      <c r="W666" s="537"/>
      <c r="X666" s="212"/>
      <c r="Y666" s="212"/>
      <c r="Z666" s="212"/>
      <c r="AA666" s="212"/>
      <c r="AB666" s="213"/>
      <c r="AD666" s="213"/>
      <c r="AF666" s="474"/>
      <c r="AM666" s="213"/>
    </row>
    <row r="667" spans="1:39" x14ac:dyDescent="0.25">
      <c r="A667" s="475" t="s">
        <v>4926</v>
      </c>
      <c r="B667" s="476">
        <v>80782875</v>
      </c>
      <c r="C667" s="213" t="s">
        <v>4927</v>
      </c>
      <c r="D667" s="213">
        <v>655</v>
      </c>
      <c r="E667" s="312">
        <v>20215000032073</v>
      </c>
      <c r="F667" s="477">
        <v>44377</v>
      </c>
      <c r="G667" s="312" t="s">
        <v>2903</v>
      </c>
      <c r="H667" s="213" t="s">
        <v>2904</v>
      </c>
      <c r="I667" s="213" t="s">
        <v>228</v>
      </c>
      <c r="J667" s="427">
        <v>80782875</v>
      </c>
      <c r="K667" s="213" t="s">
        <v>223</v>
      </c>
      <c r="L667" s="213" t="s">
        <v>257</v>
      </c>
      <c r="M667" s="213" t="s">
        <v>44</v>
      </c>
      <c r="N667" s="213" t="s">
        <v>45</v>
      </c>
      <c r="O667" s="213" t="s">
        <v>310</v>
      </c>
      <c r="P667" s="213" t="s">
        <v>774</v>
      </c>
      <c r="S667" s="213"/>
      <c r="U667" s="536"/>
      <c r="V667" s="536"/>
      <c r="W667" s="537"/>
      <c r="X667" s="212"/>
      <c r="Y667" s="212"/>
      <c r="Z667" s="212"/>
      <c r="AA667" s="212"/>
      <c r="AB667" s="213"/>
      <c r="AD667" s="213"/>
      <c r="AF667" s="474"/>
      <c r="AM667" s="213"/>
    </row>
    <row r="668" spans="1:39" x14ac:dyDescent="0.25">
      <c r="B668" s="476" t="s">
        <v>3366</v>
      </c>
      <c r="C668" s="213" t="s">
        <v>4928</v>
      </c>
      <c r="D668" s="213">
        <v>656</v>
      </c>
      <c r="E668" s="312">
        <v>20215000032083</v>
      </c>
      <c r="F668" s="477">
        <v>44377</v>
      </c>
      <c r="G668" s="312" t="s">
        <v>2903</v>
      </c>
      <c r="H668" s="213" t="s">
        <v>2904</v>
      </c>
      <c r="I668" s="213" t="s">
        <v>228</v>
      </c>
      <c r="J668" s="427">
        <v>273019170</v>
      </c>
      <c r="K668" s="213" t="s">
        <v>223</v>
      </c>
      <c r="L668" s="467" t="s">
        <v>224</v>
      </c>
      <c r="M668" s="213" t="s">
        <v>44</v>
      </c>
      <c r="N668" s="213" t="s">
        <v>3199</v>
      </c>
      <c r="O668" s="213" t="s">
        <v>132</v>
      </c>
      <c r="P668" s="213" t="s">
        <v>4889</v>
      </c>
      <c r="S668" s="213"/>
      <c r="U668" s="536"/>
      <c r="V668" s="536"/>
      <c r="W668" s="537"/>
      <c r="X668" s="212"/>
      <c r="Y668" s="212"/>
      <c r="Z668" s="212"/>
      <c r="AA668" s="212"/>
      <c r="AB668" s="213"/>
      <c r="AD668" s="213"/>
      <c r="AF668" s="474"/>
      <c r="AM668" s="213"/>
    </row>
    <row r="669" spans="1:39" x14ac:dyDescent="0.25">
      <c r="B669" s="476" t="s">
        <v>3366</v>
      </c>
      <c r="C669" s="213" t="s">
        <v>4929</v>
      </c>
      <c r="D669" s="213">
        <v>657</v>
      </c>
      <c r="E669" s="312">
        <v>20215000032093</v>
      </c>
      <c r="F669" s="477">
        <v>44377</v>
      </c>
      <c r="G669" s="312" t="s">
        <v>2903</v>
      </c>
      <c r="H669" s="213" t="s">
        <v>2904</v>
      </c>
      <c r="I669" s="213" t="s">
        <v>228</v>
      </c>
      <c r="J669" s="427">
        <v>19874784</v>
      </c>
      <c r="K669" s="213" t="s">
        <v>223</v>
      </c>
      <c r="L669" s="467" t="s">
        <v>224</v>
      </c>
      <c r="M669" s="213" t="s">
        <v>44</v>
      </c>
      <c r="N669" s="213" t="s">
        <v>3199</v>
      </c>
      <c r="O669" s="213" t="s">
        <v>132</v>
      </c>
      <c r="P669" s="213" t="s">
        <v>4889</v>
      </c>
      <c r="S669" s="213"/>
      <c r="U669" s="536"/>
      <c r="V669" s="536"/>
      <c r="W669" s="537"/>
      <c r="X669" s="212"/>
      <c r="Y669" s="212"/>
      <c r="Z669" s="212"/>
      <c r="AA669" s="212"/>
      <c r="AB669" s="213"/>
      <c r="AD669" s="213"/>
      <c r="AF669" s="474"/>
      <c r="AM669" s="213"/>
    </row>
    <row r="670" spans="1:39" x14ac:dyDescent="0.25">
      <c r="A670" s="213"/>
      <c r="B670" s="536"/>
      <c r="D670" s="213"/>
      <c r="F670" s="213"/>
      <c r="G670" s="213"/>
      <c r="J670" s="536"/>
      <c r="S670" s="213"/>
      <c r="U670" s="536"/>
      <c r="V670" s="536"/>
      <c r="W670" s="537"/>
      <c r="X670" s="212"/>
      <c r="Y670" s="212"/>
      <c r="Z670" s="212"/>
      <c r="AA670" s="212"/>
      <c r="AB670" s="213"/>
      <c r="AD670" s="213"/>
      <c r="AF670" s="474"/>
      <c r="AM670" s="213"/>
    </row>
    <row r="671" spans="1:39" x14ac:dyDescent="0.25">
      <c r="A671" s="213"/>
      <c r="B671" s="536"/>
      <c r="D671" s="213"/>
      <c r="F671" s="213"/>
      <c r="G671" s="213"/>
      <c r="J671" s="536"/>
      <c r="S671" s="213"/>
      <c r="U671" s="536"/>
      <c r="V671" s="536"/>
      <c r="W671" s="537"/>
      <c r="X671" s="212"/>
      <c r="Y671" s="212"/>
      <c r="Z671" s="212"/>
      <c r="AA671" s="212"/>
      <c r="AB671" s="213"/>
      <c r="AD671" s="213"/>
      <c r="AF671" s="474"/>
      <c r="AM671" s="213"/>
    </row>
    <row r="672" spans="1:39" x14ac:dyDescent="0.25">
      <c r="A672" s="213"/>
      <c r="B672" s="536"/>
      <c r="D672" s="213"/>
      <c r="F672" s="213"/>
      <c r="G672" s="213"/>
      <c r="J672" s="536"/>
      <c r="S672" s="213"/>
      <c r="U672" s="536"/>
      <c r="V672" s="536"/>
      <c r="W672" s="537"/>
      <c r="X672" s="212"/>
      <c r="Y672" s="212"/>
      <c r="Z672" s="212"/>
      <c r="AA672" s="212"/>
      <c r="AB672" s="213"/>
      <c r="AD672" s="213"/>
      <c r="AF672" s="474"/>
      <c r="AM672" s="213"/>
    </row>
    <row r="673" spans="1:39" x14ac:dyDescent="0.25">
      <c r="A673" s="213"/>
      <c r="B673" s="536"/>
      <c r="D673" s="213"/>
      <c r="F673" s="213"/>
      <c r="G673" s="213"/>
      <c r="J673" s="536"/>
      <c r="S673" s="213"/>
      <c r="U673" s="536"/>
      <c r="V673" s="536"/>
      <c r="W673" s="537"/>
      <c r="X673" s="212"/>
      <c r="Y673" s="212"/>
      <c r="Z673" s="212"/>
      <c r="AA673" s="212"/>
      <c r="AB673" s="213"/>
      <c r="AD673" s="213"/>
      <c r="AF673" s="536"/>
      <c r="AM673" s="213"/>
    </row>
    <row r="674" spans="1:39" x14ac:dyDescent="0.25">
      <c r="A674" s="213"/>
      <c r="B674" s="536"/>
      <c r="D674" s="213"/>
      <c r="F674" s="213"/>
      <c r="G674" s="213"/>
      <c r="J674" s="536"/>
      <c r="S674" s="213"/>
      <c r="U674" s="536"/>
      <c r="V674" s="536"/>
      <c r="W674" s="537"/>
      <c r="X674" s="212"/>
      <c r="Y674" s="212"/>
      <c r="Z674" s="212"/>
      <c r="AA674" s="212"/>
      <c r="AB674" s="213"/>
      <c r="AD674" s="213"/>
      <c r="AF674" s="474"/>
      <c r="AM674" s="213"/>
    </row>
    <row r="675" spans="1:39" x14ac:dyDescent="0.25">
      <c r="A675" s="213"/>
      <c r="B675" s="536"/>
      <c r="D675" s="213"/>
      <c r="F675" s="213"/>
      <c r="G675" s="213"/>
      <c r="J675" s="536"/>
      <c r="S675" s="213"/>
      <c r="U675" s="536"/>
      <c r="V675" s="536"/>
      <c r="W675" s="537"/>
      <c r="X675" s="212"/>
      <c r="Y675" s="212"/>
      <c r="Z675" s="212"/>
      <c r="AA675" s="212"/>
      <c r="AB675" s="213"/>
      <c r="AD675" s="213"/>
      <c r="AF675" s="474"/>
      <c r="AM675" s="213"/>
    </row>
    <row r="676" spans="1:39" x14ac:dyDescent="0.25">
      <c r="A676" s="213"/>
      <c r="B676" s="536"/>
      <c r="D676" s="213"/>
      <c r="F676" s="213"/>
      <c r="G676" s="213"/>
      <c r="J676" s="536"/>
      <c r="S676" s="213"/>
      <c r="U676" s="536"/>
      <c r="V676" s="536"/>
      <c r="W676" s="537"/>
      <c r="X676" s="212"/>
      <c r="Y676" s="212"/>
      <c r="Z676" s="212"/>
      <c r="AA676" s="212"/>
      <c r="AB676" s="213"/>
      <c r="AD676" s="213"/>
      <c r="AF676" s="474"/>
      <c r="AM676" s="213"/>
    </row>
    <row r="677" spans="1:39" x14ac:dyDescent="0.25">
      <c r="A677" s="213"/>
      <c r="B677" s="536"/>
      <c r="D677" s="213"/>
      <c r="F677" s="213"/>
      <c r="G677" s="213"/>
      <c r="J677" s="536"/>
      <c r="S677" s="213"/>
      <c r="U677" s="536"/>
      <c r="V677" s="536"/>
      <c r="W677" s="537"/>
      <c r="X677" s="212"/>
      <c r="Y677" s="212"/>
      <c r="Z677" s="212"/>
      <c r="AA677" s="212"/>
      <c r="AB677" s="213"/>
      <c r="AD677" s="213"/>
      <c r="AF677" s="474"/>
      <c r="AM677" s="213"/>
    </row>
    <row r="678" spans="1:39" x14ac:dyDescent="0.25">
      <c r="A678" s="213"/>
      <c r="B678" s="536"/>
      <c r="D678" s="213"/>
      <c r="F678" s="213"/>
      <c r="G678" s="213"/>
      <c r="J678" s="536"/>
      <c r="S678" s="213"/>
      <c r="U678" s="536"/>
      <c r="V678" s="536"/>
      <c r="W678" s="537"/>
      <c r="X678" s="212"/>
      <c r="Y678" s="212"/>
      <c r="Z678" s="212"/>
      <c r="AA678" s="212"/>
      <c r="AB678" s="213"/>
      <c r="AD678" s="213"/>
      <c r="AF678" s="427"/>
      <c r="AM678" s="213"/>
    </row>
    <row r="679" spans="1:39" x14ac:dyDescent="0.25">
      <c r="A679" s="213"/>
      <c r="B679" s="536"/>
      <c r="D679" s="213"/>
      <c r="F679" s="213"/>
      <c r="G679" s="213"/>
      <c r="J679" s="536"/>
      <c r="S679" s="213"/>
      <c r="U679" s="536"/>
      <c r="V679" s="536"/>
      <c r="W679" s="537"/>
      <c r="X679" s="212"/>
      <c r="Y679" s="212"/>
      <c r="Z679" s="212"/>
      <c r="AA679" s="212"/>
      <c r="AB679" s="213"/>
      <c r="AD679" s="213"/>
      <c r="AF679" s="474"/>
      <c r="AM679" s="213"/>
    </row>
    <row r="680" spans="1:39" x14ac:dyDescent="0.25">
      <c r="A680" s="213"/>
      <c r="B680" s="536"/>
      <c r="D680" s="213"/>
      <c r="F680" s="213"/>
      <c r="G680" s="213"/>
      <c r="J680" s="536"/>
      <c r="S680" s="213"/>
      <c r="U680" s="536"/>
      <c r="V680" s="536"/>
      <c r="W680" s="537"/>
      <c r="X680" s="212"/>
      <c r="Y680" s="212"/>
      <c r="Z680" s="212"/>
      <c r="AA680" s="212"/>
      <c r="AB680" s="213"/>
      <c r="AD680" s="213"/>
      <c r="AF680" s="474"/>
      <c r="AM680" s="213"/>
    </row>
    <row r="681" spans="1:39" x14ac:dyDescent="0.25">
      <c r="A681" s="213"/>
      <c r="B681" s="536"/>
      <c r="D681" s="213"/>
      <c r="F681" s="213"/>
      <c r="G681" s="213"/>
      <c r="J681" s="536"/>
      <c r="S681" s="213"/>
      <c r="U681" s="536"/>
      <c r="V681" s="536"/>
      <c r="W681" s="537"/>
      <c r="X681" s="212"/>
      <c r="Y681" s="212"/>
      <c r="Z681" s="212"/>
      <c r="AA681" s="212"/>
      <c r="AB681" s="213"/>
      <c r="AD681" s="213"/>
      <c r="AF681" s="474"/>
      <c r="AM681" s="213"/>
    </row>
    <row r="682" spans="1:39" x14ac:dyDescent="0.25">
      <c r="A682" s="213"/>
      <c r="B682" s="536"/>
      <c r="D682" s="213"/>
      <c r="F682" s="213"/>
      <c r="G682" s="213"/>
      <c r="J682" s="536"/>
      <c r="S682" s="213"/>
      <c r="U682" s="536"/>
      <c r="V682" s="536"/>
      <c r="W682" s="537"/>
      <c r="X682" s="212"/>
      <c r="Y682" s="212"/>
      <c r="Z682" s="212"/>
      <c r="AA682" s="212"/>
      <c r="AB682" s="213"/>
      <c r="AD682" s="213"/>
      <c r="AF682" s="474"/>
      <c r="AM682" s="213"/>
    </row>
    <row r="683" spans="1:39" x14ac:dyDescent="0.25">
      <c r="A683" s="213"/>
      <c r="B683" s="536"/>
      <c r="D683" s="213"/>
      <c r="F683" s="213"/>
      <c r="G683" s="213"/>
      <c r="J683" s="536"/>
      <c r="S683" s="213"/>
      <c r="U683" s="536"/>
      <c r="V683" s="536"/>
      <c r="W683" s="537"/>
      <c r="X683" s="212"/>
      <c r="Y683" s="212"/>
      <c r="Z683" s="212"/>
      <c r="AA683" s="212"/>
      <c r="AB683" s="213"/>
      <c r="AD683" s="213"/>
      <c r="AF683" s="474"/>
      <c r="AM683" s="213"/>
    </row>
    <row r="684" spans="1:39" x14ac:dyDescent="0.25">
      <c r="A684" s="213"/>
      <c r="B684" s="536"/>
      <c r="D684" s="213"/>
      <c r="F684" s="213"/>
      <c r="G684" s="213"/>
      <c r="J684" s="536"/>
      <c r="S684" s="213"/>
      <c r="U684" s="536"/>
      <c r="V684" s="536"/>
      <c r="W684" s="537"/>
      <c r="X684" s="212"/>
      <c r="Y684" s="212"/>
      <c r="Z684" s="212"/>
      <c r="AA684" s="212"/>
      <c r="AB684" s="213"/>
      <c r="AD684" s="213"/>
      <c r="AF684" s="474"/>
      <c r="AM684" s="213"/>
    </row>
    <row r="685" spans="1:39" x14ac:dyDescent="0.25">
      <c r="A685" s="213"/>
      <c r="B685" s="536"/>
      <c r="D685" s="213"/>
      <c r="F685" s="213"/>
      <c r="G685" s="213"/>
      <c r="J685" s="536"/>
      <c r="S685" s="213"/>
      <c r="U685" s="536"/>
      <c r="V685" s="536"/>
      <c r="W685" s="537"/>
      <c r="X685" s="212"/>
      <c r="Y685" s="212"/>
      <c r="Z685" s="212"/>
      <c r="AA685" s="212"/>
      <c r="AB685" s="213"/>
      <c r="AD685" s="213"/>
      <c r="AF685" s="474"/>
      <c r="AM685" s="213"/>
    </row>
    <row r="686" spans="1:39" x14ac:dyDescent="0.25">
      <c r="A686" s="213"/>
      <c r="B686" s="536"/>
      <c r="D686" s="213"/>
      <c r="F686" s="213"/>
      <c r="G686" s="213"/>
      <c r="J686" s="536"/>
      <c r="S686" s="213"/>
      <c r="U686" s="536"/>
      <c r="V686" s="536"/>
      <c r="W686" s="537"/>
      <c r="X686" s="212"/>
      <c r="Y686" s="212"/>
      <c r="Z686" s="212"/>
      <c r="AA686" s="212"/>
      <c r="AB686" s="213"/>
      <c r="AD686" s="213"/>
      <c r="AF686" s="474"/>
      <c r="AM686" s="213"/>
    </row>
    <row r="687" spans="1:39" x14ac:dyDescent="0.25">
      <c r="A687" s="213"/>
      <c r="B687" s="536"/>
      <c r="D687" s="213"/>
      <c r="F687" s="213"/>
      <c r="G687" s="213"/>
      <c r="J687" s="536"/>
      <c r="S687" s="213"/>
      <c r="U687" s="536"/>
      <c r="V687" s="536"/>
      <c r="W687" s="537"/>
      <c r="X687" s="212"/>
      <c r="Y687" s="212"/>
      <c r="Z687" s="212"/>
      <c r="AA687" s="212"/>
      <c r="AB687" s="213"/>
      <c r="AD687" s="213"/>
      <c r="AF687" s="474"/>
      <c r="AM687" s="213"/>
    </row>
    <row r="688" spans="1:39" x14ac:dyDescent="0.25">
      <c r="A688" s="213"/>
      <c r="B688" s="536"/>
      <c r="D688" s="213"/>
      <c r="F688" s="213"/>
      <c r="G688" s="213"/>
      <c r="J688" s="536"/>
      <c r="S688" s="213"/>
      <c r="U688" s="536"/>
      <c r="V688" s="536"/>
      <c r="W688" s="537"/>
      <c r="X688" s="212"/>
      <c r="Y688" s="212"/>
      <c r="Z688" s="212"/>
      <c r="AA688" s="212"/>
      <c r="AB688" s="213"/>
      <c r="AD688" s="213"/>
      <c r="AF688" s="474"/>
      <c r="AM688" s="213"/>
    </row>
    <row r="689" spans="1:39" x14ac:dyDescent="0.25">
      <c r="A689" s="213"/>
      <c r="B689" s="536"/>
      <c r="D689" s="213"/>
      <c r="F689" s="213"/>
      <c r="G689" s="213"/>
      <c r="J689" s="536"/>
      <c r="S689" s="213"/>
      <c r="U689" s="536"/>
      <c r="V689" s="536"/>
      <c r="W689" s="537"/>
      <c r="X689" s="212"/>
      <c r="Y689" s="212"/>
      <c r="Z689" s="212"/>
      <c r="AA689" s="212"/>
      <c r="AB689" s="213"/>
      <c r="AD689" s="213"/>
      <c r="AF689" s="474"/>
      <c r="AM689" s="213"/>
    </row>
    <row r="690" spans="1:39" x14ac:dyDescent="0.25">
      <c r="A690" s="213"/>
      <c r="B690" s="536"/>
      <c r="D690" s="213"/>
      <c r="F690" s="213"/>
      <c r="G690" s="213"/>
      <c r="J690" s="536"/>
      <c r="S690" s="213"/>
      <c r="U690" s="536"/>
      <c r="V690" s="536"/>
      <c r="W690" s="537"/>
      <c r="X690" s="212"/>
      <c r="Y690" s="212"/>
      <c r="Z690" s="212"/>
      <c r="AA690" s="212"/>
      <c r="AB690" s="213"/>
      <c r="AD690" s="213"/>
      <c r="AF690" s="474"/>
      <c r="AM690" s="213"/>
    </row>
    <row r="691" spans="1:39" x14ac:dyDescent="0.25">
      <c r="A691" s="213"/>
      <c r="B691" s="536"/>
      <c r="D691" s="213"/>
      <c r="F691" s="213"/>
      <c r="G691" s="213"/>
      <c r="J691" s="536"/>
      <c r="S691" s="213"/>
      <c r="U691" s="536"/>
      <c r="V691" s="536"/>
      <c r="W691" s="537"/>
      <c r="X691" s="212"/>
      <c r="Y691" s="212"/>
      <c r="Z691" s="212"/>
      <c r="AA691" s="212"/>
      <c r="AB691" s="213"/>
      <c r="AD691" s="213"/>
      <c r="AF691" s="474"/>
      <c r="AM691" s="213"/>
    </row>
    <row r="692" spans="1:39" x14ac:dyDescent="0.25">
      <c r="A692" s="213"/>
      <c r="B692" s="536"/>
      <c r="D692" s="213"/>
      <c r="F692" s="213"/>
      <c r="G692" s="213"/>
      <c r="J692" s="536"/>
      <c r="S692" s="213"/>
      <c r="U692" s="536"/>
      <c r="V692" s="536"/>
      <c r="W692" s="537"/>
      <c r="X692" s="212"/>
      <c r="Y692" s="212"/>
      <c r="Z692" s="212"/>
      <c r="AA692" s="212"/>
      <c r="AB692" s="213"/>
      <c r="AD692" s="213"/>
      <c r="AF692" s="474"/>
      <c r="AM692" s="213"/>
    </row>
    <row r="693" spans="1:39" x14ac:dyDescent="0.25">
      <c r="A693" s="213"/>
      <c r="B693" s="536"/>
      <c r="D693" s="213"/>
      <c r="F693" s="213"/>
      <c r="G693" s="213"/>
      <c r="J693" s="536"/>
      <c r="S693" s="213"/>
      <c r="U693" s="536"/>
      <c r="V693" s="536"/>
      <c r="W693" s="537"/>
      <c r="X693" s="212"/>
      <c r="Y693" s="212"/>
      <c r="Z693" s="212"/>
      <c r="AA693" s="212"/>
      <c r="AB693" s="213"/>
      <c r="AD693" s="213"/>
      <c r="AF693" s="474"/>
      <c r="AM693" s="213"/>
    </row>
    <row r="694" spans="1:39" x14ac:dyDescent="0.25">
      <c r="A694" s="213"/>
      <c r="B694" s="536"/>
      <c r="D694" s="213"/>
      <c r="F694" s="213"/>
      <c r="G694" s="213"/>
      <c r="J694" s="536"/>
      <c r="S694" s="213"/>
      <c r="U694" s="536"/>
      <c r="V694" s="536"/>
      <c r="W694" s="537"/>
      <c r="X694" s="212"/>
      <c r="Y694" s="212"/>
      <c r="Z694" s="212"/>
      <c r="AA694" s="212"/>
      <c r="AB694" s="213"/>
      <c r="AD694" s="213"/>
      <c r="AF694" s="474"/>
      <c r="AM694" s="213"/>
    </row>
    <row r="695" spans="1:39" x14ac:dyDescent="0.25">
      <c r="A695" s="213"/>
      <c r="B695" s="536"/>
      <c r="D695" s="213"/>
      <c r="F695" s="213"/>
      <c r="G695" s="213"/>
      <c r="J695" s="536"/>
      <c r="S695" s="213"/>
      <c r="U695" s="536"/>
      <c r="V695" s="536"/>
      <c r="W695" s="537"/>
      <c r="X695" s="212"/>
      <c r="Y695" s="212"/>
      <c r="Z695" s="212"/>
      <c r="AA695" s="212"/>
      <c r="AB695" s="213"/>
      <c r="AD695" s="213"/>
      <c r="AF695" s="474"/>
      <c r="AM695" s="213"/>
    </row>
    <row r="696" spans="1:39" x14ac:dyDescent="0.25">
      <c r="A696" s="213"/>
      <c r="B696" s="536"/>
      <c r="D696" s="213"/>
      <c r="F696" s="213"/>
      <c r="G696" s="213"/>
      <c r="J696" s="536"/>
      <c r="S696" s="213"/>
      <c r="U696" s="536"/>
      <c r="V696" s="536"/>
      <c r="W696" s="537"/>
      <c r="X696" s="212"/>
      <c r="Y696" s="212"/>
      <c r="Z696" s="212"/>
      <c r="AA696" s="212"/>
      <c r="AB696" s="213"/>
      <c r="AD696" s="213"/>
      <c r="AF696" s="474"/>
      <c r="AM696" s="213"/>
    </row>
    <row r="697" spans="1:39" x14ac:dyDescent="0.25">
      <c r="A697" s="213"/>
      <c r="B697" s="536"/>
      <c r="D697" s="213"/>
      <c r="F697" s="213"/>
      <c r="G697" s="213"/>
      <c r="J697" s="536"/>
      <c r="S697" s="213"/>
      <c r="U697" s="536"/>
      <c r="V697" s="536"/>
      <c r="W697" s="537"/>
      <c r="X697" s="212"/>
      <c r="Y697" s="212"/>
      <c r="Z697" s="212"/>
      <c r="AA697" s="212"/>
      <c r="AB697" s="213"/>
      <c r="AD697" s="213"/>
      <c r="AF697" s="474"/>
      <c r="AM697" s="213"/>
    </row>
    <row r="698" spans="1:39" x14ac:dyDescent="0.25">
      <c r="A698" s="213"/>
      <c r="B698" s="536"/>
      <c r="D698" s="213"/>
      <c r="F698" s="213"/>
      <c r="G698" s="213"/>
      <c r="J698" s="536"/>
      <c r="S698" s="213"/>
      <c r="U698" s="536"/>
      <c r="V698" s="536"/>
      <c r="W698" s="537"/>
      <c r="X698" s="212"/>
      <c r="Y698" s="212"/>
      <c r="Z698" s="212"/>
      <c r="AA698" s="212"/>
      <c r="AB698" s="213"/>
      <c r="AD698" s="213"/>
      <c r="AF698" s="474"/>
      <c r="AM698" s="213"/>
    </row>
    <row r="699" spans="1:39" x14ac:dyDescent="0.25">
      <c r="A699" s="213"/>
      <c r="B699" s="536"/>
      <c r="D699" s="213"/>
      <c r="F699" s="213"/>
      <c r="G699" s="213"/>
      <c r="J699" s="536"/>
      <c r="S699" s="213"/>
      <c r="U699" s="536"/>
      <c r="V699" s="536"/>
      <c r="W699" s="537"/>
      <c r="X699" s="212"/>
      <c r="Y699" s="212"/>
      <c r="Z699" s="212"/>
      <c r="AA699" s="212"/>
      <c r="AB699" s="213"/>
      <c r="AD699" s="213"/>
      <c r="AF699" s="474"/>
      <c r="AM699" s="213"/>
    </row>
    <row r="700" spans="1:39" x14ac:dyDescent="0.25">
      <c r="A700" s="213"/>
      <c r="B700" s="536"/>
      <c r="D700" s="213"/>
      <c r="F700" s="213"/>
      <c r="G700" s="213"/>
      <c r="J700" s="536"/>
      <c r="S700" s="213"/>
      <c r="U700" s="536"/>
      <c r="V700" s="536"/>
      <c r="W700" s="537"/>
      <c r="X700" s="212"/>
      <c r="Y700" s="212"/>
      <c r="Z700" s="212"/>
      <c r="AA700" s="212"/>
      <c r="AB700" s="213"/>
      <c r="AD700" s="213"/>
      <c r="AF700" s="474"/>
      <c r="AM700" s="213"/>
    </row>
    <row r="701" spans="1:39" x14ac:dyDescent="0.25">
      <c r="A701" s="213"/>
      <c r="B701" s="536"/>
      <c r="D701" s="213"/>
      <c r="F701" s="213"/>
      <c r="G701" s="213"/>
      <c r="J701" s="536"/>
      <c r="S701" s="213"/>
      <c r="U701" s="536"/>
      <c r="V701" s="536"/>
      <c r="W701" s="537"/>
      <c r="X701" s="212"/>
      <c r="Y701" s="212"/>
      <c r="Z701" s="212"/>
      <c r="AA701" s="212"/>
      <c r="AB701" s="213"/>
      <c r="AD701" s="213"/>
      <c r="AF701" s="474"/>
      <c r="AM701" s="213"/>
    </row>
    <row r="702" spans="1:39" x14ac:dyDescent="0.25">
      <c r="A702" s="213"/>
      <c r="B702" s="536"/>
      <c r="D702" s="213"/>
      <c r="F702" s="213"/>
      <c r="G702" s="213"/>
      <c r="J702" s="536"/>
      <c r="S702" s="213"/>
      <c r="U702" s="536"/>
      <c r="V702" s="536"/>
      <c r="W702" s="537"/>
      <c r="X702" s="212"/>
      <c r="Y702" s="212"/>
      <c r="Z702" s="212"/>
      <c r="AA702" s="212"/>
      <c r="AB702" s="213"/>
      <c r="AD702" s="213"/>
      <c r="AF702" s="474"/>
      <c r="AM702" s="213"/>
    </row>
    <row r="703" spans="1:39" x14ac:dyDescent="0.25">
      <c r="A703" s="213"/>
      <c r="B703" s="536"/>
      <c r="D703" s="213"/>
      <c r="F703" s="213"/>
      <c r="G703" s="213"/>
      <c r="J703" s="536"/>
      <c r="S703" s="213"/>
      <c r="U703" s="536"/>
      <c r="V703" s="536"/>
      <c r="W703" s="537"/>
      <c r="X703" s="212"/>
      <c r="Y703" s="212"/>
      <c r="Z703" s="212"/>
      <c r="AA703" s="212"/>
      <c r="AB703" s="213"/>
      <c r="AD703" s="213"/>
      <c r="AF703" s="474"/>
      <c r="AM703" s="213"/>
    </row>
    <row r="704" spans="1:39" x14ac:dyDescent="0.25">
      <c r="A704" s="213"/>
      <c r="B704" s="536"/>
      <c r="D704" s="213"/>
      <c r="F704" s="213"/>
      <c r="G704" s="213"/>
      <c r="J704" s="536"/>
      <c r="S704" s="213"/>
      <c r="U704" s="536"/>
      <c r="V704" s="536"/>
      <c r="W704" s="537"/>
      <c r="X704" s="212"/>
      <c r="Y704" s="212"/>
      <c r="Z704" s="212"/>
      <c r="AA704" s="212"/>
      <c r="AB704" s="213"/>
      <c r="AD704" s="213"/>
      <c r="AF704" s="474"/>
      <c r="AM704" s="213"/>
    </row>
    <row r="705" spans="1:39" x14ac:dyDescent="0.25">
      <c r="A705" s="213"/>
      <c r="B705" s="536"/>
      <c r="D705" s="213"/>
      <c r="F705" s="213"/>
      <c r="G705" s="213"/>
      <c r="J705" s="536"/>
      <c r="S705" s="213"/>
      <c r="U705" s="536"/>
      <c r="V705" s="536"/>
      <c r="W705" s="537"/>
      <c r="X705" s="212"/>
      <c r="Y705" s="212"/>
      <c r="Z705" s="212"/>
      <c r="AA705" s="212"/>
      <c r="AB705" s="213"/>
      <c r="AD705" s="213"/>
      <c r="AF705" s="474"/>
      <c r="AM705" s="213"/>
    </row>
    <row r="706" spans="1:39" x14ac:dyDescent="0.25">
      <c r="A706" s="213"/>
      <c r="B706" s="536"/>
      <c r="D706" s="213"/>
      <c r="F706" s="213"/>
      <c r="G706" s="213"/>
      <c r="J706" s="536"/>
      <c r="S706" s="213"/>
      <c r="U706" s="536"/>
      <c r="V706" s="536"/>
      <c r="W706" s="537"/>
      <c r="X706" s="212"/>
      <c r="Y706" s="212"/>
      <c r="Z706" s="212"/>
      <c r="AA706" s="212"/>
      <c r="AB706" s="213"/>
      <c r="AD706" s="213"/>
      <c r="AF706" s="474"/>
      <c r="AM706" s="213"/>
    </row>
    <row r="707" spans="1:39" x14ac:dyDescent="0.25">
      <c r="A707" s="213"/>
      <c r="B707" s="536"/>
      <c r="D707" s="213"/>
      <c r="F707" s="213"/>
      <c r="G707" s="213"/>
      <c r="J707" s="536"/>
      <c r="S707" s="213"/>
      <c r="U707" s="536"/>
      <c r="V707" s="536"/>
      <c r="W707" s="537"/>
      <c r="X707" s="212"/>
      <c r="Y707" s="212"/>
      <c r="Z707" s="212"/>
      <c r="AA707" s="212"/>
      <c r="AB707" s="213"/>
      <c r="AD707" s="213"/>
      <c r="AF707" s="474"/>
      <c r="AM707" s="213"/>
    </row>
    <row r="708" spans="1:39" x14ac:dyDescent="0.25">
      <c r="A708" s="213"/>
      <c r="B708" s="536"/>
      <c r="D708" s="213"/>
      <c r="F708" s="213"/>
      <c r="G708" s="213"/>
      <c r="J708" s="536"/>
      <c r="S708" s="213"/>
      <c r="U708" s="536"/>
      <c r="V708" s="536"/>
      <c r="W708" s="537"/>
      <c r="X708" s="212"/>
      <c r="Y708" s="212"/>
      <c r="Z708" s="212"/>
      <c r="AA708" s="212"/>
      <c r="AB708" s="213"/>
      <c r="AD708" s="213"/>
      <c r="AF708" s="474"/>
      <c r="AM708" s="213"/>
    </row>
    <row r="709" spans="1:39" x14ac:dyDescent="0.25">
      <c r="A709" s="213"/>
      <c r="B709" s="536"/>
      <c r="D709" s="213"/>
      <c r="F709" s="213"/>
      <c r="G709" s="213"/>
      <c r="J709" s="536"/>
      <c r="S709" s="213"/>
      <c r="U709" s="536"/>
      <c r="V709" s="536"/>
      <c r="W709" s="537"/>
      <c r="X709" s="212"/>
      <c r="Y709" s="212"/>
      <c r="Z709" s="212"/>
      <c r="AA709" s="212"/>
      <c r="AB709" s="213"/>
      <c r="AD709" s="213"/>
      <c r="AF709" s="474"/>
      <c r="AM709" s="213"/>
    </row>
    <row r="710" spans="1:39" x14ac:dyDescent="0.25">
      <c r="A710" s="213"/>
      <c r="B710" s="536"/>
      <c r="D710" s="213"/>
      <c r="F710" s="213"/>
      <c r="G710" s="213"/>
      <c r="J710" s="536"/>
      <c r="S710" s="213"/>
      <c r="U710" s="536"/>
      <c r="V710" s="536"/>
      <c r="W710" s="537"/>
      <c r="X710" s="212"/>
      <c r="Y710" s="212"/>
      <c r="Z710" s="212"/>
      <c r="AA710" s="212"/>
      <c r="AB710" s="213"/>
      <c r="AD710" s="213"/>
      <c r="AF710" s="474"/>
      <c r="AM710" s="213"/>
    </row>
    <row r="711" spans="1:39" x14ac:dyDescent="0.25">
      <c r="A711" s="213"/>
      <c r="B711" s="536"/>
      <c r="D711" s="213"/>
      <c r="F711" s="213"/>
      <c r="G711" s="213"/>
      <c r="J711" s="536"/>
      <c r="S711" s="213"/>
      <c r="U711" s="536"/>
      <c r="V711" s="536"/>
      <c r="W711" s="537"/>
      <c r="X711" s="212"/>
      <c r="Y711" s="212"/>
      <c r="Z711" s="212"/>
      <c r="AA711" s="212"/>
      <c r="AB711" s="213"/>
      <c r="AD711" s="213"/>
      <c r="AF711" s="474"/>
      <c r="AM711" s="213"/>
    </row>
    <row r="712" spans="1:39" x14ac:dyDescent="0.25">
      <c r="A712" s="213"/>
      <c r="B712" s="536"/>
      <c r="D712" s="213"/>
      <c r="F712" s="213"/>
      <c r="G712" s="213"/>
      <c r="J712" s="536"/>
      <c r="S712" s="213"/>
      <c r="U712" s="536"/>
      <c r="V712" s="536"/>
      <c r="W712" s="537"/>
      <c r="X712" s="212"/>
      <c r="Y712" s="212"/>
      <c r="Z712" s="212"/>
      <c r="AA712" s="212"/>
      <c r="AB712" s="213"/>
      <c r="AD712" s="213"/>
      <c r="AF712" s="474"/>
      <c r="AM712" s="213"/>
    </row>
    <row r="713" spans="1:39" x14ac:dyDescent="0.25">
      <c r="A713" s="213"/>
      <c r="B713" s="536"/>
      <c r="D713" s="213"/>
      <c r="F713" s="213"/>
      <c r="G713" s="213"/>
      <c r="J713" s="536"/>
      <c r="S713" s="213"/>
      <c r="U713" s="536"/>
      <c r="V713" s="536"/>
      <c r="W713" s="537"/>
      <c r="X713" s="212"/>
      <c r="Y713" s="212"/>
      <c r="Z713" s="212"/>
      <c r="AA713" s="212"/>
      <c r="AB713" s="213"/>
      <c r="AD713" s="213"/>
      <c r="AF713" s="474"/>
      <c r="AM713" s="213"/>
    </row>
    <row r="714" spans="1:39" x14ac:dyDescent="0.25">
      <c r="A714" s="213"/>
      <c r="B714" s="536"/>
      <c r="D714" s="213"/>
      <c r="F714" s="213"/>
      <c r="G714" s="213"/>
      <c r="J714" s="536"/>
      <c r="S714" s="213"/>
      <c r="U714" s="536"/>
      <c r="V714" s="536"/>
      <c r="W714" s="537"/>
      <c r="X714" s="212"/>
      <c r="Y714" s="212"/>
      <c r="Z714" s="212"/>
      <c r="AA714" s="212"/>
      <c r="AB714" s="213"/>
      <c r="AD714" s="213"/>
      <c r="AF714" s="474"/>
      <c r="AM714" s="213"/>
    </row>
    <row r="715" spans="1:39" x14ac:dyDescent="0.25">
      <c r="A715" s="213"/>
      <c r="B715" s="536"/>
      <c r="D715" s="213"/>
      <c r="F715" s="213"/>
      <c r="G715" s="213"/>
      <c r="J715" s="536"/>
      <c r="S715" s="213"/>
      <c r="U715" s="536"/>
      <c r="V715" s="536"/>
      <c r="W715" s="537"/>
      <c r="X715" s="212"/>
      <c r="Y715" s="212"/>
      <c r="Z715" s="212"/>
      <c r="AA715" s="212"/>
      <c r="AB715" s="213"/>
      <c r="AD715" s="213"/>
      <c r="AF715" s="474"/>
      <c r="AM715" s="213"/>
    </row>
    <row r="716" spans="1:39" x14ac:dyDescent="0.25">
      <c r="A716" s="213"/>
      <c r="B716" s="536"/>
      <c r="D716" s="213"/>
      <c r="F716" s="213"/>
      <c r="G716" s="213"/>
      <c r="J716" s="536"/>
      <c r="S716" s="213"/>
      <c r="U716" s="536"/>
      <c r="V716" s="536"/>
      <c r="W716" s="537"/>
      <c r="X716" s="212"/>
      <c r="Y716" s="212"/>
      <c r="Z716" s="212"/>
      <c r="AA716" s="212"/>
      <c r="AB716" s="213"/>
      <c r="AD716" s="213"/>
      <c r="AF716" s="474"/>
      <c r="AM716" s="213"/>
    </row>
    <row r="717" spans="1:39" x14ac:dyDescent="0.25">
      <c r="A717" s="213"/>
      <c r="B717" s="536"/>
      <c r="D717" s="213"/>
      <c r="F717" s="213"/>
      <c r="G717" s="213"/>
      <c r="J717" s="536"/>
      <c r="S717" s="213"/>
      <c r="U717" s="536"/>
      <c r="V717" s="536"/>
      <c r="W717" s="537"/>
      <c r="X717" s="212"/>
      <c r="Y717" s="212"/>
      <c r="Z717" s="212"/>
      <c r="AA717" s="212"/>
      <c r="AB717" s="213"/>
      <c r="AD717" s="213"/>
      <c r="AF717" s="474"/>
      <c r="AM717" s="213"/>
    </row>
    <row r="718" spans="1:39" x14ac:dyDescent="0.25">
      <c r="A718" s="213"/>
      <c r="B718" s="536"/>
      <c r="D718" s="213"/>
      <c r="F718" s="213"/>
      <c r="G718" s="213"/>
      <c r="J718" s="536"/>
      <c r="S718" s="213"/>
      <c r="U718" s="536"/>
      <c r="V718" s="536"/>
      <c r="W718" s="537"/>
      <c r="X718" s="212"/>
      <c r="Y718" s="212"/>
      <c r="Z718" s="212"/>
      <c r="AA718" s="212"/>
      <c r="AB718" s="213"/>
      <c r="AD718" s="213"/>
      <c r="AF718" s="474"/>
      <c r="AM718" s="213"/>
    </row>
    <row r="719" spans="1:39" x14ac:dyDescent="0.25">
      <c r="A719" s="213"/>
      <c r="B719" s="536"/>
      <c r="D719" s="213"/>
      <c r="F719" s="213"/>
      <c r="G719" s="213"/>
      <c r="J719" s="536"/>
      <c r="S719" s="213"/>
      <c r="U719" s="536"/>
      <c r="V719" s="536"/>
      <c r="W719" s="537"/>
      <c r="X719" s="212"/>
      <c r="Y719" s="212"/>
      <c r="Z719" s="212"/>
      <c r="AA719" s="212"/>
      <c r="AB719" s="213"/>
      <c r="AD719" s="213"/>
      <c r="AF719" s="474"/>
      <c r="AM719" s="213"/>
    </row>
    <row r="720" spans="1:39" x14ac:dyDescent="0.25">
      <c r="A720" s="213"/>
      <c r="B720" s="536"/>
      <c r="D720" s="213"/>
      <c r="F720" s="213"/>
      <c r="G720" s="213"/>
      <c r="J720" s="536"/>
      <c r="S720" s="213"/>
      <c r="U720" s="536"/>
      <c r="V720" s="536"/>
      <c r="W720" s="537"/>
      <c r="X720" s="212"/>
      <c r="Y720" s="212"/>
      <c r="Z720" s="212"/>
      <c r="AA720" s="212"/>
      <c r="AB720" s="213"/>
      <c r="AD720" s="213"/>
      <c r="AF720" s="474"/>
      <c r="AM720" s="213"/>
    </row>
    <row r="721" spans="1:39" x14ac:dyDescent="0.25">
      <c r="A721" s="213"/>
      <c r="B721" s="536"/>
      <c r="D721" s="213"/>
      <c r="F721" s="213"/>
      <c r="G721" s="213"/>
      <c r="J721" s="536"/>
      <c r="S721" s="213"/>
      <c r="U721" s="536"/>
      <c r="V721" s="536"/>
      <c r="W721" s="537"/>
      <c r="X721" s="212"/>
      <c r="Y721" s="212"/>
      <c r="Z721" s="212"/>
      <c r="AA721" s="212"/>
      <c r="AB721" s="213"/>
      <c r="AD721" s="213"/>
      <c r="AF721" s="474"/>
      <c r="AM721" s="213"/>
    </row>
    <row r="722" spans="1:39" x14ac:dyDescent="0.25">
      <c r="A722" s="213"/>
      <c r="B722" s="536"/>
      <c r="D722" s="213"/>
      <c r="F722" s="213"/>
      <c r="G722" s="213"/>
      <c r="J722" s="536"/>
      <c r="S722" s="213"/>
      <c r="U722" s="536"/>
      <c r="V722" s="536"/>
      <c r="W722" s="537"/>
      <c r="X722" s="212"/>
      <c r="Y722" s="212"/>
      <c r="Z722" s="212"/>
      <c r="AA722" s="212"/>
      <c r="AB722" s="213"/>
      <c r="AD722" s="213"/>
      <c r="AF722" s="474"/>
      <c r="AM722" s="213"/>
    </row>
    <row r="723" spans="1:39" x14ac:dyDescent="0.25">
      <c r="A723" s="213"/>
      <c r="B723" s="536"/>
      <c r="D723" s="213"/>
      <c r="F723" s="213"/>
      <c r="G723" s="213"/>
      <c r="J723" s="536"/>
      <c r="S723" s="213"/>
      <c r="U723" s="536"/>
      <c r="V723" s="536"/>
      <c r="W723" s="537"/>
      <c r="X723" s="212"/>
      <c r="Y723" s="212"/>
      <c r="Z723" s="212"/>
      <c r="AA723" s="212"/>
      <c r="AB723" s="213"/>
      <c r="AD723" s="213"/>
      <c r="AF723" s="474"/>
      <c r="AM723" s="213"/>
    </row>
    <row r="724" spans="1:39" x14ac:dyDescent="0.25">
      <c r="A724" s="213"/>
      <c r="B724" s="536"/>
      <c r="D724" s="213"/>
      <c r="F724" s="213"/>
      <c r="G724" s="213"/>
      <c r="J724" s="536"/>
      <c r="S724" s="213"/>
      <c r="U724" s="536"/>
      <c r="V724" s="536"/>
      <c r="W724" s="537"/>
      <c r="X724" s="212"/>
      <c r="Y724" s="212"/>
      <c r="Z724" s="212"/>
      <c r="AA724" s="212"/>
      <c r="AB724" s="213"/>
      <c r="AD724" s="213"/>
      <c r="AF724" s="474"/>
      <c r="AM724" s="213"/>
    </row>
    <row r="725" spans="1:39" x14ac:dyDescent="0.25">
      <c r="A725" s="213"/>
      <c r="B725" s="536"/>
      <c r="D725" s="213"/>
      <c r="F725" s="213"/>
      <c r="G725" s="213"/>
      <c r="J725" s="536"/>
      <c r="S725" s="213"/>
      <c r="U725" s="536"/>
      <c r="V725" s="536"/>
      <c r="W725" s="537"/>
      <c r="X725" s="212"/>
      <c r="Y725" s="212"/>
      <c r="Z725" s="212"/>
      <c r="AA725" s="212"/>
      <c r="AB725" s="213"/>
      <c r="AD725" s="213"/>
      <c r="AF725" s="474"/>
      <c r="AM725" s="213"/>
    </row>
    <row r="726" spans="1:39" x14ac:dyDescent="0.25">
      <c r="A726" s="213"/>
      <c r="B726" s="536"/>
      <c r="D726" s="213"/>
      <c r="F726" s="213"/>
      <c r="G726" s="213"/>
      <c r="J726" s="536"/>
      <c r="S726" s="213"/>
      <c r="U726" s="536"/>
      <c r="V726" s="536"/>
      <c r="W726" s="537"/>
      <c r="X726" s="212"/>
      <c r="Y726" s="212"/>
      <c r="Z726" s="212"/>
      <c r="AA726" s="212"/>
      <c r="AB726" s="213"/>
      <c r="AD726" s="213"/>
      <c r="AF726" s="474"/>
      <c r="AM726" s="213"/>
    </row>
    <row r="727" spans="1:39" x14ac:dyDescent="0.25">
      <c r="A727" s="213"/>
      <c r="B727" s="536"/>
      <c r="D727" s="213"/>
      <c r="F727" s="213"/>
      <c r="G727" s="213"/>
      <c r="J727" s="536"/>
      <c r="S727" s="213"/>
      <c r="U727" s="536"/>
      <c r="V727" s="536"/>
      <c r="W727" s="537"/>
      <c r="X727" s="212"/>
      <c r="Y727" s="212"/>
      <c r="Z727" s="212"/>
      <c r="AA727" s="212"/>
      <c r="AB727" s="213"/>
      <c r="AD727" s="213"/>
      <c r="AF727" s="474"/>
      <c r="AM727" s="213"/>
    </row>
    <row r="728" spans="1:39" x14ac:dyDescent="0.25">
      <c r="A728" s="213"/>
      <c r="B728" s="536"/>
      <c r="D728" s="213"/>
      <c r="F728" s="213"/>
      <c r="G728" s="213"/>
      <c r="J728" s="536"/>
      <c r="S728" s="213"/>
      <c r="U728" s="536"/>
      <c r="V728" s="536"/>
      <c r="W728" s="537"/>
      <c r="X728" s="212"/>
      <c r="Y728" s="212"/>
      <c r="Z728" s="212"/>
      <c r="AA728" s="212"/>
      <c r="AB728" s="213"/>
      <c r="AD728" s="213"/>
      <c r="AF728" s="474"/>
      <c r="AM728" s="213"/>
    </row>
    <row r="729" spans="1:39" x14ac:dyDescent="0.25">
      <c r="A729" s="213"/>
      <c r="B729" s="536"/>
      <c r="D729" s="213"/>
      <c r="F729" s="213"/>
      <c r="G729" s="213"/>
      <c r="J729" s="536"/>
      <c r="S729" s="213"/>
      <c r="U729" s="536"/>
      <c r="V729" s="536"/>
      <c r="W729" s="537"/>
      <c r="X729" s="212"/>
      <c r="Y729" s="212"/>
      <c r="Z729" s="212"/>
      <c r="AA729" s="212"/>
      <c r="AB729" s="213"/>
      <c r="AD729" s="213"/>
      <c r="AF729" s="474"/>
      <c r="AM729" s="213"/>
    </row>
    <row r="730" spans="1:39" x14ac:dyDescent="0.25">
      <c r="A730" s="213"/>
      <c r="B730" s="536"/>
      <c r="D730" s="213"/>
      <c r="F730" s="213"/>
      <c r="G730" s="213"/>
      <c r="J730" s="536"/>
      <c r="S730" s="213"/>
      <c r="U730" s="536"/>
      <c r="V730" s="536"/>
      <c r="W730" s="537"/>
      <c r="X730" s="212"/>
      <c r="Y730" s="212"/>
      <c r="Z730" s="212"/>
      <c r="AA730" s="212"/>
      <c r="AB730" s="213"/>
      <c r="AD730" s="213"/>
      <c r="AF730" s="474"/>
      <c r="AM730" s="213"/>
    </row>
    <row r="731" spans="1:39" x14ac:dyDescent="0.25">
      <c r="A731" s="213"/>
      <c r="B731" s="536"/>
      <c r="D731" s="213"/>
      <c r="F731" s="213"/>
      <c r="G731" s="213"/>
      <c r="J731" s="536"/>
      <c r="S731" s="213"/>
      <c r="U731" s="536"/>
      <c r="V731" s="536"/>
      <c r="W731" s="537"/>
      <c r="X731" s="212"/>
      <c r="Y731" s="212"/>
      <c r="Z731" s="212"/>
      <c r="AA731" s="212"/>
      <c r="AB731" s="213"/>
      <c r="AD731" s="213"/>
      <c r="AF731" s="474"/>
      <c r="AM731" s="213"/>
    </row>
    <row r="732" spans="1:39" x14ac:dyDescent="0.25">
      <c r="A732" s="213"/>
      <c r="B732" s="536"/>
      <c r="D732" s="213"/>
      <c r="F732" s="213"/>
      <c r="G732" s="213"/>
      <c r="J732" s="536"/>
      <c r="S732" s="213"/>
      <c r="U732" s="536"/>
      <c r="V732" s="536"/>
      <c r="W732" s="537"/>
      <c r="X732" s="212"/>
      <c r="Y732" s="212"/>
      <c r="Z732" s="212"/>
      <c r="AA732" s="212"/>
      <c r="AB732" s="213"/>
      <c r="AD732" s="213"/>
      <c r="AF732" s="474"/>
      <c r="AM732" s="213"/>
    </row>
    <row r="733" spans="1:39" x14ac:dyDescent="0.25">
      <c r="A733" s="213"/>
      <c r="B733" s="536"/>
      <c r="D733" s="213"/>
      <c r="F733" s="213"/>
      <c r="G733" s="213"/>
      <c r="J733" s="536"/>
      <c r="S733" s="213"/>
      <c r="U733" s="536"/>
      <c r="V733" s="536"/>
      <c r="W733" s="537"/>
      <c r="X733" s="212"/>
      <c r="Y733" s="212"/>
      <c r="Z733" s="212"/>
      <c r="AA733" s="212"/>
      <c r="AB733" s="213"/>
      <c r="AD733" s="213"/>
      <c r="AF733" s="474"/>
      <c r="AM733" s="213"/>
    </row>
    <row r="734" spans="1:39" x14ac:dyDescent="0.25">
      <c r="A734" s="213"/>
      <c r="B734" s="536"/>
      <c r="D734" s="213"/>
      <c r="F734" s="213"/>
      <c r="G734" s="213"/>
      <c r="J734" s="536"/>
      <c r="S734" s="213"/>
      <c r="U734" s="536"/>
      <c r="V734" s="536"/>
      <c r="W734" s="537"/>
      <c r="X734" s="212"/>
      <c r="Y734" s="212"/>
      <c r="Z734" s="212"/>
      <c r="AA734" s="212"/>
      <c r="AB734" s="213"/>
      <c r="AD734" s="213"/>
      <c r="AF734" s="474"/>
      <c r="AM734" s="307">
        <f>SUBTOTAL(9,AM5:AM733)</f>
        <v>203900</v>
      </c>
    </row>
    <row r="735" spans="1:39" x14ac:dyDescent="0.25">
      <c r="A735" s="213"/>
      <c r="B735" s="536"/>
      <c r="D735" s="213"/>
      <c r="F735" s="213"/>
      <c r="G735" s="213"/>
      <c r="J735" s="536"/>
      <c r="S735" s="213"/>
      <c r="U735" s="536"/>
      <c r="V735" s="536"/>
      <c r="W735" s="537"/>
      <c r="X735" s="212"/>
      <c r="Y735" s="212"/>
      <c r="Z735" s="212"/>
      <c r="AA735" s="212"/>
      <c r="AB735" s="213"/>
      <c r="AD735" s="213"/>
      <c r="AF735" s="474"/>
    </row>
    <row r="736" spans="1:39" x14ac:dyDescent="0.25">
      <c r="A736" s="213"/>
      <c r="B736" s="536"/>
      <c r="D736" s="213"/>
      <c r="F736" s="213"/>
      <c r="G736" s="213"/>
      <c r="J736" s="536"/>
      <c r="S736" s="213"/>
      <c r="U736" s="536"/>
      <c r="V736" s="536"/>
      <c r="W736" s="537"/>
      <c r="X736" s="212"/>
      <c r="Y736" s="212"/>
      <c r="Z736" s="212"/>
      <c r="AA736" s="212"/>
      <c r="AB736" s="213"/>
      <c r="AD736" s="213"/>
      <c r="AF736" s="474"/>
    </row>
    <row r="737" spans="1:32" x14ac:dyDescent="0.25">
      <c r="A737" s="213"/>
      <c r="B737" s="536"/>
      <c r="D737" s="213"/>
      <c r="F737" s="213"/>
      <c r="G737" s="213"/>
      <c r="J737" s="536"/>
      <c r="S737" s="213"/>
      <c r="U737" s="536"/>
      <c r="V737" s="536"/>
      <c r="W737" s="537"/>
      <c r="X737" s="212"/>
      <c r="Y737" s="212"/>
      <c r="Z737" s="212"/>
      <c r="AA737" s="212"/>
      <c r="AB737" s="213"/>
      <c r="AD737" s="213"/>
      <c r="AF737" s="474"/>
    </row>
    <row r="738" spans="1:32" x14ac:dyDescent="0.25">
      <c r="A738" s="213"/>
      <c r="B738" s="536"/>
      <c r="D738" s="213"/>
      <c r="F738" s="213"/>
      <c r="G738" s="213"/>
      <c r="J738" s="536"/>
      <c r="S738" s="213"/>
      <c r="U738" s="536"/>
      <c r="V738" s="536"/>
      <c r="W738" s="537"/>
      <c r="X738" s="212"/>
      <c r="Y738" s="212"/>
      <c r="Z738" s="212"/>
      <c r="AA738" s="212"/>
      <c r="AB738" s="213"/>
      <c r="AD738" s="213"/>
      <c r="AF738" s="474"/>
    </row>
    <row r="739" spans="1:32" x14ac:dyDescent="0.25">
      <c r="A739" s="213"/>
      <c r="B739" s="536"/>
      <c r="D739" s="213"/>
      <c r="F739" s="213"/>
      <c r="G739" s="213"/>
      <c r="J739" s="536"/>
      <c r="S739" s="213"/>
      <c r="U739" s="536"/>
      <c r="V739" s="536"/>
      <c r="W739" s="537"/>
      <c r="X739" s="212"/>
      <c r="Y739" s="212"/>
      <c r="Z739" s="212"/>
      <c r="AA739" s="212"/>
      <c r="AB739" s="213"/>
      <c r="AD739" s="213"/>
      <c r="AF739" s="474"/>
    </row>
    <row r="740" spans="1:32" x14ac:dyDescent="0.25">
      <c r="A740" s="213"/>
      <c r="B740" s="536"/>
      <c r="D740" s="213"/>
      <c r="F740" s="213"/>
      <c r="G740" s="213"/>
      <c r="J740" s="536"/>
      <c r="S740" s="213"/>
      <c r="U740" s="536"/>
      <c r="V740" s="536"/>
      <c r="W740" s="537"/>
      <c r="X740" s="212"/>
      <c r="Y740" s="212"/>
      <c r="Z740" s="212"/>
      <c r="AA740" s="212"/>
      <c r="AB740" s="213"/>
      <c r="AD740" s="213"/>
      <c r="AF740" s="474"/>
    </row>
    <row r="741" spans="1:32" x14ac:dyDescent="0.25">
      <c r="A741" s="213"/>
      <c r="B741" s="536"/>
      <c r="D741" s="213"/>
      <c r="F741" s="213"/>
      <c r="G741" s="213"/>
      <c r="J741" s="536"/>
      <c r="S741" s="213"/>
      <c r="U741" s="536"/>
      <c r="V741" s="536"/>
      <c r="W741" s="537"/>
      <c r="X741" s="212"/>
      <c r="Y741" s="212"/>
      <c r="Z741" s="212"/>
      <c r="AA741" s="212"/>
      <c r="AB741" s="213"/>
      <c r="AD741" s="213"/>
      <c r="AF741" s="474"/>
    </row>
    <row r="742" spans="1:32" x14ac:dyDescent="0.25">
      <c r="A742" s="213"/>
      <c r="B742" s="536"/>
      <c r="D742" s="213"/>
      <c r="F742" s="213"/>
      <c r="G742" s="213"/>
      <c r="J742" s="536"/>
      <c r="S742" s="213"/>
      <c r="U742" s="536"/>
      <c r="V742" s="536"/>
      <c r="W742" s="537"/>
      <c r="X742" s="212"/>
      <c r="Y742" s="212"/>
      <c r="Z742" s="212"/>
      <c r="AA742" s="212"/>
      <c r="AB742" s="213"/>
      <c r="AD742" s="213"/>
      <c r="AF742" s="474"/>
    </row>
    <row r="743" spans="1:32" x14ac:dyDescent="0.25">
      <c r="A743" s="213"/>
      <c r="B743" s="536"/>
      <c r="D743" s="213"/>
      <c r="F743" s="213"/>
      <c r="G743" s="213"/>
      <c r="J743" s="536"/>
      <c r="S743" s="213"/>
      <c r="U743" s="536"/>
      <c r="V743" s="536"/>
      <c r="W743" s="537"/>
      <c r="X743" s="212"/>
      <c r="Y743" s="212"/>
      <c r="Z743" s="212"/>
      <c r="AA743" s="212"/>
      <c r="AB743" s="213"/>
      <c r="AD743" s="213"/>
      <c r="AF743" s="474"/>
    </row>
    <row r="744" spans="1:32" x14ac:dyDescent="0.25">
      <c r="A744" s="213"/>
      <c r="B744" s="536"/>
      <c r="D744" s="213"/>
      <c r="F744" s="213"/>
      <c r="G744" s="213"/>
      <c r="J744" s="536"/>
      <c r="S744" s="213"/>
      <c r="U744" s="536"/>
      <c r="V744" s="536"/>
      <c r="W744" s="537"/>
      <c r="X744" s="212"/>
      <c r="Y744" s="212"/>
      <c r="Z744" s="212"/>
      <c r="AA744" s="212"/>
      <c r="AB744" s="213"/>
      <c r="AD744" s="213"/>
      <c r="AF744" s="474"/>
    </row>
    <row r="745" spans="1:32" x14ac:dyDescent="0.25">
      <c r="A745" s="213"/>
      <c r="B745" s="536"/>
      <c r="D745" s="213"/>
      <c r="F745" s="213"/>
      <c r="G745" s="213"/>
      <c r="J745" s="536"/>
      <c r="S745" s="213"/>
      <c r="U745" s="536"/>
      <c r="V745" s="536"/>
      <c r="W745" s="537"/>
      <c r="X745" s="212"/>
      <c r="Y745" s="212"/>
      <c r="Z745" s="212"/>
      <c r="AA745" s="212"/>
      <c r="AB745" s="213"/>
      <c r="AD745" s="213"/>
      <c r="AF745" s="474"/>
    </row>
    <row r="746" spans="1:32" x14ac:dyDescent="0.25">
      <c r="A746" s="213"/>
      <c r="B746" s="536"/>
      <c r="D746" s="213"/>
      <c r="F746" s="213"/>
      <c r="G746" s="213"/>
      <c r="J746" s="536"/>
      <c r="S746" s="213"/>
      <c r="U746" s="536"/>
      <c r="V746" s="536"/>
      <c r="W746" s="537"/>
      <c r="X746" s="212"/>
      <c r="Y746" s="212"/>
      <c r="Z746" s="212"/>
      <c r="AA746" s="212"/>
      <c r="AB746" s="213"/>
      <c r="AD746" s="213"/>
      <c r="AF746" s="474"/>
    </row>
    <row r="747" spans="1:32" x14ac:dyDescent="0.25">
      <c r="A747" s="213"/>
      <c r="B747" s="536"/>
      <c r="D747" s="213"/>
      <c r="F747" s="213"/>
      <c r="G747" s="213"/>
      <c r="J747" s="536"/>
      <c r="S747" s="213"/>
      <c r="U747" s="536"/>
      <c r="V747" s="536"/>
      <c r="W747" s="537"/>
      <c r="X747" s="212"/>
      <c r="Y747" s="212"/>
      <c r="Z747" s="212"/>
      <c r="AA747" s="212"/>
      <c r="AB747" s="213"/>
      <c r="AD747" s="213"/>
      <c r="AF747" s="474"/>
    </row>
    <row r="748" spans="1:32" x14ac:dyDescent="0.25">
      <c r="A748" s="213"/>
      <c r="B748" s="536"/>
      <c r="D748" s="213"/>
      <c r="F748" s="213"/>
      <c r="G748" s="213"/>
      <c r="J748" s="536"/>
      <c r="S748" s="213"/>
      <c r="U748" s="536"/>
      <c r="V748" s="536"/>
      <c r="W748" s="537"/>
      <c r="X748" s="212"/>
      <c r="Y748" s="212"/>
      <c r="Z748" s="212"/>
      <c r="AA748" s="212"/>
      <c r="AB748" s="213"/>
      <c r="AD748" s="213"/>
      <c r="AF748" s="474"/>
    </row>
    <row r="749" spans="1:32" x14ac:dyDescent="0.25">
      <c r="A749" s="213"/>
      <c r="B749" s="536"/>
      <c r="D749" s="213"/>
      <c r="F749" s="213"/>
      <c r="G749" s="213"/>
      <c r="J749" s="536"/>
      <c r="S749" s="213"/>
      <c r="U749" s="536"/>
      <c r="V749" s="536"/>
      <c r="W749" s="537"/>
      <c r="X749" s="212"/>
      <c r="Y749" s="212"/>
      <c r="Z749" s="212"/>
      <c r="AA749" s="212"/>
      <c r="AB749" s="213"/>
      <c r="AD749" s="213"/>
      <c r="AF749" s="474"/>
    </row>
    <row r="750" spans="1:32" x14ac:dyDescent="0.25">
      <c r="A750" s="213"/>
      <c r="B750" s="536"/>
      <c r="D750" s="213"/>
      <c r="F750" s="213"/>
      <c r="G750" s="213"/>
      <c r="J750" s="536"/>
      <c r="S750" s="213"/>
      <c r="U750" s="536"/>
      <c r="V750" s="536"/>
      <c r="W750" s="537"/>
      <c r="X750" s="212"/>
      <c r="Y750" s="212"/>
      <c r="Z750" s="212"/>
      <c r="AA750" s="212"/>
      <c r="AB750" s="213"/>
      <c r="AD750" s="213"/>
      <c r="AF750" s="474"/>
    </row>
    <row r="751" spans="1:32" x14ac:dyDescent="0.25">
      <c r="A751" s="213"/>
      <c r="B751" s="536"/>
      <c r="D751" s="213"/>
      <c r="F751" s="213"/>
      <c r="G751" s="213"/>
      <c r="J751" s="536"/>
      <c r="S751" s="213"/>
      <c r="U751" s="536"/>
      <c r="V751" s="536"/>
      <c r="W751" s="537"/>
      <c r="X751" s="212"/>
      <c r="Y751" s="212"/>
      <c r="Z751" s="212"/>
      <c r="AA751" s="212"/>
      <c r="AB751" s="213"/>
      <c r="AD751" s="213"/>
      <c r="AF751" s="474"/>
    </row>
    <row r="752" spans="1:32" x14ac:dyDescent="0.25">
      <c r="A752" s="213"/>
      <c r="B752" s="536"/>
      <c r="D752" s="213"/>
      <c r="F752" s="213"/>
      <c r="G752" s="213"/>
      <c r="J752" s="536"/>
      <c r="S752" s="213"/>
      <c r="U752" s="536"/>
      <c r="V752" s="536"/>
      <c r="W752" s="537"/>
      <c r="X752" s="212"/>
      <c r="Y752" s="212"/>
      <c r="Z752" s="212"/>
      <c r="AA752" s="212"/>
      <c r="AB752" s="213"/>
      <c r="AD752" s="213"/>
      <c r="AF752" s="474"/>
    </row>
    <row r="753" spans="1:32" x14ac:dyDescent="0.25">
      <c r="A753" s="213"/>
      <c r="B753" s="536"/>
      <c r="D753" s="213"/>
      <c r="F753" s="213"/>
      <c r="G753" s="213"/>
      <c r="J753" s="536"/>
      <c r="S753" s="213"/>
      <c r="U753" s="536"/>
      <c r="V753" s="536"/>
      <c r="W753" s="537"/>
      <c r="X753" s="212"/>
      <c r="Y753" s="212"/>
      <c r="Z753" s="212"/>
      <c r="AA753" s="212"/>
      <c r="AB753" s="213"/>
      <c r="AD753" s="213"/>
      <c r="AF753" s="474"/>
    </row>
    <row r="754" spans="1:32" x14ac:dyDescent="0.25">
      <c r="A754" s="213"/>
      <c r="B754" s="536"/>
      <c r="D754" s="213"/>
      <c r="F754" s="213"/>
      <c r="G754" s="213"/>
      <c r="J754" s="536"/>
      <c r="S754" s="213"/>
      <c r="U754" s="536"/>
      <c r="V754" s="536"/>
      <c r="W754" s="537"/>
      <c r="X754" s="212"/>
      <c r="Y754" s="212"/>
      <c r="Z754" s="212"/>
      <c r="AA754" s="212"/>
      <c r="AB754" s="213"/>
      <c r="AD754" s="213"/>
      <c r="AF754" s="474"/>
    </row>
    <row r="755" spans="1:32" x14ac:dyDescent="0.25">
      <c r="A755" s="213"/>
      <c r="B755" s="536"/>
      <c r="D755" s="213"/>
      <c r="F755" s="213"/>
      <c r="G755" s="213"/>
      <c r="J755" s="536"/>
      <c r="S755" s="213"/>
      <c r="U755" s="536"/>
      <c r="V755" s="536"/>
      <c r="W755" s="537"/>
      <c r="X755" s="212"/>
      <c r="Y755" s="212"/>
      <c r="Z755" s="212"/>
      <c r="AA755" s="212"/>
      <c r="AB755" s="213"/>
      <c r="AD755" s="213"/>
      <c r="AF755" s="474"/>
    </row>
    <row r="756" spans="1:32" x14ac:dyDescent="0.25">
      <c r="A756" s="213"/>
      <c r="B756" s="536"/>
      <c r="D756" s="213"/>
      <c r="F756" s="213"/>
      <c r="G756" s="213"/>
      <c r="J756" s="536"/>
      <c r="S756" s="213"/>
      <c r="U756" s="536"/>
      <c r="V756" s="536"/>
      <c r="W756" s="537"/>
      <c r="X756" s="212"/>
      <c r="Y756" s="212"/>
      <c r="Z756" s="212"/>
      <c r="AA756" s="212"/>
      <c r="AB756" s="213"/>
      <c r="AD756" s="213"/>
      <c r="AF756" s="474"/>
    </row>
    <row r="757" spans="1:32" x14ac:dyDescent="0.25">
      <c r="A757" s="213"/>
      <c r="B757" s="536"/>
      <c r="D757" s="213"/>
      <c r="F757" s="213"/>
      <c r="G757" s="213"/>
      <c r="J757" s="536"/>
      <c r="S757" s="213"/>
      <c r="U757" s="536"/>
      <c r="V757" s="536"/>
      <c r="W757" s="537"/>
      <c r="X757" s="212"/>
      <c r="Y757" s="212"/>
      <c r="Z757" s="212"/>
      <c r="AA757" s="212"/>
      <c r="AB757" s="213"/>
      <c r="AD757" s="213"/>
      <c r="AF757" s="474"/>
    </row>
    <row r="758" spans="1:32" x14ac:dyDescent="0.25">
      <c r="A758" s="213"/>
      <c r="B758" s="536"/>
      <c r="D758" s="213"/>
      <c r="F758" s="213"/>
      <c r="G758" s="213"/>
      <c r="J758" s="536"/>
      <c r="S758" s="213"/>
      <c r="U758" s="536"/>
      <c r="V758" s="536"/>
      <c r="W758" s="537"/>
      <c r="X758" s="212"/>
      <c r="Y758" s="212"/>
      <c r="Z758" s="212"/>
      <c r="AA758" s="212"/>
      <c r="AB758" s="213"/>
      <c r="AD758" s="213"/>
      <c r="AF758" s="474"/>
    </row>
    <row r="759" spans="1:32" x14ac:dyDescent="0.25">
      <c r="A759" s="213"/>
      <c r="B759" s="536"/>
      <c r="D759" s="213"/>
      <c r="F759" s="213"/>
      <c r="G759" s="213"/>
      <c r="J759" s="536"/>
      <c r="S759" s="213"/>
      <c r="U759" s="536"/>
      <c r="V759" s="536"/>
      <c r="W759" s="537"/>
      <c r="X759" s="212"/>
      <c r="Y759" s="212"/>
      <c r="Z759" s="212"/>
      <c r="AA759" s="212"/>
      <c r="AB759" s="213"/>
      <c r="AD759" s="213"/>
      <c r="AF759" s="474"/>
    </row>
    <row r="760" spans="1:32" x14ac:dyDescent="0.25">
      <c r="A760" s="213"/>
      <c r="B760" s="536"/>
      <c r="D760" s="213"/>
      <c r="F760" s="213"/>
      <c r="G760" s="213"/>
      <c r="J760" s="536"/>
      <c r="S760" s="213"/>
      <c r="U760" s="536"/>
      <c r="V760" s="536"/>
      <c r="W760" s="537"/>
      <c r="X760" s="212"/>
      <c r="Y760" s="212"/>
      <c r="Z760" s="212"/>
      <c r="AA760" s="212"/>
      <c r="AB760" s="213"/>
      <c r="AD760" s="213"/>
      <c r="AF760" s="474"/>
    </row>
    <row r="761" spans="1:32" x14ac:dyDescent="0.25">
      <c r="A761" s="213"/>
      <c r="B761" s="536"/>
      <c r="D761" s="213"/>
      <c r="F761" s="213"/>
      <c r="G761" s="213"/>
      <c r="J761" s="536"/>
      <c r="S761" s="213"/>
      <c r="U761" s="536"/>
      <c r="V761" s="536"/>
      <c r="W761" s="537"/>
      <c r="X761" s="212"/>
      <c r="Y761" s="212"/>
      <c r="Z761" s="212"/>
      <c r="AA761" s="212"/>
      <c r="AB761" s="213"/>
      <c r="AD761" s="213"/>
      <c r="AF761" s="474"/>
    </row>
    <row r="762" spans="1:32" x14ac:dyDescent="0.25">
      <c r="A762" s="213"/>
      <c r="B762" s="536"/>
      <c r="D762" s="213"/>
      <c r="F762" s="213"/>
      <c r="G762" s="213"/>
      <c r="J762" s="536"/>
      <c r="S762" s="213"/>
      <c r="U762" s="536"/>
      <c r="V762" s="536"/>
      <c r="W762" s="537"/>
      <c r="X762" s="212"/>
      <c r="Y762" s="212"/>
      <c r="Z762" s="212"/>
      <c r="AA762" s="212"/>
      <c r="AB762" s="213"/>
      <c r="AD762" s="213"/>
      <c r="AF762" s="474"/>
    </row>
    <row r="763" spans="1:32" x14ac:dyDescent="0.25">
      <c r="A763" s="213"/>
      <c r="B763" s="536"/>
      <c r="D763" s="213"/>
      <c r="F763" s="213"/>
      <c r="G763" s="213"/>
      <c r="J763" s="536"/>
      <c r="S763" s="213"/>
      <c r="U763" s="536"/>
      <c r="V763" s="536"/>
      <c r="W763" s="537"/>
      <c r="X763" s="212"/>
      <c r="Y763" s="212"/>
      <c r="Z763" s="212"/>
      <c r="AA763" s="212"/>
      <c r="AB763" s="213"/>
      <c r="AD763" s="213"/>
      <c r="AF763" s="474"/>
    </row>
    <row r="764" spans="1:32" x14ac:dyDescent="0.25">
      <c r="A764" s="213"/>
      <c r="B764" s="536"/>
      <c r="D764" s="213"/>
      <c r="F764" s="213"/>
      <c r="G764" s="213"/>
      <c r="J764" s="536"/>
      <c r="S764" s="213"/>
      <c r="U764" s="536"/>
      <c r="V764" s="536"/>
      <c r="W764" s="537"/>
      <c r="X764" s="212"/>
      <c r="Y764" s="212"/>
      <c r="Z764" s="212"/>
      <c r="AA764" s="212"/>
      <c r="AB764" s="213"/>
      <c r="AD764" s="213"/>
      <c r="AF764" s="474"/>
    </row>
    <row r="765" spans="1:32" x14ac:dyDescent="0.25">
      <c r="A765" s="213"/>
      <c r="B765" s="536"/>
      <c r="D765" s="213"/>
      <c r="F765" s="213"/>
      <c r="G765" s="213"/>
      <c r="J765" s="536"/>
      <c r="S765" s="213"/>
      <c r="U765" s="536"/>
      <c r="V765" s="536"/>
      <c r="W765" s="537"/>
      <c r="X765" s="212"/>
      <c r="Y765" s="212"/>
      <c r="Z765" s="212"/>
      <c r="AA765" s="212"/>
      <c r="AB765" s="213"/>
      <c r="AD765" s="213"/>
      <c r="AF765" s="474"/>
    </row>
    <row r="766" spans="1:32" x14ac:dyDescent="0.25">
      <c r="A766" s="213"/>
      <c r="B766" s="536"/>
      <c r="D766" s="213"/>
      <c r="F766" s="213"/>
      <c r="G766" s="213"/>
      <c r="J766" s="536"/>
      <c r="S766" s="213"/>
      <c r="U766" s="536"/>
      <c r="V766" s="536"/>
      <c r="W766" s="537"/>
      <c r="X766" s="212"/>
      <c r="Y766" s="212"/>
      <c r="Z766" s="212"/>
      <c r="AA766" s="212"/>
      <c r="AB766" s="213"/>
      <c r="AD766" s="213"/>
      <c r="AF766" s="474"/>
    </row>
    <row r="767" spans="1:32" x14ac:dyDescent="0.25">
      <c r="A767" s="213"/>
      <c r="B767" s="536"/>
      <c r="D767" s="213"/>
      <c r="F767" s="213"/>
      <c r="G767" s="213"/>
      <c r="J767" s="536"/>
      <c r="S767" s="213"/>
      <c r="U767" s="536"/>
      <c r="V767" s="536"/>
      <c r="W767" s="537"/>
      <c r="X767" s="212"/>
      <c r="Y767" s="212"/>
      <c r="Z767" s="212"/>
      <c r="AA767" s="212"/>
      <c r="AB767" s="213"/>
      <c r="AD767" s="213"/>
      <c r="AF767" s="474"/>
    </row>
    <row r="768" spans="1:32" x14ac:dyDescent="0.25">
      <c r="A768" s="213"/>
      <c r="B768" s="536"/>
      <c r="D768" s="213"/>
      <c r="F768" s="213"/>
      <c r="G768" s="213"/>
      <c r="J768" s="536"/>
      <c r="S768" s="213"/>
      <c r="U768" s="536"/>
      <c r="V768" s="536"/>
      <c r="W768" s="537"/>
      <c r="X768" s="212"/>
      <c r="Y768" s="212"/>
      <c r="Z768" s="212"/>
      <c r="AA768" s="212"/>
      <c r="AB768" s="213"/>
      <c r="AD768" s="213"/>
      <c r="AF768" s="474"/>
    </row>
    <row r="769" spans="1:32" x14ac:dyDescent="0.25">
      <c r="A769" s="213"/>
      <c r="B769" s="536"/>
      <c r="D769" s="213"/>
      <c r="F769" s="213"/>
      <c r="G769" s="213"/>
      <c r="J769" s="536"/>
      <c r="S769" s="213"/>
      <c r="U769" s="536"/>
      <c r="V769" s="536"/>
      <c r="W769" s="537"/>
      <c r="X769" s="212"/>
      <c r="Y769" s="212"/>
      <c r="Z769" s="212"/>
      <c r="AA769" s="212"/>
      <c r="AB769" s="213"/>
      <c r="AD769" s="213"/>
      <c r="AF769" s="474"/>
    </row>
    <row r="770" spans="1:32" x14ac:dyDescent="0.25">
      <c r="A770" s="213"/>
      <c r="B770" s="536"/>
      <c r="D770" s="213"/>
      <c r="F770" s="213"/>
      <c r="G770" s="213"/>
      <c r="J770" s="536"/>
      <c r="S770" s="213"/>
      <c r="U770" s="536"/>
      <c r="V770" s="536"/>
      <c r="W770" s="537"/>
      <c r="X770" s="212"/>
      <c r="Y770" s="212"/>
      <c r="Z770" s="212"/>
      <c r="AA770" s="212"/>
      <c r="AB770" s="213"/>
      <c r="AD770" s="213"/>
      <c r="AF770" s="474"/>
    </row>
    <row r="771" spans="1:32" x14ac:dyDescent="0.25">
      <c r="A771" s="213"/>
      <c r="B771" s="536"/>
      <c r="D771" s="213"/>
      <c r="F771" s="213"/>
      <c r="G771" s="213"/>
      <c r="J771" s="536"/>
      <c r="S771" s="213"/>
      <c r="U771" s="536"/>
      <c r="V771" s="536"/>
      <c r="W771" s="537"/>
      <c r="X771" s="212"/>
      <c r="Y771" s="212"/>
      <c r="Z771" s="212"/>
      <c r="AA771" s="212"/>
      <c r="AB771" s="213"/>
      <c r="AD771" s="213"/>
      <c r="AF771" s="474"/>
    </row>
    <row r="772" spans="1:32" x14ac:dyDescent="0.25">
      <c r="A772" s="213"/>
      <c r="B772" s="536"/>
      <c r="D772" s="213"/>
      <c r="F772" s="213"/>
      <c r="G772" s="213"/>
      <c r="J772" s="536"/>
      <c r="S772" s="213"/>
      <c r="U772" s="536"/>
      <c r="V772" s="536"/>
      <c r="W772" s="537"/>
      <c r="X772" s="212"/>
      <c r="Y772" s="212"/>
      <c r="Z772" s="212"/>
      <c r="AA772" s="212"/>
      <c r="AB772" s="213"/>
      <c r="AD772" s="213"/>
      <c r="AF772" s="474"/>
    </row>
    <row r="773" spans="1:32" x14ac:dyDescent="0.25">
      <c r="A773" s="213"/>
      <c r="B773" s="536"/>
      <c r="D773" s="213"/>
      <c r="F773" s="213"/>
      <c r="G773" s="213"/>
      <c r="J773" s="536"/>
      <c r="S773" s="213"/>
      <c r="U773" s="536"/>
      <c r="V773" s="536"/>
      <c r="W773" s="537"/>
      <c r="X773" s="212"/>
      <c r="Y773" s="212"/>
      <c r="Z773" s="212"/>
      <c r="AA773" s="212"/>
      <c r="AB773" s="213"/>
      <c r="AD773" s="213"/>
      <c r="AF773" s="474"/>
    </row>
    <row r="774" spans="1:32" x14ac:dyDescent="0.25">
      <c r="A774" s="213"/>
      <c r="B774" s="536"/>
      <c r="D774" s="213"/>
      <c r="F774" s="213"/>
      <c r="G774" s="213"/>
      <c r="J774" s="536"/>
      <c r="S774" s="213"/>
      <c r="U774" s="536"/>
      <c r="V774" s="536"/>
      <c r="W774" s="537"/>
      <c r="X774" s="212"/>
      <c r="Y774" s="212"/>
      <c r="Z774" s="212"/>
      <c r="AA774" s="212"/>
      <c r="AB774" s="213"/>
      <c r="AD774" s="213"/>
      <c r="AF774" s="474"/>
    </row>
    <row r="775" spans="1:32" x14ac:dyDescent="0.25">
      <c r="A775" s="213"/>
      <c r="B775" s="536"/>
      <c r="D775" s="213"/>
      <c r="F775" s="213"/>
      <c r="G775" s="213"/>
      <c r="J775" s="536"/>
      <c r="S775" s="213"/>
      <c r="U775" s="536"/>
      <c r="V775" s="536"/>
      <c r="W775" s="537"/>
      <c r="X775" s="212"/>
      <c r="Y775" s="212"/>
      <c r="Z775" s="212"/>
      <c r="AA775" s="212"/>
      <c r="AB775" s="213"/>
      <c r="AD775" s="213"/>
      <c r="AF775" s="474"/>
    </row>
    <row r="776" spans="1:32" x14ac:dyDescent="0.25">
      <c r="A776" s="213"/>
      <c r="B776" s="536"/>
      <c r="D776" s="213"/>
      <c r="F776" s="213"/>
      <c r="G776" s="213"/>
      <c r="J776" s="536"/>
      <c r="S776" s="213"/>
      <c r="U776" s="536"/>
      <c r="V776" s="536"/>
      <c r="W776" s="537"/>
      <c r="X776" s="212"/>
      <c r="Y776" s="212"/>
      <c r="Z776" s="212"/>
      <c r="AA776" s="212"/>
      <c r="AB776" s="213"/>
      <c r="AD776" s="213"/>
      <c r="AF776" s="474"/>
    </row>
    <row r="777" spans="1:32" x14ac:dyDescent="0.25">
      <c r="A777" s="213"/>
      <c r="B777" s="536"/>
      <c r="D777" s="213"/>
      <c r="F777" s="213"/>
      <c r="G777" s="213"/>
      <c r="J777" s="536"/>
      <c r="S777" s="213"/>
      <c r="U777" s="536"/>
      <c r="V777" s="536"/>
      <c r="W777" s="537"/>
      <c r="X777" s="212"/>
      <c r="Y777" s="212"/>
      <c r="Z777" s="212"/>
      <c r="AA777" s="212"/>
      <c r="AB777" s="213"/>
      <c r="AD777" s="213"/>
      <c r="AF777" s="474"/>
    </row>
    <row r="778" spans="1:32" x14ac:dyDescent="0.25">
      <c r="A778" s="213"/>
      <c r="B778" s="536"/>
      <c r="D778" s="213"/>
      <c r="F778" s="213"/>
      <c r="G778" s="213"/>
      <c r="J778" s="536"/>
      <c r="S778" s="213"/>
      <c r="U778" s="536"/>
      <c r="V778" s="536"/>
      <c r="W778" s="537"/>
      <c r="X778" s="212"/>
      <c r="Y778" s="212"/>
      <c r="Z778" s="212"/>
      <c r="AA778" s="212"/>
      <c r="AB778" s="213"/>
      <c r="AD778" s="213"/>
      <c r="AF778" s="474"/>
    </row>
    <row r="779" spans="1:32" x14ac:dyDescent="0.25">
      <c r="A779" s="213"/>
      <c r="B779" s="536"/>
      <c r="D779" s="213"/>
      <c r="F779" s="213"/>
      <c r="G779" s="213"/>
      <c r="J779" s="536"/>
      <c r="S779" s="213"/>
      <c r="U779" s="536"/>
      <c r="V779" s="536"/>
      <c r="W779" s="537"/>
      <c r="X779" s="212"/>
      <c r="Y779" s="212"/>
      <c r="Z779" s="212"/>
      <c r="AA779" s="212"/>
      <c r="AB779" s="213"/>
      <c r="AD779" s="213"/>
      <c r="AF779" s="474"/>
    </row>
    <row r="780" spans="1:32" x14ac:dyDescent="0.25">
      <c r="A780" s="213"/>
      <c r="B780" s="536"/>
      <c r="D780" s="213"/>
      <c r="F780" s="213"/>
      <c r="G780" s="213"/>
      <c r="J780" s="536"/>
      <c r="S780" s="213"/>
      <c r="U780" s="536"/>
      <c r="V780" s="536"/>
      <c r="W780" s="537"/>
      <c r="X780" s="212"/>
      <c r="Y780" s="212"/>
      <c r="Z780" s="212"/>
      <c r="AA780" s="212"/>
      <c r="AB780" s="213"/>
      <c r="AD780" s="213"/>
      <c r="AF780" s="474"/>
    </row>
    <row r="781" spans="1:32" x14ac:dyDescent="0.25">
      <c r="A781" s="213"/>
      <c r="B781" s="536"/>
      <c r="D781" s="213"/>
      <c r="F781" s="213"/>
      <c r="G781" s="213"/>
      <c r="J781" s="536"/>
      <c r="S781" s="213"/>
      <c r="U781" s="536"/>
      <c r="V781" s="536"/>
      <c r="W781" s="537"/>
      <c r="X781" s="212"/>
      <c r="Y781" s="212"/>
      <c r="Z781" s="212"/>
      <c r="AA781" s="212"/>
      <c r="AB781" s="213"/>
      <c r="AD781" s="213"/>
      <c r="AF781" s="474"/>
    </row>
    <row r="782" spans="1:32" x14ac:dyDescent="0.25">
      <c r="A782" s="213"/>
      <c r="B782" s="536"/>
      <c r="D782" s="213"/>
      <c r="F782" s="213"/>
      <c r="G782" s="213"/>
      <c r="J782" s="536"/>
      <c r="S782" s="213"/>
      <c r="U782" s="536"/>
      <c r="V782" s="536"/>
      <c r="W782" s="537"/>
      <c r="X782" s="212"/>
      <c r="Y782" s="212"/>
      <c r="Z782" s="212"/>
      <c r="AA782" s="212"/>
      <c r="AB782" s="213"/>
      <c r="AD782" s="213"/>
      <c r="AF782" s="474"/>
    </row>
    <row r="783" spans="1:32" x14ac:dyDescent="0.25">
      <c r="A783" s="213"/>
      <c r="B783" s="536"/>
      <c r="D783" s="213"/>
      <c r="F783" s="213"/>
      <c r="G783" s="213"/>
      <c r="J783" s="536"/>
      <c r="S783" s="213"/>
      <c r="U783" s="536"/>
      <c r="V783" s="536"/>
      <c r="W783" s="537"/>
      <c r="X783" s="212"/>
      <c r="Y783" s="212"/>
      <c r="Z783" s="212"/>
      <c r="AA783" s="212"/>
      <c r="AB783" s="213"/>
      <c r="AD783" s="213"/>
      <c r="AF783" s="474"/>
    </row>
    <row r="784" spans="1:32" x14ac:dyDescent="0.25">
      <c r="A784" s="213"/>
      <c r="B784" s="536"/>
      <c r="D784" s="213"/>
      <c r="F784" s="213"/>
      <c r="G784" s="213"/>
      <c r="J784" s="536"/>
      <c r="S784" s="213"/>
      <c r="U784" s="536"/>
      <c r="V784" s="536"/>
      <c r="W784" s="537"/>
      <c r="X784" s="212"/>
      <c r="Y784" s="212"/>
      <c r="Z784" s="212"/>
      <c r="AA784" s="212"/>
      <c r="AB784" s="213"/>
      <c r="AD784" s="213"/>
      <c r="AF784" s="474"/>
    </row>
    <row r="785" spans="1:32" x14ac:dyDescent="0.25">
      <c r="A785" s="213"/>
      <c r="B785" s="536"/>
      <c r="D785" s="213"/>
      <c r="F785" s="213"/>
      <c r="G785" s="213"/>
      <c r="J785" s="536"/>
      <c r="S785" s="213"/>
      <c r="U785" s="536"/>
      <c r="V785" s="536"/>
      <c r="W785" s="537"/>
      <c r="X785" s="212"/>
      <c r="Y785" s="212"/>
      <c r="Z785" s="212"/>
      <c r="AA785" s="212"/>
      <c r="AB785" s="213"/>
      <c r="AD785" s="213"/>
      <c r="AF785" s="474"/>
    </row>
    <row r="786" spans="1:32" x14ac:dyDescent="0.25">
      <c r="A786" s="213"/>
      <c r="B786" s="536"/>
      <c r="D786" s="213"/>
      <c r="F786" s="213"/>
      <c r="G786" s="213"/>
      <c r="J786" s="536"/>
      <c r="S786" s="213"/>
      <c r="U786" s="536"/>
      <c r="V786" s="536"/>
      <c r="W786" s="537"/>
      <c r="X786" s="212"/>
      <c r="Y786" s="212"/>
      <c r="Z786" s="212"/>
      <c r="AA786" s="212"/>
      <c r="AB786" s="213"/>
      <c r="AD786" s="213"/>
      <c r="AF786" s="474"/>
    </row>
    <row r="787" spans="1:32" x14ac:dyDescent="0.25">
      <c r="A787" s="213"/>
      <c r="B787" s="536"/>
      <c r="D787" s="213"/>
      <c r="F787" s="213"/>
      <c r="G787" s="213"/>
      <c r="J787" s="536"/>
      <c r="S787" s="213"/>
      <c r="U787" s="536"/>
      <c r="V787" s="536"/>
      <c r="W787" s="537"/>
      <c r="X787" s="212"/>
      <c r="Y787" s="212"/>
      <c r="Z787" s="212"/>
      <c r="AA787" s="212"/>
      <c r="AB787" s="213"/>
      <c r="AD787" s="213"/>
      <c r="AF787" s="474"/>
    </row>
    <row r="788" spans="1:32" x14ac:dyDescent="0.25">
      <c r="A788" s="213"/>
      <c r="B788" s="536"/>
      <c r="D788" s="213"/>
      <c r="F788" s="213"/>
      <c r="G788" s="213"/>
      <c r="J788" s="536"/>
      <c r="S788" s="213"/>
      <c r="U788" s="536"/>
      <c r="V788" s="536"/>
      <c r="W788" s="537"/>
      <c r="X788" s="212"/>
      <c r="Y788" s="212"/>
      <c r="Z788" s="212"/>
      <c r="AA788" s="212"/>
      <c r="AB788" s="213"/>
      <c r="AD788" s="213"/>
      <c r="AF788" s="474"/>
    </row>
    <row r="789" spans="1:32" x14ac:dyDescent="0.25">
      <c r="A789" s="213"/>
      <c r="B789" s="536"/>
      <c r="D789" s="213"/>
      <c r="F789" s="213"/>
      <c r="G789" s="213"/>
      <c r="J789" s="536"/>
      <c r="S789" s="213"/>
      <c r="U789" s="536"/>
      <c r="V789" s="536"/>
      <c r="W789" s="537"/>
      <c r="X789" s="212"/>
      <c r="Y789" s="212"/>
      <c r="Z789" s="212"/>
      <c r="AA789" s="212"/>
      <c r="AB789" s="213"/>
      <c r="AD789" s="213"/>
      <c r="AF789" s="474"/>
    </row>
    <row r="790" spans="1:32" x14ac:dyDescent="0.25">
      <c r="A790" s="213"/>
      <c r="B790" s="536"/>
      <c r="D790" s="213"/>
      <c r="F790" s="213"/>
      <c r="G790" s="213"/>
      <c r="J790" s="536"/>
      <c r="S790" s="213"/>
      <c r="U790" s="536"/>
      <c r="V790" s="536"/>
      <c r="W790" s="537"/>
      <c r="X790" s="212"/>
      <c r="Y790" s="212"/>
      <c r="Z790" s="212"/>
      <c r="AA790" s="212"/>
      <c r="AB790" s="213"/>
      <c r="AD790" s="213"/>
      <c r="AF790" s="474"/>
    </row>
    <row r="791" spans="1:32" x14ac:dyDescent="0.25">
      <c r="A791" s="213"/>
      <c r="B791" s="536"/>
      <c r="D791" s="213"/>
      <c r="F791" s="213"/>
      <c r="G791" s="213"/>
      <c r="J791" s="536"/>
      <c r="S791" s="213"/>
      <c r="U791" s="536"/>
      <c r="V791" s="536"/>
      <c r="W791" s="537"/>
      <c r="X791" s="212"/>
      <c r="Y791" s="212"/>
      <c r="Z791" s="212"/>
      <c r="AA791" s="212"/>
      <c r="AB791" s="213"/>
      <c r="AD791" s="213"/>
      <c r="AF791" s="474"/>
    </row>
    <row r="792" spans="1:32" x14ac:dyDescent="0.25">
      <c r="A792" s="213"/>
      <c r="B792" s="536"/>
      <c r="D792" s="213"/>
      <c r="F792" s="213"/>
      <c r="G792" s="213"/>
      <c r="J792" s="536"/>
      <c r="S792" s="213"/>
      <c r="U792" s="536"/>
      <c r="V792" s="536"/>
      <c r="W792" s="537"/>
      <c r="X792" s="212"/>
      <c r="Y792" s="212"/>
      <c r="Z792" s="212"/>
      <c r="AA792" s="212"/>
      <c r="AB792" s="213"/>
      <c r="AD792" s="213"/>
      <c r="AF792" s="474"/>
    </row>
    <row r="793" spans="1:32" x14ac:dyDescent="0.25">
      <c r="A793" s="213"/>
      <c r="B793" s="536"/>
      <c r="D793" s="213"/>
      <c r="F793" s="213"/>
      <c r="G793" s="213"/>
      <c r="J793" s="536"/>
      <c r="S793" s="213"/>
      <c r="U793" s="536"/>
      <c r="V793" s="536"/>
      <c r="W793" s="537"/>
      <c r="X793" s="212"/>
      <c r="Y793" s="212"/>
      <c r="Z793" s="212"/>
      <c r="AA793" s="212"/>
      <c r="AB793" s="213"/>
      <c r="AD793" s="213"/>
      <c r="AF793" s="474"/>
    </row>
    <row r="794" spans="1:32" x14ac:dyDescent="0.25">
      <c r="A794" s="213"/>
      <c r="B794" s="536"/>
      <c r="D794" s="213"/>
      <c r="F794" s="213"/>
      <c r="G794" s="213"/>
      <c r="J794" s="536"/>
      <c r="S794" s="213"/>
      <c r="U794" s="536"/>
      <c r="V794" s="536"/>
      <c r="W794" s="537"/>
      <c r="X794" s="212"/>
      <c r="Y794" s="212"/>
      <c r="Z794" s="212"/>
      <c r="AA794" s="212"/>
      <c r="AB794" s="213"/>
      <c r="AD794" s="213"/>
      <c r="AF794" s="474"/>
    </row>
    <row r="795" spans="1:32" x14ac:dyDescent="0.25">
      <c r="A795" s="213"/>
      <c r="B795" s="536"/>
      <c r="D795" s="213"/>
      <c r="F795" s="213"/>
      <c r="G795" s="213"/>
      <c r="J795" s="536"/>
      <c r="S795" s="213"/>
      <c r="U795" s="536"/>
      <c r="V795" s="536"/>
      <c r="W795" s="537"/>
      <c r="X795" s="212"/>
      <c r="Y795" s="212"/>
      <c r="Z795" s="212"/>
      <c r="AA795" s="212"/>
      <c r="AB795" s="213"/>
      <c r="AD795" s="213"/>
      <c r="AF795" s="474"/>
    </row>
    <row r="796" spans="1:32" x14ac:dyDescent="0.25">
      <c r="A796" s="213"/>
      <c r="B796" s="536"/>
      <c r="D796" s="213"/>
      <c r="F796" s="213"/>
      <c r="G796" s="213"/>
      <c r="J796" s="536"/>
      <c r="S796" s="213"/>
      <c r="U796" s="536"/>
      <c r="V796" s="536"/>
      <c r="W796" s="537"/>
      <c r="X796" s="212"/>
      <c r="Y796" s="212"/>
      <c r="Z796" s="212"/>
      <c r="AA796" s="212"/>
      <c r="AB796" s="213"/>
      <c r="AD796" s="213"/>
      <c r="AF796" s="474"/>
    </row>
    <row r="797" spans="1:32" x14ac:dyDescent="0.25">
      <c r="A797" s="213"/>
      <c r="B797" s="536"/>
      <c r="D797" s="213"/>
      <c r="F797" s="213"/>
      <c r="G797" s="213"/>
      <c r="J797" s="536"/>
      <c r="S797" s="213"/>
      <c r="U797" s="536"/>
      <c r="V797" s="536"/>
      <c r="W797" s="537"/>
      <c r="X797" s="212"/>
      <c r="Y797" s="212"/>
      <c r="Z797" s="212"/>
      <c r="AA797" s="212"/>
      <c r="AB797" s="213"/>
      <c r="AD797" s="213"/>
      <c r="AF797" s="474"/>
    </row>
    <row r="798" spans="1:32" x14ac:dyDescent="0.25">
      <c r="A798" s="213"/>
      <c r="B798" s="536"/>
      <c r="D798" s="213"/>
      <c r="F798" s="213"/>
      <c r="G798" s="213"/>
      <c r="J798" s="536"/>
      <c r="S798" s="213"/>
      <c r="U798" s="536"/>
      <c r="V798" s="536"/>
      <c r="W798" s="537"/>
      <c r="X798" s="212"/>
      <c r="Y798" s="212"/>
      <c r="Z798" s="212"/>
      <c r="AA798" s="212"/>
      <c r="AB798" s="213"/>
      <c r="AD798" s="213"/>
      <c r="AF798" s="474"/>
    </row>
    <row r="799" spans="1:32" x14ac:dyDescent="0.25">
      <c r="A799" s="213"/>
      <c r="B799" s="536"/>
      <c r="D799" s="213"/>
      <c r="F799" s="213"/>
      <c r="G799" s="213"/>
      <c r="J799" s="536"/>
      <c r="S799" s="213"/>
      <c r="U799" s="536"/>
      <c r="V799" s="536"/>
      <c r="W799" s="537"/>
      <c r="X799" s="212"/>
      <c r="Y799" s="212"/>
      <c r="Z799" s="212"/>
      <c r="AA799" s="212"/>
      <c r="AB799" s="213"/>
      <c r="AD799" s="213"/>
      <c r="AF799" s="474"/>
    </row>
    <row r="800" spans="1:32" x14ac:dyDescent="0.25">
      <c r="A800" s="213"/>
      <c r="B800" s="536"/>
      <c r="D800" s="213"/>
      <c r="F800" s="213"/>
      <c r="G800" s="213"/>
      <c r="J800" s="536"/>
      <c r="S800" s="213"/>
      <c r="U800" s="536"/>
      <c r="V800" s="536"/>
      <c r="W800" s="537"/>
      <c r="X800" s="212"/>
      <c r="Y800" s="212"/>
      <c r="Z800" s="212"/>
      <c r="AA800" s="212"/>
      <c r="AB800" s="213"/>
      <c r="AD800" s="213"/>
      <c r="AF800" s="474"/>
    </row>
    <row r="801" spans="1:32" x14ac:dyDescent="0.25">
      <c r="A801" s="213"/>
      <c r="B801" s="536"/>
      <c r="D801" s="213"/>
      <c r="F801" s="213"/>
      <c r="G801" s="213"/>
      <c r="J801" s="536"/>
      <c r="S801" s="213"/>
      <c r="U801" s="536"/>
      <c r="V801" s="536"/>
      <c r="W801" s="537"/>
      <c r="X801" s="212"/>
      <c r="Y801" s="212"/>
      <c r="Z801" s="212"/>
      <c r="AA801" s="212"/>
      <c r="AB801" s="213"/>
      <c r="AD801" s="213"/>
      <c r="AF801" s="474"/>
    </row>
    <row r="802" spans="1:32" x14ac:dyDescent="0.25">
      <c r="A802" s="213"/>
      <c r="B802" s="536"/>
      <c r="D802" s="213"/>
      <c r="F802" s="213"/>
      <c r="G802" s="213"/>
      <c r="J802" s="536"/>
      <c r="S802" s="213"/>
      <c r="U802" s="536"/>
      <c r="V802" s="536"/>
      <c r="W802" s="537"/>
      <c r="X802" s="212"/>
      <c r="Y802" s="212"/>
      <c r="Z802" s="212"/>
      <c r="AA802" s="212"/>
      <c r="AB802" s="213"/>
      <c r="AD802" s="213"/>
      <c r="AF802" s="474"/>
    </row>
    <row r="803" spans="1:32" x14ac:dyDescent="0.25">
      <c r="A803" s="213"/>
      <c r="B803" s="536"/>
      <c r="D803" s="213"/>
      <c r="F803" s="213"/>
      <c r="G803" s="213"/>
      <c r="J803" s="536"/>
      <c r="S803" s="213"/>
      <c r="U803" s="536"/>
      <c r="V803" s="536"/>
      <c r="W803" s="537"/>
      <c r="X803" s="212"/>
      <c r="Y803" s="212"/>
      <c r="Z803" s="212"/>
      <c r="AA803" s="212"/>
      <c r="AB803" s="213"/>
      <c r="AD803" s="213"/>
      <c r="AF803" s="474"/>
    </row>
    <row r="804" spans="1:32" x14ac:dyDescent="0.25">
      <c r="A804" s="213"/>
      <c r="B804" s="536"/>
      <c r="D804" s="213"/>
      <c r="F804" s="213"/>
      <c r="G804" s="213"/>
      <c r="J804" s="536"/>
      <c r="S804" s="213"/>
      <c r="U804" s="536"/>
      <c r="V804" s="536"/>
      <c r="W804" s="537"/>
      <c r="X804" s="212"/>
      <c r="Y804" s="212"/>
      <c r="Z804" s="212"/>
      <c r="AA804" s="212"/>
      <c r="AB804" s="213"/>
      <c r="AD804" s="213"/>
      <c r="AF804" s="474"/>
    </row>
    <row r="805" spans="1:32" x14ac:dyDescent="0.25">
      <c r="A805" s="213"/>
      <c r="B805" s="536"/>
      <c r="D805" s="213"/>
      <c r="F805" s="213"/>
      <c r="G805" s="213"/>
      <c r="J805" s="536"/>
      <c r="S805" s="213"/>
      <c r="U805" s="536"/>
      <c r="V805" s="536"/>
      <c r="W805" s="537"/>
      <c r="X805" s="212"/>
      <c r="Y805" s="212"/>
      <c r="Z805" s="212"/>
      <c r="AA805" s="212"/>
      <c r="AB805" s="213"/>
      <c r="AD805" s="213"/>
      <c r="AF805" s="474"/>
    </row>
    <row r="806" spans="1:32" x14ac:dyDescent="0.25">
      <c r="A806" s="213"/>
      <c r="B806" s="536"/>
      <c r="D806" s="213"/>
      <c r="F806" s="213"/>
      <c r="G806" s="213"/>
      <c r="J806" s="536"/>
      <c r="S806" s="213"/>
      <c r="U806" s="536"/>
      <c r="V806" s="536"/>
      <c r="W806" s="537"/>
      <c r="X806" s="212"/>
      <c r="Y806" s="212"/>
      <c r="Z806" s="212"/>
      <c r="AA806" s="212"/>
      <c r="AB806" s="213"/>
      <c r="AD806" s="213"/>
      <c r="AF806" s="474"/>
    </row>
    <row r="807" spans="1:32" x14ac:dyDescent="0.25">
      <c r="A807" s="213"/>
      <c r="B807" s="536"/>
      <c r="D807" s="213"/>
      <c r="F807" s="213"/>
      <c r="G807" s="213"/>
      <c r="J807" s="536"/>
      <c r="S807" s="213"/>
      <c r="U807" s="536"/>
      <c r="V807" s="536"/>
      <c r="W807" s="537"/>
      <c r="X807" s="212"/>
      <c r="Y807" s="212"/>
      <c r="Z807" s="212"/>
      <c r="AA807" s="212"/>
      <c r="AB807" s="213"/>
      <c r="AD807" s="213"/>
      <c r="AF807" s="474"/>
    </row>
    <row r="808" spans="1:32" x14ac:dyDescent="0.25">
      <c r="A808" s="213"/>
      <c r="B808" s="536"/>
      <c r="D808" s="213"/>
      <c r="F808" s="213"/>
      <c r="G808" s="213"/>
      <c r="J808" s="536"/>
      <c r="S808" s="213"/>
      <c r="U808" s="536"/>
      <c r="V808" s="536"/>
      <c r="W808" s="537"/>
      <c r="X808" s="212"/>
      <c r="Y808" s="212"/>
      <c r="Z808" s="212"/>
      <c r="AA808" s="212"/>
      <c r="AB808" s="213"/>
      <c r="AD808" s="213"/>
      <c r="AF808" s="474"/>
    </row>
    <row r="809" spans="1:32" x14ac:dyDescent="0.25">
      <c r="A809" s="213"/>
      <c r="B809" s="536"/>
      <c r="D809" s="213"/>
      <c r="F809" s="213"/>
      <c r="G809" s="213"/>
      <c r="J809" s="536"/>
      <c r="S809" s="213"/>
      <c r="U809" s="536"/>
      <c r="V809" s="536"/>
      <c r="W809" s="537"/>
      <c r="X809" s="212"/>
      <c r="Y809" s="212"/>
      <c r="Z809" s="212"/>
      <c r="AA809" s="212"/>
      <c r="AB809" s="213"/>
      <c r="AD809" s="213"/>
      <c r="AF809" s="474"/>
    </row>
    <row r="810" spans="1:32" x14ac:dyDescent="0.25">
      <c r="A810" s="213"/>
      <c r="B810" s="536"/>
      <c r="D810" s="213"/>
      <c r="F810" s="213"/>
      <c r="G810" s="213"/>
      <c r="J810" s="536"/>
      <c r="S810" s="213"/>
      <c r="U810" s="536"/>
      <c r="V810" s="536"/>
      <c r="W810" s="537"/>
      <c r="X810" s="212"/>
      <c r="Y810" s="212"/>
      <c r="Z810" s="212"/>
      <c r="AA810" s="212"/>
      <c r="AB810" s="213"/>
      <c r="AD810" s="213"/>
      <c r="AF810" s="474"/>
    </row>
    <row r="811" spans="1:32" x14ac:dyDescent="0.25">
      <c r="A811" s="213"/>
      <c r="B811" s="536"/>
      <c r="D811" s="213"/>
      <c r="F811" s="213"/>
      <c r="G811" s="213"/>
      <c r="J811" s="536"/>
      <c r="S811" s="213"/>
      <c r="U811" s="536"/>
      <c r="V811" s="536"/>
      <c r="W811" s="537"/>
      <c r="X811" s="212"/>
      <c r="Y811" s="212"/>
      <c r="Z811" s="212"/>
      <c r="AA811" s="212"/>
      <c r="AB811" s="213"/>
      <c r="AD811" s="213"/>
      <c r="AF811" s="474"/>
    </row>
    <row r="812" spans="1:32" x14ac:dyDescent="0.25">
      <c r="A812" s="213"/>
      <c r="B812" s="536"/>
      <c r="D812" s="213"/>
      <c r="F812" s="213"/>
      <c r="G812" s="213"/>
      <c r="J812" s="536"/>
      <c r="S812" s="213"/>
      <c r="U812" s="536"/>
      <c r="V812" s="536"/>
      <c r="W812" s="537"/>
      <c r="X812" s="212"/>
      <c r="Y812" s="212"/>
      <c r="Z812" s="212"/>
      <c r="AA812" s="212"/>
      <c r="AB812" s="213"/>
      <c r="AD812" s="213"/>
      <c r="AF812" s="474"/>
    </row>
    <row r="813" spans="1:32" x14ac:dyDescent="0.25">
      <c r="A813" s="213"/>
      <c r="B813" s="536"/>
      <c r="D813" s="213"/>
      <c r="F813" s="213"/>
      <c r="G813" s="213"/>
      <c r="J813" s="536"/>
      <c r="S813" s="213"/>
      <c r="U813" s="536"/>
      <c r="V813" s="536"/>
      <c r="W813" s="537"/>
      <c r="X813" s="212"/>
      <c r="Y813" s="212"/>
      <c r="Z813" s="212"/>
      <c r="AA813" s="212"/>
      <c r="AB813" s="213"/>
      <c r="AD813" s="213"/>
      <c r="AF813" s="474"/>
    </row>
    <row r="814" spans="1:32" x14ac:dyDescent="0.25">
      <c r="A814" s="213"/>
      <c r="B814" s="536"/>
      <c r="D814" s="213"/>
      <c r="F814" s="213"/>
      <c r="G814" s="213"/>
      <c r="J814" s="536"/>
      <c r="S814" s="213"/>
      <c r="U814" s="536"/>
      <c r="V814" s="536"/>
      <c r="W814" s="537"/>
      <c r="X814" s="212"/>
      <c r="Y814" s="212"/>
      <c r="Z814" s="212"/>
      <c r="AA814" s="212"/>
      <c r="AB814" s="213"/>
      <c r="AD814" s="213"/>
      <c r="AF814" s="474"/>
    </row>
    <row r="815" spans="1:32" x14ac:dyDescent="0.25">
      <c r="A815" s="213"/>
      <c r="B815" s="536"/>
      <c r="D815" s="213"/>
      <c r="F815" s="213"/>
      <c r="G815" s="213"/>
      <c r="J815" s="536"/>
      <c r="S815" s="213"/>
      <c r="U815" s="536"/>
      <c r="V815" s="536"/>
      <c r="W815" s="537"/>
      <c r="X815" s="212"/>
      <c r="Y815" s="212"/>
      <c r="Z815" s="212"/>
      <c r="AA815" s="212"/>
      <c r="AB815" s="213"/>
      <c r="AD815" s="213"/>
      <c r="AF815" s="474"/>
    </row>
    <row r="816" spans="1:32" x14ac:dyDescent="0.25">
      <c r="A816" s="213"/>
      <c r="B816" s="536"/>
      <c r="D816" s="213"/>
      <c r="F816" s="213"/>
      <c r="G816" s="213"/>
      <c r="J816" s="536"/>
      <c r="S816" s="213"/>
      <c r="U816" s="536"/>
      <c r="V816" s="536"/>
      <c r="W816" s="537"/>
      <c r="X816" s="212"/>
      <c r="Y816" s="212"/>
      <c r="Z816" s="212"/>
      <c r="AA816" s="212"/>
      <c r="AB816" s="213"/>
      <c r="AD816" s="213"/>
      <c r="AF816" s="474"/>
    </row>
    <row r="817" spans="1:32" x14ac:dyDescent="0.25">
      <c r="A817" s="213"/>
      <c r="B817" s="536"/>
      <c r="D817" s="213"/>
      <c r="F817" s="213"/>
      <c r="G817" s="213"/>
      <c r="J817" s="536"/>
      <c r="S817" s="213"/>
      <c r="U817" s="536"/>
      <c r="V817" s="536"/>
      <c r="W817" s="537"/>
      <c r="X817" s="212"/>
      <c r="Y817" s="212"/>
      <c r="Z817" s="212"/>
      <c r="AA817" s="212"/>
      <c r="AB817" s="213"/>
      <c r="AD817" s="213"/>
      <c r="AF817" s="474"/>
    </row>
    <row r="818" spans="1:32" x14ac:dyDescent="0.25">
      <c r="A818" s="213"/>
      <c r="B818" s="536"/>
      <c r="D818" s="213"/>
      <c r="F818" s="213"/>
      <c r="G818" s="213"/>
      <c r="J818" s="536"/>
      <c r="S818" s="213"/>
      <c r="U818" s="536"/>
      <c r="V818" s="536"/>
      <c r="W818" s="537"/>
      <c r="X818" s="212"/>
      <c r="Y818" s="212"/>
      <c r="Z818" s="212"/>
      <c r="AA818" s="212"/>
      <c r="AB818" s="213"/>
      <c r="AD818" s="213"/>
      <c r="AF818" s="474"/>
    </row>
    <row r="819" spans="1:32" x14ac:dyDescent="0.25">
      <c r="A819" s="213"/>
      <c r="B819" s="536"/>
      <c r="D819" s="213"/>
      <c r="F819" s="213"/>
      <c r="G819" s="213"/>
      <c r="J819" s="536"/>
      <c r="S819" s="213"/>
      <c r="U819" s="536"/>
      <c r="V819" s="536"/>
      <c r="W819" s="537"/>
      <c r="X819" s="212"/>
      <c r="Y819" s="212"/>
      <c r="Z819" s="212"/>
      <c r="AA819" s="212"/>
      <c r="AB819" s="213"/>
      <c r="AD819" s="213"/>
      <c r="AF819" s="474"/>
    </row>
    <row r="820" spans="1:32" x14ac:dyDescent="0.25">
      <c r="A820" s="213"/>
      <c r="B820" s="536"/>
      <c r="D820" s="213"/>
      <c r="F820" s="213"/>
      <c r="G820" s="213"/>
      <c r="J820" s="536"/>
      <c r="S820" s="213"/>
      <c r="U820" s="536"/>
      <c r="V820" s="536"/>
      <c r="W820" s="537"/>
      <c r="X820" s="212"/>
      <c r="Y820" s="212"/>
      <c r="Z820" s="212"/>
      <c r="AA820" s="212"/>
      <c r="AB820" s="213"/>
      <c r="AD820" s="213"/>
      <c r="AF820" s="474"/>
    </row>
    <row r="821" spans="1:32" x14ac:dyDescent="0.25">
      <c r="A821" s="213"/>
      <c r="B821" s="536"/>
      <c r="D821" s="213"/>
      <c r="F821" s="213"/>
      <c r="G821" s="213"/>
      <c r="J821" s="536"/>
      <c r="S821" s="213"/>
      <c r="U821" s="536"/>
      <c r="V821" s="536"/>
      <c r="W821" s="537"/>
      <c r="X821" s="212"/>
      <c r="Y821" s="212"/>
      <c r="Z821" s="212"/>
      <c r="AA821" s="212"/>
      <c r="AB821" s="213"/>
      <c r="AD821" s="213"/>
      <c r="AF821" s="474"/>
    </row>
    <row r="822" spans="1:32" x14ac:dyDescent="0.25">
      <c r="A822" s="213"/>
      <c r="B822" s="536"/>
      <c r="D822" s="213"/>
      <c r="F822" s="213"/>
      <c r="G822" s="213"/>
      <c r="J822" s="536"/>
      <c r="S822" s="213"/>
      <c r="U822" s="536"/>
      <c r="V822" s="536"/>
      <c r="W822" s="537"/>
      <c r="X822" s="212"/>
      <c r="Y822" s="212"/>
      <c r="Z822" s="212"/>
      <c r="AA822" s="212"/>
      <c r="AB822" s="213"/>
      <c r="AD822" s="213"/>
      <c r="AF822" s="474"/>
    </row>
    <row r="823" spans="1:32" x14ac:dyDescent="0.25">
      <c r="A823" s="213"/>
      <c r="B823" s="536"/>
      <c r="D823" s="213"/>
      <c r="F823" s="213"/>
      <c r="G823" s="213"/>
      <c r="J823" s="536"/>
      <c r="S823" s="213"/>
      <c r="U823" s="536"/>
      <c r="V823" s="536"/>
      <c r="W823" s="537"/>
      <c r="X823" s="212"/>
      <c r="Y823" s="212"/>
      <c r="Z823" s="212"/>
      <c r="AA823" s="212"/>
      <c r="AB823" s="213"/>
      <c r="AD823" s="213"/>
      <c r="AF823" s="474"/>
    </row>
    <row r="824" spans="1:32" x14ac:dyDescent="0.25">
      <c r="A824" s="213"/>
      <c r="B824" s="536"/>
      <c r="D824" s="213"/>
      <c r="F824" s="213"/>
      <c r="G824" s="213"/>
      <c r="J824" s="536"/>
      <c r="S824" s="213"/>
      <c r="U824" s="536"/>
      <c r="V824" s="536"/>
      <c r="W824" s="537"/>
      <c r="X824" s="212"/>
      <c r="Y824" s="212"/>
      <c r="Z824" s="212"/>
      <c r="AA824" s="212"/>
      <c r="AB824" s="213"/>
      <c r="AD824" s="213"/>
      <c r="AF824" s="474"/>
    </row>
    <row r="825" spans="1:32" x14ac:dyDescent="0.25">
      <c r="A825" s="213"/>
      <c r="B825" s="536"/>
      <c r="D825" s="213"/>
      <c r="F825" s="213"/>
      <c r="G825" s="213"/>
      <c r="J825" s="536"/>
      <c r="S825" s="213"/>
      <c r="U825" s="536"/>
      <c r="V825" s="536"/>
      <c r="W825" s="537"/>
      <c r="X825" s="212"/>
      <c r="Y825" s="212"/>
      <c r="Z825" s="212"/>
      <c r="AA825" s="212"/>
      <c r="AB825" s="213"/>
      <c r="AD825" s="213"/>
      <c r="AF825" s="474"/>
    </row>
    <row r="826" spans="1:32" x14ac:dyDescent="0.25">
      <c r="A826" s="213"/>
      <c r="B826" s="536"/>
      <c r="D826" s="213"/>
      <c r="F826" s="213"/>
      <c r="G826" s="213"/>
      <c r="J826" s="536"/>
      <c r="S826" s="213"/>
      <c r="U826" s="536"/>
      <c r="V826" s="536"/>
      <c r="W826" s="537"/>
      <c r="X826" s="212"/>
      <c r="Y826" s="212"/>
      <c r="Z826" s="212"/>
      <c r="AA826" s="212"/>
      <c r="AB826" s="213"/>
      <c r="AD826" s="213"/>
      <c r="AF826" s="474"/>
    </row>
    <row r="827" spans="1:32" x14ac:dyDescent="0.25">
      <c r="A827" s="213"/>
      <c r="B827" s="536"/>
      <c r="D827" s="213"/>
      <c r="F827" s="213"/>
      <c r="G827" s="213"/>
      <c r="J827" s="536"/>
      <c r="S827" s="213"/>
      <c r="U827" s="536"/>
      <c r="V827" s="536"/>
      <c r="W827" s="537"/>
      <c r="X827" s="212"/>
      <c r="Y827" s="212"/>
      <c r="Z827" s="212"/>
      <c r="AA827" s="212"/>
      <c r="AB827" s="213"/>
      <c r="AD827" s="213"/>
      <c r="AF827" s="474"/>
    </row>
    <row r="828" spans="1:32" x14ac:dyDescent="0.25">
      <c r="A828" s="213"/>
      <c r="B828" s="536"/>
      <c r="D828" s="213"/>
      <c r="F828" s="213"/>
      <c r="G828" s="213"/>
      <c r="J828" s="536"/>
      <c r="S828" s="213"/>
      <c r="U828" s="536"/>
      <c r="V828" s="536"/>
      <c r="W828" s="537"/>
      <c r="X828" s="212"/>
      <c r="Y828" s="212"/>
      <c r="Z828" s="212"/>
      <c r="AA828" s="212"/>
      <c r="AB828" s="213"/>
      <c r="AD828" s="213"/>
      <c r="AF828" s="474"/>
    </row>
    <row r="829" spans="1:32" x14ac:dyDescent="0.25">
      <c r="A829" s="213"/>
      <c r="B829" s="536"/>
      <c r="D829" s="213"/>
      <c r="F829" s="213"/>
      <c r="G829" s="213"/>
      <c r="J829" s="536"/>
      <c r="S829" s="213"/>
      <c r="U829" s="536"/>
      <c r="V829" s="536"/>
      <c r="W829" s="537"/>
      <c r="X829" s="212"/>
      <c r="Y829" s="212"/>
      <c r="Z829" s="212"/>
      <c r="AA829" s="212"/>
      <c r="AB829" s="213"/>
      <c r="AD829" s="213"/>
      <c r="AF829" s="474"/>
    </row>
    <row r="830" spans="1:32" x14ac:dyDescent="0.25">
      <c r="A830" s="213"/>
      <c r="B830" s="536"/>
      <c r="D830" s="213"/>
      <c r="F830" s="213"/>
      <c r="G830" s="213"/>
      <c r="J830" s="536"/>
      <c r="S830" s="213"/>
      <c r="U830" s="536"/>
      <c r="V830" s="536"/>
      <c r="W830" s="537"/>
      <c r="X830" s="212"/>
      <c r="Y830" s="212"/>
      <c r="Z830" s="212"/>
      <c r="AA830" s="212"/>
      <c r="AB830" s="213"/>
      <c r="AD830" s="213"/>
      <c r="AF830" s="474"/>
    </row>
    <row r="831" spans="1:32" x14ac:dyDescent="0.25">
      <c r="A831" s="213"/>
      <c r="B831" s="536"/>
      <c r="D831" s="213"/>
      <c r="F831" s="213"/>
      <c r="G831" s="213"/>
      <c r="J831" s="536"/>
      <c r="S831" s="213"/>
      <c r="U831" s="536"/>
      <c r="V831" s="536"/>
      <c r="W831" s="537"/>
      <c r="X831" s="212"/>
      <c r="Y831" s="212"/>
      <c r="Z831" s="212"/>
      <c r="AA831" s="212"/>
      <c r="AB831" s="213"/>
      <c r="AD831" s="213"/>
      <c r="AF831" s="474"/>
    </row>
    <row r="832" spans="1:32" x14ac:dyDescent="0.25">
      <c r="A832" s="213"/>
      <c r="B832" s="536"/>
      <c r="D832" s="213"/>
      <c r="F832" s="213"/>
      <c r="G832" s="213"/>
      <c r="J832" s="536"/>
      <c r="S832" s="213"/>
      <c r="U832" s="536"/>
      <c r="V832" s="536"/>
      <c r="W832" s="537"/>
      <c r="X832" s="212"/>
      <c r="Y832" s="212"/>
      <c r="Z832" s="212"/>
      <c r="AA832" s="212"/>
      <c r="AB832" s="213"/>
      <c r="AD832" s="213"/>
      <c r="AF832" s="474"/>
    </row>
    <row r="833" spans="1:32" x14ac:dyDescent="0.25">
      <c r="A833" s="213"/>
      <c r="B833" s="536"/>
      <c r="D833" s="213"/>
      <c r="F833" s="213"/>
      <c r="G833" s="213"/>
      <c r="J833" s="536"/>
      <c r="S833" s="213"/>
      <c r="U833" s="536"/>
      <c r="V833" s="536"/>
      <c r="W833" s="537"/>
      <c r="X833" s="212"/>
      <c r="Y833" s="212"/>
      <c r="Z833" s="212"/>
      <c r="AA833" s="212"/>
      <c r="AB833" s="213"/>
      <c r="AD833" s="213"/>
      <c r="AF833" s="474"/>
    </row>
    <row r="834" spans="1:32" x14ac:dyDescent="0.25">
      <c r="A834" s="213"/>
      <c r="B834" s="536"/>
      <c r="D834" s="213"/>
      <c r="F834" s="213"/>
      <c r="G834" s="213"/>
      <c r="J834" s="536"/>
      <c r="S834" s="213"/>
      <c r="U834" s="536"/>
      <c r="V834" s="536"/>
      <c r="W834" s="537"/>
      <c r="X834" s="212"/>
      <c r="Y834" s="212"/>
      <c r="Z834" s="212"/>
      <c r="AA834" s="212"/>
      <c r="AB834" s="213"/>
      <c r="AD834" s="213"/>
      <c r="AF834" s="474"/>
    </row>
    <row r="835" spans="1:32" x14ac:dyDescent="0.25">
      <c r="A835" s="213"/>
      <c r="B835" s="536"/>
      <c r="D835" s="213"/>
      <c r="F835" s="213"/>
      <c r="G835" s="213"/>
      <c r="J835" s="536"/>
      <c r="S835" s="213"/>
      <c r="U835" s="536"/>
      <c r="V835" s="536"/>
      <c r="W835" s="537"/>
      <c r="X835" s="212"/>
      <c r="Y835" s="212"/>
      <c r="Z835" s="212"/>
      <c r="AA835" s="212"/>
      <c r="AB835" s="213"/>
      <c r="AD835" s="213"/>
      <c r="AF835" s="474"/>
    </row>
    <row r="836" spans="1:32" x14ac:dyDescent="0.25">
      <c r="A836" s="213"/>
      <c r="B836" s="536"/>
      <c r="D836" s="213"/>
      <c r="F836" s="213"/>
      <c r="G836" s="213"/>
      <c r="J836" s="536"/>
      <c r="S836" s="213"/>
      <c r="U836" s="536"/>
      <c r="V836" s="536"/>
      <c r="W836" s="537"/>
      <c r="X836" s="212"/>
      <c r="Y836" s="212"/>
      <c r="Z836" s="212"/>
      <c r="AA836" s="212"/>
      <c r="AB836" s="213"/>
      <c r="AD836" s="213"/>
      <c r="AF836" s="474"/>
    </row>
    <row r="837" spans="1:32" x14ac:dyDescent="0.25">
      <c r="A837" s="213"/>
      <c r="B837" s="536"/>
      <c r="D837" s="213"/>
      <c r="F837" s="213"/>
      <c r="G837" s="213"/>
      <c r="J837" s="536"/>
      <c r="S837" s="213"/>
      <c r="U837" s="536"/>
      <c r="V837" s="536"/>
      <c r="W837" s="537"/>
      <c r="X837" s="212"/>
      <c r="Y837" s="212"/>
      <c r="Z837" s="212"/>
      <c r="AA837" s="212"/>
      <c r="AB837" s="213"/>
      <c r="AD837" s="213"/>
      <c r="AF837" s="474"/>
    </row>
    <row r="838" spans="1:32" x14ac:dyDescent="0.25">
      <c r="A838" s="213"/>
      <c r="B838" s="536"/>
      <c r="D838" s="213"/>
      <c r="F838" s="213"/>
      <c r="G838" s="213"/>
      <c r="J838" s="536"/>
      <c r="S838" s="213"/>
      <c r="U838" s="536"/>
      <c r="V838" s="536"/>
      <c r="W838" s="537"/>
      <c r="X838" s="212"/>
      <c r="Y838" s="212"/>
      <c r="Z838" s="212"/>
      <c r="AA838" s="212"/>
      <c r="AB838" s="213"/>
      <c r="AD838" s="213"/>
      <c r="AF838" s="474"/>
    </row>
    <row r="839" spans="1:32" x14ac:dyDescent="0.25">
      <c r="A839" s="213"/>
      <c r="B839" s="536"/>
      <c r="D839" s="213"/>
      <c r="F839" s="213"/>
      <c r="G839" s="213"/>
      <c r="J839" s="536"/>
      <c r="S839" s="213"/>
      <c r="U839" s="536"/>
      <c r="V839" s="536"/>
      <c r="W839" s="537"/>
      <c r="X839" s="212"/>
      <c r="Y839" s="212"/>
      <c r="Z839" s="212"/>
      <c r="AA839" s="212"/>
      <c r="AB839" s="213"/>
      <c r="AD839" s="213"/>
      <c r="AF839" s="474"/>
    </row>
    <row r="840" spans="1:32" x14ac:dyDescent="0.25">
      <c r="A840" s="213"/>
      <c r="B840" s="536"/>
      <c r="D840" s="213"/>
      <c r="F840" s="213"/>
      <c r="G840" s="213"/>
      <c r="J840" s="536"/>
      <c r="S840" s="213"/>
      <c r="U840" s="536"/>
      <c r="V840" s="536"/>
      <c r="W840" s="537"/>
      <c r="X840" s="212"/>
      <c r="Y840" s="212"/>
      <c r="Z840" s="212"/>
      <c r="AA840" s="212"/>
      <c r="AB840" s="213"/>
      <c r="AD840" s="213"/>
      <c r="AF840" s="474"/>
    </row>
    <row r="841" spans="1:32" x14ac:dyDescent="0.25">
      <c r="A841" s="213"/>
      <c r="B841" s="536"/>
      <c r="D841" s="213"/>
      <c r="F841" s="213"/>
      <c r="G841" s="213"/>
      <c r="J841" s="536"/>
      <c r="S841" s="213"/>
      <c r="U841" s="536"/>
      <c r="V841" s="536"/>
      <c r="W841" s="537"/>
      <c r="X841" s="212"/>
      <c r="Y841" s="212"/>
      <c r="Z841" s="212"/>
      <c r="AA841" s="212"/>
      <c r="AB841" s="213"/>
      <c r="AD841" s="213"/>
      <c r="AF841" s="474"/>
    </row>
    <row r="842" spans="1:32" x14ac:dyDescent="0.25">
      <c r="A842" s="213"/>
      <c r="B842" s="536"/>
      <c r="D842" s="213"/>
      <c r="F842" s="213"/>
      <c r="G842" s="213"/>
      <c r="J842" s="536"/>
      <c r="S842" s="213"/>
      <c r="U842" s="536"/>
      <c r="V842" s="536"/>
      <c r="W842" s="537"/>
      <c r="X842" s="212"/>
      <c r="Y842" s="212"/>
      <c r="Z842" s="212"/>
      <c r="AA842" s="212"/>
      <c r="AB842" s="213"/>
      <c r="AD842" s="213"/>
      <c r="AF842" s="474"/>
    </row>
    <row r="843" spans="1:32" x14ac:dyDescent="0.25">
      <c r="A843" s="213"/>
      <c r="B843" s="536"/>
      <c r="D843" s="213"/>
      <c r="F843" s="213"/>
      <c r="G843" s="213"/>
      <c r="J843" s="536"/>
      <c r="S843" s="213"/>
      <c r="U843" s="536"/>
      <c r="V843" s="536"/>
      <c r="W843" s="537"/>
      <c r="X843" s="212"/>
      <c r="Y843" s="212"/>
      <c r="Z843" s="212"/>
      <c r="AA843" s="212"/>
      <c r="AB843" s="213"/>
      <c r="AD843" s="213"/>
      <c r="AF843" s="474"/>
    </row>
    <row r="844" spans="1:32" x14ac:dyDescent="0.25">
      <c r="A844" s="213"/>
      <c r="B844" s="536"/>
      <c r="D844" s="213"/>
      <c r="F844" s="213"/>
      <c r="G844" s="213"/>
      <c r="J844" s="536"/>
      <c r="S844" s="213"/>
      <c r="U844" s="536"/>
      <c r="V844" s="536"/>
      <c r="W844" s="537"/>
      <c r="X844" s="212"/>
      <c r="Y844" s="212"/>
      <c r="Z844" s="212"/>
      <c r="AA844" s="212"/>
      <c r="AB844" s="213"/>
      <c r="AD844" s="213"/>
      <c r="AF844" s="474"/>
    </row>
    <row r="845" spans="1:32" x14ac:dyDescent="0.25">
      <c r="A845" s="213"/>
      <c r="B845" s="536"/>
      <c r="D845" s="213"/>
      <c r="F845" s="213"/>
      <c r="G845" s="213"/>
      <c r="J845" s="536"/>
      <c r="S845" s="213"/>
      <c r="U845" s="536"/>
      <c r="V845" s="536"/>
      <c r="W845" s="537"/>
      <c r="X845" s="212"/>
      <c r="Y845" s="212"/>
      <c r="Z845" s="212"/>
      <c r="AA845" s="212"/>
      <c r="AB845" s="213"/>
      <c r="AD845" s="213"/>
      <c r="AF845" s="474"/>
    </row>
    <row r="846" spans="1:32" x14ac:dyDescent="0.25">
      <c r="A846" s="213"/>
      <c r="B846" s="536"/>
      <c r="D846" s="213"/>
      <c r="F846" s="213"/>
      <c r="G846" s="213"/>
      <c r="J846" s="536"/>
      <c r="S846" s="213"/>
      <c r="U846" s="536"/>
      <c r="V846" s="536"/>
      <c r="W846" s="537"/>
      <c r="X846" s="212"/>
      <c r="Y846" s="212"/>
      <c r="Z846" s="212"/>
      <c r="AA846" s="212"/>
      <c r="AB846" s="213"/>
      <c r="AD846" s="213"/>
      <c r="AF846" s="474"/>
    </row>
    <row r="847" spans="1:32" x14ac:dyDescent="0.25">
      <c r="A847" s="213"/>
      <c r="B847" s="536"/>
      <c r="D847" s="213"/>
      <c r="F847" s="213"/>
      <c r="G847" s="213"/>
      <c r="J847" s="536"/>
      <c r="S847" s="213"/>
      <c r="U847" s="536"/>
      <c r="V847" s="536"/>
      <c r="W847" s="537"/>
      <c r="X847" s="212"/>
      <c r="Y847" s="212"/>
      <c r="Z847" s="212"/>
      <c r="AA847" s="212"/>
      <c r="AB847" s="213"/>
      <c r="AD847" s="213"/>
      <c r="AF847" s="474"/>
    </row>
    <row r="848" spans="1:32" x14ac:dyDescent="0.25">
      <c r="A848" s="213"/>
      <c r="B848" s="536"/>
      <c r="D848" s="213"/>
      <c r="F848" s="213"/>
      <c r="G848" s="213"/>
      <c r="J848" s="536"/>
      <c r="S848" s="213"/>
      <c r="U848" s="536"/>
      <c r="V848" s="536"/>
      <c r="W848" s="537"/>
      <c r="X848" s="212"/>
      <c r="Y848" s="212"/>
      <c r="Z848" s="212"/>
      <c r="AA848" s="212"/>
      <c r="AB848" s="213"/>
      <c r="AD848" s="213"/>
      <c r="AF848" s="474"/>
    </row>
    <row r="849" spans="1:32" x14ac:dyDescent="0.25">
      <c r="A849" s="213"/>
      <c r="B849" s="536"/>
      <c r="D849" s="213"/>
      <c r="F849" s="213"/>
      <c r="G849" s="213"/>
      <c r="J849" s="536"/>
      <c r="S849" s="213"/>
      <c r="U849" s="536"/>
      <c r="V849" s="536"/>
      <c r="W849" s="537"/>
      <c r="X849" s="212"/>
      <c r="Y849" s="212"/>
      <c r="Z849" s="212"/>
      <c r="AA849" s="212"/>
      <c r="AB849" s="213"/>
      <c r="AD849" s="213"/>
      <c r="AF849" s="474"/>
    </row>
    <row r="850" spans="1:32" x14ac:dyDescent="0.25">
      <c r="A850" s="213"/>
      <c r="B850" s="536"/>
      <c r="D850" s="213"/>
      <c r="F850" s="213"/>
      <c r="G850" s="213"/>
      <c r="J850" s="536"/>
      <c r="S850" s="213"/>
      <c r="U850" s="536"/>
      <c r="V850" s="536"/>
      <c r="W850" s="537"/>
      <c r="X850" s="212"/>
      <c r="Y850" s="212"/>
      <c r="Z850" s="212"/>
      <c r="AA850" s="212"/>
      <c r="AB850" s="213"/>
      <c r="AD850" s="213"/>
      <c r="AF850" s="474"/>
    </row>
    <row r="851" spans="1:32" x14ac:dyDescent="0.25">
      <c r="A851" s="213"/>
      <c r="B851" s="536"/>
      <c r="D851" s="213"/>
      <c r="F851" s="213"/>
      <c r="G851" s="213"/>
      <c r="J851" s="536"/>
      <c r="S851" s="213"/>
      <c r="U851" s="536"/>
      <c r="V851" s="536"/>
      <c r="W851" s="537"/>
      <c r="X851" s="212"/>
      <c r="Y851" s="212"/>
      <c r="Z851" s="212"/>
      <c r="AA851" s="212"/>
      <c r="AB851" s="213"/>
      <c r="AD851" s="213"/>
      <c r="AF851" s="474"/>
    </row>
    <row r="852" spans="1:32" x14ac:dyDescent="0.25">
      <c r="A852" s="213"/>
      <c r="B852" s="536"/>
      <c r="D852" s="213"/>
      <c r="F852" s="213"/>
      <c r="G852" s="213"/>
      <c r="J852" s="536"/>
      <c r="S852" s="213"/>
      <c r="U852" s="536"/>
      <c r="V852" s="536"/>
      <c r="W852" s="537"/>
      <c r="X852" s="212"/>
      <c r="Y852" s="212"/>
      <c r="Z852" s="212"/>
      <c r="AA852" s="212"/>
      <c r="AB852" s="213"/>
      <c r="AD852" s="213"/>
      <c r="AF852" s="474"/>
    </row>
    <row r="853" spans="1:32" x14ac:dyDescent="0.25">
      <c r="A853" s="213"/>
      <c r="B853" s="536"/>
      <c r="D853" s="213"/>
      <c r="F853" s="213"/>
      <c r="G853" s="213"/>
      <c r="J853" s="536"/>
      <c r="S853" s="213"/>
      <c r="U853" s="536"/>
      <c r="V853" s="536"/>
      <c r="W853" s="537"/>
      <c r="X853" s="212"/>
      <c r="Y853" s="212"/>
      <c r="Z853" s="212"/>
      <c r="AA853" s="212"/>
      <c r="AB853" s="213"/>
      <c r="AD853" s="213"/>
      <c r="AF853" s="474"/>
    </row>
    <row r="854" spans="1:32" x14ac:dyDescent="0.25">
      <c r="A854" s="213"/>
      <c r="B854" s="536"/>
      <c r="D854" s="213"/>
      <c r="F854" s="213"/>
      <c r="G854" s="213"/>
      <c r="J854" s="536"/>
      <c r="S854" s="213"/>
      <c r="U854" s="536"/>
      <c r="V854" s="536"/>
      <c r="W854" s="537"/>
      <c r="X854" s="212"/>
      <c r="Y854" s="212"/>
      <c r="Z854" s="212"/>
      <c r="AA854" s="212"/>
      <c r="AB854" s="213"/>
      <c r="AD854" s="213"/>
      <c r="AF854" s="474"/>
    </row>
    <row r="855" spans="1:32" x14ac:dyDescent="0.25">
      <c r="A855" s="213"/>
      <c r="B855" s="536"/>
      <c r="D855" s="213"/>
      <c r="F855" s="213"/>
      <c r="G855" s="213"/>
      <c r="J855" s="536"/>
      <c r="S855" s="213"/>
      <c r="U855" s="536"/>
      <c r="V855" s="536"/>
      <c r="W855" s="537"/>
      <c r="X855" s="212"/>
      <c r="Y855" s="212"/>
      <c r="Z855" s="212"/>
      <c r="AA855" s="212"/>
      <c r="AB855" s="213"/>
      <c r="AD855" s="213"/>
      <c r="AF855" s="474"/>
    </row>
    <row r="856" spans="1:32" x14ac:dyDescent="0.25">
      <c r="A856" s="213"/>
      <c r="B856" s="536"/>
      <c r="D856" s="213"/>
      <c r="F856" s="213"/>
      <c r="G856" s="213"/>
      <c r="J856" s="536"/>
      <c r="S856" s="213"/>
      <c r="U856" s="536"/>
      <c r="V856" s="536"/>
      <c r="W856" s="537"/>
      <c r="X856" s="212"/>
      <c r="Y856" s="212"/>
      <c r="Z856" s="212"/>
      <c r="AA856" s="212"/>
      <c r="AB856" s="213"/>
      <c r="AD856" s="213"/>
      <c r="AF856" s="474"/>
    </row>
    <row r="857" spans="1:32" x14ac:dyDescent="0.25">
      <c r="A857" s="213"/>
      <c r="B857" s="536"/>
      <c r="D857" s="213"/>
      <c r="F857" s="213"/>
      <c r="G857" s="213"/>
      <c r="J857" s="536"/>
      <c r="S857" s="213"/>
      <c r="U857" s="536"/>
      <c r="V857" s="536"/>
      <c r="W857" s="537"/>
      <c r="X857" s="212"/>
      <c r="Y857" s="212"/>
      <c r="Z857" s="212"/>
      <c r="AA857" s="212"/>
      <c r="AB857" s="213"/>
      <c r="AD857" s="213"/>
      <c r="AF857" s="474"/>
    </row>
    <row r="858" spans="1:32" x14ac:dyDescent="0.25">
      <c r="A858" s="213"/>
      <c r="B858" s="536"/>
      <c r="D858" s="213"/>
      <c r="F858" s="213"/>
      <c r="G858" s="213"/>
      <c r="J858" s="536"/>
      <c r="S858" s="213"/>
      <c r="U858" s="536"/>
      <c r="V858" s="536"/>
      <c r="W858" s="537"/>
      <c r="X858" s="212"/>
      <c r="Y858" s="212"/>
      <c r="Z858" s="212"/>
      <c r="AA858" s="212"/>
      <c r="AB858" s="213"/>
      <c r="AD858" s="213"/>
      <c r="AF858" s="474"/>
    </row>
    <row r="859" spans="1:32" x14ac:dyDescent="0.25">
      <c r="A859" s="213"/>
      <c r="B859" s="536"/>
      <c r="D859" s="213"/>
      <c r="F859" s="213"/>
      <c r="G859" s="213"/>
      <c r="J859" s="536"/>
      <c r="S859" s="213"/>
      <c r="U859" s="536"/>
      <c r="V859" s="536"/>
      <c r="W859" s="537"/>
      <c r="X859" s="212"/>
      <c r="Y859" s="212"/>
      <c r="Z859" s="212"/>
      <c r="AA859" s="212"/>
      <c r="AB859" s="213"/>
      <c r="AD859" s="213"/>
      <c r="AF859" s="474"/>
    </row>
    <row r="860" spans="1:32" x14ac:dyDescent="0.25">
      <c r="A860" s="213"/>
      <c r="B860" s="536"/>
      <c r="D860" s="213"/>
      <c r="F860" s="213"/>
      <c r="G860" s="213"/>
      <c r="J860" s="536"/>
      <c r="S860" s="213"/>
      <c r="U860" s="536"/>
      <c r="V860" s="536"/>
      <c r="W860" s="537"/>
      <c r="X860" s="212"/>
      <c r="Y860" s="212"/>
      <c r="Z860" s="212"/>
      <c r="AA860" s="212"/>
      <c r="AB860" s="213"/>
      <c r="AD860" s="213"/>
      <c r="AF860" s="474"/>
    </row>
    <row r="861" spans="1:32" x14ac:dyDescent="0.25">
      <c r="A861" s="213"/>
      <c r="B861" s="536"/>
      <c r="D861" s="213"/>
      <c r="F861" s="213"/>
      <c r="G861" s="213"/>
      <c r="J861" s="536"/>
      <c r="S861" s="213"/>
      <c r="U861" s="536"/>
      <c r="V861" s="536"/>
      <c r="W861" s="537"/>
      <c r="X861" s="212"/>
      <c r="Y861" s="212"/>
      <c r="Z861" s="212"/>
      <c r="AA861" s="212"/>
      <c r="AB861" s="213"/>
      <c r="AD861" s="213"/>
      <c r="AF861" s="474"/>
    </row>
    <row r="862" spans="1:32" x14ac:dyDescent="0.25">
      <c r="A862" s="213"/>
      <c r="B862" s="536"/>
      <c r="D862" s="213"/>
      <c r="F862" s="213"/>
      <c r="G862" s="213"/>
      <c r="J862" s="536"/>
      <c r="S862" s="213"/>
      <c r="U862" s="536"/>
      <c r="V862" s="536"/>
      <c r="W862" s="537"/>
      <c r="X862" s="212"/>
      <c r="Y862" s="212"/>
      <c r="Z862" s="212"/>
      <c r="AA862" s="212"/>
      <c r="AB862" s="213"/>
      <c r="AD862" s="213"/>
      <c r="AF862" s="474"/>
    </row>
    <row r="863" spans="1:32" x14ac:dyDescent="0.25">
      <c r="A863" s="213"/>
      <c r="B863" s="536"/>
      <c r="D863" s="213"/>
      <c r="F863" s="213"/>
      <c r="G863" s="213"/>
      <c r="J863" s="536"/>
      <c r="S863" s="213"/>
      <c r="U863" s="536"/>
      <c r="V863" s="536"/>
      <c r="W863" s="537"/>
      <c r="X863" s="212"/>
      <c r="Y863" s="212"/>
      <c r="Z863" s="212"/>
      <c r="AA863" s="212"/>
      <c r="AB863" s="213"/>
      <c r="AD863" s="213"/>
      <c r="AF863" s="474"/>
    </row>
    <row r="864" spans="1:32" x14ac:dyDescent="0.25">
      <c r="A864" s="213"/>
      <c r="B864" s="536"/>
      <c r="D864" s="213"/>
      <c r="F864" s="213"/>
      <c r="G864" s="213"/>
      <c r="J864" s="536"/>
      <c r="S864" s="213"/>
      <c r="U864" s="536"/>
      <c r="V864" s="536"/>
      <c r="W864" s="537"/>
      <c r="X864" s="212"/>
      <c r="Y864" s="212"/>
      <c r="Z864" s="212"/>
      <c r="AA864" s="212"/>
      <c r="AB864" s="213"/>
      <c r="AD864" s="213"/>
      <c r="AF864" s="474"/>
    </row>
    <row r="865" spans="1:32" x14ac:dyDescent="0.25">
      <c r="A865" s="213"/>
      <c r="B865" s="536"/>
      <c r="D865" s="213"/>
      <c r="F865" s="213"/>
      <c r="G865" s="213"/>
      <c r="J865" s="536"/>
      <c r="S865" s="213"/>
      <c r="U865" s="536"/>
      <c r="V865" s="536"/>
      <c r="W865" s="537"/>
      <c r="X865" s="212"/>
      <c r="Y865" s="212"/>
      <c r="Z865" s="212"/>
      <c r="AA865" s="212"/>
      <c r="AB865" s="213"/>
      <c r="AD865" s="213"/>
      <c r="AF865" s="474"/>
    </row>
    <row r="866" spans="1:32" x14ac:dyDescent="0.25">
      <c r="A866" s="213"/>
      <c r="B866" s="536"/>
      <c r="D866" s="213"/>
      <c r="F866" s="213"/>
      <c r="G866" s="213"/>
      <c r="J866" s="536"/>
      <c r="S866" s="213"/>
      <c r="U866" s="536"/>
      <c r="V866" s="536"/>
      <c r="W866" s="537"/>
      <c r="X866" s="212"/>
      <c r="Y866" s="212"/>
      <c r="Z866" s="212"/>
      <c r="AA866" s="212"/>
      <c r="AB866" s="213"/>
      <c r="AD866" s="213"/>
      <c r="AF866" s="474"/>
    </row>
    <row r="867" spans="1:32" x14ac:dyDescent="0.25">
      <c r="A867" s="213"/>
      <c r="B867" s="536"/>
      <c r="D867" s="213"/>
      <c r="F867" s="213"/>
      <c r="G867" s="213"/>
      <c r="J867" s="536"/>
      <c r="S867" s="213"/>
      <c r="U867" s="536"/>
      <c r="V867" s="536"/>
      <c r="W867" s="537"/>
      <c r="X867" s="212"/>
      <c r="Y867" s="212"/>
      <c r="Z867" s="212"/>
      <c r="AA867" s="212"/>
      <c r="AB867" s="213"/>
      <c r="AD867" s="213"/>
      <c r="AF867" s="474"/>
    </row>
    <row r="868" spans="1:32" x14ac:dyDescent="0.25">
      <c r="A868" s="213"/>
      <c r="B868" s="536"/>
      <c r="D868" s="213"/>
      <c r="F868" s="213"/>
      <c r="G868" s="213"/>
      <c r="J868" s="536"/>
      <c r="S868" s="213"/>
      <c r="U868" s="536"/>
      <c r="V868" s="536"/>
      <c r="W868" s="537"/>
      <c r="X868" s="212"/>
      <c r="Y868" s="212"/>
      <c r="Z868" s="212"/>
      <c r="AA868" s="212"/>
      <c r="AB868" s="213"/>
      <c r="AD868" s="213"/>
      <c r="AF868" s="474"/>
    </row>
    <row r="869" spans="1:32" x14ac:dyDescent="0.25">
      <c r="A869" s="213"/>
      <c r="B869" s="536"/>
      <c r="D869" s="213"/>
      <c r="F869" s="213"/>
      <c r="G869" s="213"/>
      <c r="J869" s="536"/>
      <c r="S869" s="213"/>
      <c r="U869" s="536"/>
      <c r="V869" s="536"/>
      <c r="W869" s="537"/>
      <c r="X869" s="212"/>
      <c r="Y869" s="212"/>
      <c r="Z869" s="212"/>
      <c r="AA869" s="212"/>
      <c r="AB869" s="213"/>
      <c r="AD869" s="213"/>
      <c r="AF869" s="474"/>
    </row>
    <row r="870" spans="1:32" x14ac:dyDescent="0.25">
      <c r="A870" s="213"/>
      <c r="B870" s="536"/>
      <c r="D870" s="213"/>
      <c r="F870" s="213"/>
      <c r="G870" s="213"/>
      <c r="J870" s="536"/>
      <c r="S870" s="213"/>
      <c r="U870" s="536"/>
      <c r="V870" s="536"/>
      <c r="W870" s="537"/>
      <c r="X870" s="212"/>
      <c r="Y870" s="212"/>
      <c r="Z870" s="212"/>
      <c r="AA870" s="212"/>
      <c r="AB870" s="213"/>
      <c r="AD870" s="213"/>
      <c r="AF870" s="474"/>
    </row>
    <row r="871" spans="1:32" x14ac:dyDescent="0.25">
      <c r="A871" s="213"/>
      <c r="B871" s="536"/>
      <c r="D871" s="213"/>
      <c r="F871" s="213"/>
      <c r="G871" s="213"/>
      <c r="J871" s="536"/>
      <c r="S871" s="213"/>
      <c r="U871" s="536"/>
      <c r="V871" s="536"/>
      <c r="W871" s="537"/>
      <c r="X871" s="212"/>
      <c r="Y871" s="212"/>
      <c r="Z871" s="212"/>
      <c r="AA871" s="212"/>
      <c r="AB871" s="213"/>
      <c r="AD871" s="213"/>
      <c r="AF871" s="474"/>
    </row>
    <row r="872" spans="1:32" x14ac:dyDescent="0.25">
      <c r="A872" s="213"/>
      <c r="B872" s="536"/>
      <c r="D872" s="213"/>
      <c r="F872" s="213"/>
      <c r="G872" s="213"/>
      <c r="J872" s="536"/>
      <c r="S872" s="213"/>
      <c r="U872" s="536"/>
      <c r="V872" s="536"/>
      <c r="W872" s="537"/>
      <c r="X872" s="212"/>
      <c r="Y872" s="212"/>
      <c r="Z872" s="212"/>
      <c r="AA872" s="212"/>
      <c r="AB872" s="213"/>
      <c r="AD872" s="213"/>
      <c r="AF872" s="474"/>
    </row>
    <row r="873" spans="1:32" x14ac:dyDescent="0.25">
      <c r="A873" s="213"/>
      <c r="B873" s="536"/>
      <c r="D873" s="213"/>
      <c r="F873" s="213"/>
      <c r="G873" s="213"/>
      <c r="J873" s="536"/>
      <c r="S873" s="213"/>
      <c r="U873" s="536"/>
      <c r="V873" s="536"/>
      <c r="W873" s="537"/>
      <c r="X873" s="212"/>
      <c r="Y873" s="212"/>
      <c r="Z873" s="212"/>
      <c r="AA873" s="212"/>
      <c r="AB873" s="213"/>
      <c r="AD873" s="213"/>
      <c r="AF873" s="474"/>
    </row>
    <row r="874" spans="1:32" x14ac:dyDescent="0.25">
      <c r="A874" s="213"/>
      <c r="B874" s="536"/>
      <c r="D874" s="213"/>
      <c r="F874" s="213"/>
      <c r="G874" s="213"/>
      <c r="J874" s="536"/>
      <c r="S874" s="213"/>
      <c r="U874" s="536"/>
      <c r="V874" s="536"/>
      <c r="W874" s="537"/>
      <c r="X874" s="212"/>
      <c r="Y874" s="212"/>
      <c r="Z874" s="212"/>
      <c r="AA874" s="212"/>
      <c r="AB874" s="213"/>
      <c r="AD874" s="213"/>
      <c r="AF874" s="474"/>
    </row>
    <row r="875" spans="1:32" x14ac:dyDescent="0.25">
      <c r="A875" s="213"/>
      <c r="B875" s="536"/>
      <c r="D875" s="213"/>
      <c r="F875" s="213"/>
      <c r="G875" s="213"/>
      <c r="J875" s="536"/>
      <c r="S875" s="213"/>
      <c r="U875" s="536"/>
      <c r="V875" s="536"/>
      <c r="W875" s="537"/>
      <c r="X875" s="212"/>
      <c r="Y875" s="212"/>
      <c r="Z875" s="212"/>
      <c r="AA875" s="212"/>
      <c r="AB875" s="213"/>
      <c r="AD875" s="213"/>
      <c r="AF875" s="474"/>
    </row>
    <row r="876" spans="1:32" x14ac:dyDescent="0.25">
      <c r="A876" s="213"/>
      <c r="B876" s="536"/>
      <c r="D876" s="213"/>
      <c r="F876" s="213"/>
      <c r="G876" s="213"/>
      <c r="J876" s="536"/>
      <c r="S876" s="213"/>
      <c r="U876" s="536"/>
      <c r="V876" s="536"/>
      <c r="W876" s="537"/>
      <c r="X876" s="212"/>
      <c r="Y876" s="212"/>
      <c r="Z876" s="212"/>
      <c r="AA876" s="212"/>
      <c r="AB876" s="213"/>
      <c r="AD876" s="213"/>
      <c r="AF876" s="474"/>
    </row>
    <row r="877" spans="1:32" x14ac:dyDescent="0.25">
      <c r="A877" s="213"/>
      <c r="B877" s="536"/>
      <c r="D877" s="213"/>
      <c r="F877" s="213"/>
      <c r="G877" s="213"/>
      <c r="J877" s="536"/>
      <c r="S877" s="213"/>
      <c r="U877" s="536"/>
      <c r="V877" s="536"/>
      <c r="W877" s="537"/>
      <c r="X877" s="212"/>
      <c r="Y877" s="212"/>
      <c r="Z877" s="212"/>
      <c r="AA877" s="212"/>
      <c r="AB877" s="213"/>
      <c r="AD877" s="213"/>
      <c r="AF877" s="474"/>
    </row>
    <row r="878" spans="1:32" x14ac:dyDescent="0.25">
      <c r="A878" s="213"/>
      <c r="B878" s="536"/>
      <c r="D878" s="213"/>
      <c r="F878" s="213"/>
      <c r="G878" s="213"/>
      <c r="J878" s="536"/>
      <c r="S878" s="213"/>
      <c r="U878" s="536"/>
      <c r="V878" s="536"/>
      <c r="W878" s="537"/>
      <c r="X878" s="212"/>
      <c r="Y878" s="212"/>
      <c r="Z878" s="212"/>
      <c r="AA878" s="212"/>
      <c r="AB878" s="213"/>
      <c r="AD878" s="213"/>
      <c r="AF878" s="474"/>
    </row>
    <row r="879" spans="1:32" x14ac:dyDescent="0.25">
      <c r="A879" s="213"/>
      <c r="B879" s="536"/>
      <c r="D879" s="213"/>
      <c r="F879" s="213"/>
      <c r="G879" s="213"/>
      <c r="J879" s="536"/>
      <c r="S879" s="213"/>
      <c r="U879" s="536"/>
      <c r="V879" s="536"/>
      <c r="W879" s="537"/>
      <c r="X879" s="212"/>
      <c r="Y879" s="212"/>
      <c r="Z879" s="212"/>
      <c r="AA879" s="212"/>
      <c r="AB879" s="213"/>
      <c r="AD879" s="213"/>
      <c r="AF879" s="474"/>
    </row>
    <row r="880" spans="1:32" x14ac:dyDescent="0.25">
      <c r="A880" s="213"/>
      <c r="B880" s="536"/>
      <c r="D880" s="213"/>
      <c r="F880" s="213"/>
      <c r="G880" s="213"/>
      <c r="J880" s="536"/>
      <c r="S880" s="213"/>
      <c r="U880" s="536"/>
      <c r="V880" s="536"/>
      <c r="W880" s="537"/>
      <c r="X880" s="212"/>
      <c r="Y880" s="212"/>
      <c r="Z880" s="212"/>
      <c r="AA880" s="212"/>
      <c r="AB880" s="213"/>
      <c r="AD880" s="213"/>
      <c r="AF880" s="474"/>
    </row>
    <row r="881" spans="1:32" x14ac:dyDescent="0.25">
      <c r="A881" s="213"/>
      <c r="B881" s="536"/>
      <c r="D881" s="213"/>
      <c r="F881" s="213"/>
      <c r="G881" s="213"/>
      <c r="J881" s="536"/>
      <c r="S881" s="213"/>
      <c r="U881" s="536"/>
      <c r="V881" s="536"/>
      <c r="W881" s="537"/>
      <c r="X881" s="212"/>
      <c r="Y881" s="212"/>
      <c r="Z881" s="212"/>
      <c r="AA881" s="212"/>
      <c r="AB881" s="213"/>
      <c r="AD881" s="213"/>
      <c r="AF881" s="474"/>
    </row>
    <row r="882" spans="1:32" x14ac:dyDescent="0.25">
      <c r="A882" s="213"/>
      <c r="B882" s="536"/>
      <c r="D882" s="213"/>
      <c r="F882" s="213"/>
      <c r="G882" s="213"/>
      <c r="J882" s="536"/>
      <c r="S882" s="213"/>
      <c r="U882" s="536"/>
      <c r="V882" s="536"/>
      <c r="W882" s="537"/>
      <c r="X882" s="212"/>
      <c r="Y882" s="212"/>
      <c r="Z882" s="212"/>
      <c r="AA882" s="212"/>
      <c r="AB882" s="213"/>
      <c r="AD882" s="213"/>
      <c r="AF882" s="474"/>
    </row>
    <row r="883" spans="1:32" x14ac:dyDescent="0.25">
      <c r="A883" s="213"/>
      <c r="B883" s="536"/>
      <c r="D883" s="213"/>
      <c r="F883" s="213"/>
      <c r="G883" s="213"/>
      <c r="J883" s="536"/>
      <c r="S883" s="213"/>
      <c r="U883" s="536"/>
      <c r="V883" s="536"/>
      <c r="W883" s="537"/>
      <c r="X883" s="212"/>
      <c r="Y883" s="212"/>
      <c r="Z883" s="212"/>
      <c r="AA883" s="212"/>
      <c r="AB883" s="213"/>
      <c r="AD883" s="213"/>
      <c r="AF883" s="474"/>
    </row>
    <row r="884" spans="1:32" x14ac:dyDescent="0.25">
      <c r="A884" s="213"/>
      <c r="B884" s="536"/>
      <c r="D884" s="213"/>
      <c r="F884" s="213"/>
      <c r="G884" s="213"/>
      <c r="J884" s="536"/>
      <c r="S884" s="213"/>
      <c r="U884" s="536"/>
      <c r="V884" s="536"/>
      <c r="W884" s="537"/>
      <c r="X884" s="212"/>
      <c r="Y884" s="212"/>
      <c r="Z884" s="212"/>
      <c r="AA884" s="212"/>
      <c r="AB884" s="213"/>
      <c r="AD884" s="213"/>
      <c r="AF884" s="474"/>
    </row>
    <row r="885" spans="1:32" x14ac:dyDescent="0.25">
      <c r="A885" s="213"/>
      <c r="B885" s="536"/>
      <c r="D885" s="213"/>
      <c r="F885" s="213"/>
      <c r="G885" s="213"/>
      <c r="J885" s="536"/>
      <c r="S885" s="213"/>
      <c r="U885" s="536"/>
      <c r="V885" s="536"/>
      <c r="W885" s="537"/>
      <c r="X885" s="212"/>
      <c r="Y885" s="212"/>
      <c r="Z885" s="212"/>
      <c r="AA885" s="212"/>
      <c r="AB885" s="213"/>
      <c r="AD885" s="213"/>
      <c r="AF885" s="474"/>
    </row>
    <row r="886" spans="1:32" x14ac:dyDescent="0.25">
      <c r="A886" s="213"/>
      <c r="B886" s="536"/>
      <c r="D886" s="213"/>
      <c r="F886" s="213"/>
      <c r="G886" s="213"/>
      <c r="J886" s="536"/>
      <c r="S886" s="213"/>
      <c r="U886" s="536"/>
      <c r="V886" s="536"/>
      <c r="W886" s="537"/>
      <c r="X886" s="212"/>
      <c r="Y886" s="212"/>
      <c r="Z886" s="212"/>
      <c r="AA886" s="212"/>
      <c r="AB886" s="213"/>
      <c r="AD886" s="213"/>
      <c r="AF886" s="474"/>
    </row>
    <row r="887" spans="1:32" x14ac:dyDescent="0.25">
      <c r="A887" s="213"/>
      <c r="B887" s="536"/>
      <c r="D887" s="213"/>
      <c r="F887" s="213"/>
      <c r="G887" s="213"/>
      <c r="J887" s="536"/>
      <c r="S887" s="213"/>
      <c r="U887" s="536"/>
      <c r="V887" s="536"/>
      <c r="W887" s="537"/>
      <c r="X887" s="212"/>
      <c r="Y887" s="212"/>
      <c r="Z887" s="212"/>
      <c r="AA887" s="212"/>
      <c r="AB887" s="213"/>
      <c r="AD887" s="213"/>
      <c r="AF887" s="474"/>
    </row>
    <row r="888" spans="1:32" x14ac:dyDescent="0.25">
      <c r="A888" s="213"/>
      <c r="B888" s="536"/>
      <c r="D888" s="213"/>
      <c r="F888" s="213"/>
      <c r="G888" s="213"/>
      <c r="J888" s="536"/>
      <c r="S888" s="213"/>
      <c r="U888" s="536"/>
      <c r="V888" s="536"/>
      <c r="W888" s="537"/>
      <c r="X888" s="212"/>
      <c r="Y888" s="212"/>
      <c r="Z888" s="212"/>
      <c r="AA888" s="212"/>
      <c r="AB888" s="213"/>
      <c r="AD888" s="213"/>
      <c r="AF888" s="474"/>
    </row>
    <row r="889" spans="1:32" x14ac:dyDescent="0.25">
      <c r="A889" s="213"/>
      <c r="B889" s="536"/>
      <c r="D889" s="213"/>
      <c r="F889" s="213"/>
      <c r="G889" s="213"/>
      <c r="J889" s="536"/>
      <c r="S889" s="213"/>
      <c r="U889" s="536"/>
      <c r="V889" s="536"/>
      <c r="W889" s="537"/>
      <c r="X889" s="212"/>
      <c r="Y889" s="212"/>
      <c r="Z889" s="212"/>
      <c r="AA889" s="212"/>
      <c r="AB889" s="213"/>
      <c r="AD889" s="213"/>
      <c r="AF889" s="474"/>
    </row>
    <row r="890" spans="1:32" x14ac:dyDescent="0.25">
      <c r="A890" s="213"/>
      <c r="B890" s="536"/>
      <c r="D890" s="213"/>
      <c r="F890" s="213"/>
      <c r="G890" s="213"/>
      <c r="J890" s="536"/>
      <c r="S890" s="213"/>
      <c r="U890" s="536"/>
      <c r="V890" s="536"/>
      <c r="W890" s="537"/>
      <c r="X890" s="212"/>
      <c r="Y890" s="212"/>
      <c r="Z890" s="212"/>
      <c r="AA890" s="212"/>
      <c r="AB890" s="213"/>
      <c r="AD890" s="213"/>
      <c r="AF890" s="474"/>
    </row>
    <row r="891" spans="1:32" x14ac:dyDescent="0.25">
      <c r="V891" s="407"/>
      <c r="W891" s="363"/>
    </row>
    <row r="892" spans="1:32" x14ac:dyDescent="0.25">
      <c r="V892" s="407"/>
      <c r="W892" s="363"/>
    </row>
    <row r="893" spans="1:32" x14ac:dyDescent="0.25">
      <c r="V893" s="407"/>
      <c r="W893" s="363"/>
    </row>
    <row r="894" spans="1:32" x14ac:dyDescent="0.25">
      <c r="V894" s="407"/>
      <c r="W894" s="363"/>
    </row>
    <row r="895" spans="1:32" x14ac:dyDescent="0.25">
      <c r="V895" s="407"/>
      <c r="W895" s="363"/>
    </row>
    <row r="896" spans="1:32" x14ac:dyDescent="0.25">
      <c r="V896" s="407"/>
      <c r="W896" s="363"/>
    </row>
    <row r="897" spans="22:23" x14ac:dyDescent="0.25">
      <c r="V897" s="407"/>
      <c r="W897" s="363"/>
    </row>
    <row r="898" spans="22:23" x14ac:dyDescent="0.25">
      <c r="V898" s="407"/>
      <c r="W898" s="363"/>
    </row>
    <row r="899" spans="22:23" x14ac:dyDescent="0.25">
      <c r="V899" s="407"/>
      <c r="W899" s="363"/>
    </row>
    <row r="900" spans="22:23" x14ac:dyDescent="0.25">
      <c r="V900" s="407"/>
      <c r="W900" s="363"/>
    </row>
    <row r="901" spans="22:23" x14ac:dyDescent="0.25">
      <c r="V901" s="407"/>
      <c r="W901" s="363"/>
    </row>
    <row r="902" spans="22:23" x14ac:dyDescent="0.25">
      <c r="V902" s="407"/>
      <c r="W902" s="363"/>
    </row>
    <row r="903" spans="22:23" x14ac:dyDescent="0.25">
      <c r="V903" s="407"/>
      <c r="W903" s="363"/>
    </row>
    <row r="904" spans="22:23" x14ac:dyDescent="0.25">
      <c r="V904" s="407"/>
      <c r="W904" s="363"/>
    </row>
    <row r="905" spans="22:23" x14ac:dyDescent="0.25">
      <c r="V905" s="407"/>
      <c r="W905" s="363"/>
    </row>
    <row r="906" spans="22:23" x14ac:dyDescent="0.25">
      <c r="V906" s="407"/>
      <c r="W906" s="363"/>
    </row>
    <row r="907" spans="22:23" x14ac:dyDescent="0.25">
      <c r="V907" s="407"/>
      <c r="W907" s="363"/>
    </row>
    <row r="908" spans="22:23" x14ac:dyDescent="0.25">
      <c r="V908" s="407"/>
      <c r="W908" s="363"/>
    </row>
    <row r="909" spans="22:23" x14ac:dyDescent="0.25">
      <c r="V909" s="407"/>
      <c r="W909" s="363"/>
    </row>
    <row r="910" spans="22:23" x14ac:dyDescent="0.25">
      <c r="V910" s="407"/>
      <c r="W910" s="363"/>
    </row>
    <row r="911" spans="22:23" x14ac:dyDescent="0.25">
      <c r="V911" s="407"/>
      <c r="W911" s="363"/>
    </row>
    <row r="912" spans="22:23" x14ac:dyDescent="0.25">
      <c r="V912" s="407"/>
      <c r="W912" s="363"/>
    </row>
    <row r="913" spans="22:23" x14ac:dyDescent="0.25">
      <c r="V913" s="407"/>
      <c r="W913" s="363"/>
    </row>
    <row r="914" spans="22:23" x14ac:dyDescent="0.25">
      <c r="V914" s="407"/>
      <c r="W914" s="363"/>
    </row>
    <row r="915" spans="22:23" x14ac:dyDescent="0.25">
      <c r="V915" s="407"/>
      <c r="W915" s="363"/>
    </row>
    <row r="916" spans="22:23" x14ac:dyDescent="0.25">
      <c r="V916" s="407"/>
      <c r="W916" s="363"/>
    </row>
    <row r="917" spans="22:23" x14ac:dyDescent="0.25">
      <c r="V917" s="407"/>
      <c r="W917" s="363"/>
    </row>
    <row r="918" spans="22:23" x14ac:dyDescent="0.25">
      <c r="V918" s="407"/>
      <c r="W918" s="363"/>
    </row>
    <row r="919" spans="22:23" x14ac:dyDescent="0.25">
      <c r="V919" s="407"/>
      <c r="W919" s="363"/>
    </row>
    <row r="920" spans="22:23" x14ac:dyDescent="0.25">
      <c r="V920" s="407"/>
      <c r="W920" s="363"/>
    </row>
    <row r="921" spans="22:23" x14ac:dyDescent="0.25">
      <c r="V921" s="407"/>
      <c r="W921" s="363"/>
    </row>
    <row r="922" spans="22:23" x14ac:dyDescent="0.25">
      <c r="V922" s="407"/>
      <c r="W922" s="363"/>
    </row>
    <row r="923" spans="22:23" x14ac:dyDescent="0.25">
      <c r="V923" s="407"/>
      <c r="W923" s="363"/>
    </row>
    <row r="924" spans="22:23" x14ac:dyDescent="0.25">
      <c r="V924" s="407"/>
      <c r="W924" s="363"/>
    </row>
    <row r="925" spans="22:23" x14ac:dyDescent="0.25">
      <c r="V925" s="407"/>
      <c r="W925" s="363"/>
    </row>
    <row r="926" spans="22:23" x14ac:dyDescent="0.25">
      <c r="V926" s="407"/>
      <c r="W926" s="363"/>
    </row>
    <row r="927" spans="22:23" x14ac:dyDescent="0.25">
      <c r="V927" s="407"/>
      <c r="W927" s="363"/>
    </row>
    <row r="928" spans="22:23" x14ac:dyDescent="0.25">
      <c r="V928" s="407"/>
      <c r="W928" s="363"/>
    </row>
    <row r="929" spans="22:23" x14ac:dyDescent="0.25">
      <c r="V929" s="407"/>
      <c r="W929" s="363"/>
    </row>
    <row r="930" spans="22:23" x14ac:dyDescent="0.25">
      <c r="V930" s="407"/>
      <c r="W930" s="363"/>
    </row>
    <row r="931" spans="22:23" x14ac:dyDescent="0.25">
      <c r="V931" s="407"/>
      <c r="W931" s="363"/>
    </row>
    <row r="932" spans="22:23" x14ac:dyDescent="0.25">
      <c r="V932" s="407"/>
      <c r="W932" s="363"/>
    </row>
    <row r="933" spans="22:23" x14ac:dyDescent="0.25">
      <c r="V933" s="407"/>
      <c r="W933" s="363"/>
    </row>
    <row r="934" spans="22:23" x14ac:dyDescent="0.25">
      <c r="V934" s="407"/>
      <c r="W934" s="363"/>
    </row>
    <row r="935" spans="22:23" x14ac:dyDescent="0.25">
      <c r="V935" s="407"/>
      <c r="W935" s="363"/>
    </row>
    <row r="936" spans="22:23" x14ac:dyDescent="0.25">
      <c r="V936" s="407"/>
      <c r="W936" s="363"/>
    </row>
    <row r="937" spans="22:23" x14ac:dyDescent="0.25">
      <c r="V937" s="407"/>
      <c r="W937" s="363"/>
    </row>
    <row r="938" spans="22:23" x14ac:dyDescent="0.25">
      <c r="V938" s="407"/>
      <c r="W938" s="363"/>
    </row>
    <row r="939" spans="22:23" x14ac:dyDescent="0.25">
      <c r="V939" s="407"/>
      <c r="W939" s="363"/>
    </row>
    <row r="940" spans="22:23" x14ac:dyDescent="0.25">
      <c r="V940" s="407"/>
      <c r="W940" s="363"/>
    </row>
    <row r="941" spans="22:23" x14ac:dyDescent="0.25">
      <c r="V941" s="407"/>
      <c r="W941" s="363"/>
    </row>
    <row r="942" spans="22:23" x14ac:dyDescent="0.25">
      <c r="V942" s="407"/>
      <c r="W942" s="363"/>
    </row>
    <row r="943" spans="22:23" x14ac:dyDescent="0.25">
      <c r="V943" s="407"/>
      <c r="W943" s="363"/>
    </row>
    <row r="944" spans="22:23" x14ac:dyDescent="0.25">
      <c r="V944" s="407"/>
      <c r="W944" s="363"/>
    </row>
    <row r="945" spans="22:23" x14ac:dyDescent="0.25">
      <c r="V945" s="407"/>
      <c r="W945" s="363"/>
    </row>
    <row r="946" spans="22:23" x14ac:dyDescent="0.25">
      <c r="V946" s="407"/>
      <c r="W946" s="363"/>
    </row>
    <row r="947" spans="22:23" x14ac:dyDescent="0.25">
      <c r="V947" s="407"/>
      <c r="W947" s="363"/>
    </row>
    <row r="948" spans="22:23" x14ac:dyDescent="0.25">
      <c r="V948" s="407"/>
      <c r="W948" s="363"/>
    </row>
    <row r="949" spans="22:23" x14ac:dyDescent="0.25">
      <c r="V949" s="407"/>
      <c r="W949" s="363"/>
    </row>
    <row r="950" spans="22:23" x14ac:dyDescent="0.25">
      <c r="V950" s="407"/>
      <c r="W950" s="363"/>
    </row>
    <row r="951" spans="22:23" x14ac:dyDescent="0.25">
      <c r="V951" s="407"/>
      <c r="W951" s="363"/>
    </row>
    <row r="952" spans="22:23" x14ac:dyDescent="0.25">
      <c r="V952" s="407"/>
      <c r="W952" s="363"/>
    </row>
    <row r="953" spans="22:23" x14ac:dyDescent="0.25">
      <c r="V953" s="407"/>
      <c r="W953" s="363"/>
    </row>
    <row r="954" spans="22:23" x14ac:dyDescent="0.25">
      <c r="V954" s="407"/>
      <c r="W954" s="363"/>
    </row>
    <row r="955" spans="22:23" x14ac:dyDescent="0.25">
      <c r="V955" s="407"/>
      <c r="W955" s="363"/>
    </row>
    <row r="956" spans="22:23" x14ac:dyDescent="0.25">
      <c r="V956" s="407"/>
      <c r="W956" s="363"/>
    </row>
    <row r="957" spans="22:23" x14ac:dyDescent="0.25">
      <c r="V957" s="407"/>
      <c r="W957" s="363"/>
    </row>
    <row r="958" spans="22:23" x14ac:dyDescent="0.25">
      <c r="V958" s="407"/>
      <c r="W958" s="363"/>
    </row>
    <row r="959" spans="22:23" x14ac:dyDescent="0.25">
      <c r="V959" s="407"/>
      <c r="W959" s="363"/>
    </row>
    <row r="960" spans="22:23" x14ac:dyDescent="0.25">
      <c r="V960" s="407"/>
      <c r="W960" s="363"/>
    </row>
    <row r="961" spans="22:23" x14ac:dyDescent="0.25">
      <c r="V961" s="407"/>
      <c r="W961" s="363"/>
    </row>
    <row r="962" spans="22:23" x14ac:dyDescent="0.25">
      <c r="V962" s="407"/>
      <c r="W962" s="363"/>
    </row>
    <row r="963" spans="22:23" x14ac:dyDescent="0.25">
      <c r="V963" s="407"/>
      <c r="W963" s="363"/>
    </row>
    <row r="964" spans="22:23" x14ac:dyDescent="0.25">
      <c r="V964" s="407"/>
      <c r="W964" s="363"/>
    </row>
    <row r="965" spans="22:23" x14ac:dyDescent="0.25">
      <c r="V965" s="407"/>
      <c r="W965" s="363"/>
    </row>
    <row r="966" spans="22:23" x14ac:dyDescent="0.25">
      <c r="V966" s="407"/>
      <c r="W966" s="363"/>
    </row>
    <row r="967" spans="22:23" x14ac:dyDescent="0.25">
      <c r="V967" s="407"/>
      <c r="W967" s="363"/>
    </row>
    <row r="968" spans="22:23" x14ac:dyDescent="0.25">
      <c r="V968" s="407"/>
      <c r="W968" s="363"/>
    </row>
    <row r="969" spans="22:23" x14ac:dyDescent="0.25">
      <c r="V969" s="407"/>
      <c r="W969" s="363"/>
    </row>
    <row r="970" spans="22:23" x14ac:dyDescent="0.25">
      <c r="V970" s="407"/>
      <c r="W970" s="363"/>
    </row>
    <row r="971" spans="22:23" x14ac:dyDescent="0.25">
      <c r="V971" s="407"/>
      <c r="W971" s="363"/>
    </row>
    <row r="972" spans="22:23" x14ac:dyDescent="0.25">
      <c r="V972" s="407"/>
      <c r="W972" s="363"/>
    </row>
    <row r="973" spans="22:23" x14ac:dyDescent="0.25">
      <c r="V973" s="407"/>
      <c r="W973" s="363"/>
    </row>
    <row r="974" spans="22:23" x14ac:dyDescent="0.25">
      <c r="V974" s="407"/>
      <c r="W974" s="363"/>
    </row>
    <row r="975" spans="22:23" x14ac:dyDescent="0.25">
      <c r="V975" s="407"/>
      <c r="W975" s="363"/>
    </row>
    <row r="976" spans="22:23" x14ac:dyDescent="0.25">
      <c r="V976" s="407"/>
      <c r="W976" s="363"/>
    </row>
    <row r="977" spans="22:23" x14ac:dyDescent="0.25">
      <c r="V977" s="407"/>
      <c r="W977" s="363"/>
    </row>
    <row r="978" spans="22:23" x14ac:dyDescent="0.25">
      <c r="V978" s="407"/>
      <c r="W978" s="363"/>
    </row>
    <row r="979" spans="22:23" x14ac:dyDescent="0.25">
      <c r="V979" s="407"/>
      <c r="W979" s="363"/>
    </row>
    <row r="980" spans="22:23" x14ac:dyDescent="0.25">
      <c r="V980" s="407"/>
      <c r="W980" s="363"/>
    </row>
    <row r="981" spans="22:23" x14ac:dyDescent="0.25">
      <c r="V981" s="407"/>
      <c r="W981" s="363"/>
    </row>
    <row r="982" spans="22:23" x14ac:dyDescent="0.25">
      <c r="V982" s="407"/>
      <c r="W982" s="363"/>
    </row>
    <row r="983" spans="22:23" x14ac:dyDescent="0.25">
      <c r="V983" s="407"/>
      <c r="W983" s="363"/>
    </row>
    <row r="984" spans="22:23" x14ac:dyDescent="0.25">
      <c r="V984" s="407"/>
      <c r="W984" s="363"/>
    </row>
    <row r="985" spans="22:23" x14ac:dyDescent="0.25">
      <c r="V985" s="407"/>
      <c r="W985" s="363"/>
    </row>
    <row r="986" spans="22:23" x14ac:dyDescent="0.25">
      <c r="V986" s="407"/>
      <c r="W986" s="363"/>
    </row>
    <row r="987" spans="22:23" x14ac:dyDescent="0.25">
      <c r="V987" s="407"/>
      <c r="W987" s="363"/>
    </row>
    <row r="988" spans="22:23" x14ac:dyDescent="0.25">
      <c r="V988" s="407"/>
      <c r="W988" s="363"/>
    </row>
    <row r="989" spans="22:23" x14ac:dyDescent="0.25">
      <c r="V989" s="407"/>
      <c r="W989" s="363"/>
    </row>
    <row r="990" spans="22:23" x14ac:dyDescent="0.25">
      <c r="V990" s="407"/>
      <c r="W990" s="363"/>
    </row>
    <row r="991" spans="22:23" x14ac:dyDescent="0.25">
      <c r="V991" s="407"/>
      <c r="W991" s="363"/>
    </row>
    <row r="992" spans="22:23" x14ac:dyDescent="0.25">
      <c r="V992" s="407"/>
      <c r="W992" s="363"/>
    </row>
    <row r="993" spans="22:23" x14ac:dyDescent="0.25">
      <c r="V993" s="407"/>
      <c r="W993" s="363"/>
    </row>
    <row r="994" spans="22:23" x14ac:dyDescent="0.25">
      <c r="V994" s="407"/>
      <c r="W994" s="363"/>
    </row>
    <row r="995" spans="22:23" x14ac:dyDescent="0.25">
      <c r="V995" s="407"/>
      <c r="W995" s="363"/>
    </row>
    <row r="996" spans="22:23" x14ac:dyDescent="0.25">
      <c r="V996" s="407"/>
      <c r="W996" s="363"/>
    </row>
    <row r="997" spans="22:23" x14ac:dyDescent="0.25">
      <c r="V997" s="407"/>
      <c r="W997" s="363"/>
    </row>
    <row r="998" spans="22:23" x14ac:dyDescent="0.25">
      <c r="V998" s="407"/>
      <c r="W998" s="363"/>
    </row>
    <row r="999" spans="22:23" x14ac:dyDescent="0.25">
      <c r="V999" s="407"/>
      <c r="W999" s="363"/>
    </row>
    <row r="1000" spans="22:23" x14ac:dyDescent="0.25">
      <c r="V1000" s="407"/>
      <c r="W1000" s="363"/>
    </row>
    <row r="1001" spans="22:23" x14ac:dyDescent="0.25">
      <c r="V1001" s="407"/>
      <c r="W1001" s="363"/>
    </row>
    <row r="1002" spans="22:23" x14ac:dyDescent="0.25">
      <c r="V1002" s="407"/>
      <c r="W1002" s="363"/>
    </row>
    <row r="1003" spans="22:23" x14ac:dyDescent="0.25">
      <c r="V1003" s="407"/>
      <c r="W1003" s="363"/>
    </row>
    <row r="1004" spans="22:23" x14ac:dyDescent="0.25">
      <c r="V1004" s="407"/>
      <c r="W1004" s="363"/>
    </row>
    <row r="1005" spans="22:23" x14ac:dyDescent="0.25">
      <c r="V1005" s="407"/>
      <c r="W1005" s="363"/>
    </row>
    <row r="1006" spans="22:23" x14ac:dyDescent="0.25">
      <c r="V1006" s="407"/>
      <c r="W1006" s="363"/>
    </row>
    <row r="1007" spans="22:23" x14ac:dyDescent="0.25">
      <c r="V1007" s="407"/>
      <c r="W1007" s="363"/>
    </row>
    <row r="1008" spans="22:23" x14ac:dyDescent="0.25">
      <c r="V1008" s="407"/>
      <c r="W1008" s="363"/>
    </row>
    <row r="1009" spans="22:23" x14ac:dyDescent="0.25">
      <c r="V1009" s="407"/>
      <c r="W1009" s="363"/>
    </row>
    <row r="1010" spans="22:23" x14ac:dyDescent="0.25">
      <c r="V1010" s="407"/>
      <c r="W1010" s="363"/>
    </row>
    <row r="1011" spans="22:23" x14ac:dyDescent="0.25">
      <c r="V1011" s="407"/>
      <c r="W1011" s="363"/>
    </row>
    <row r="1012" spans="22:23" x14ac:dyDescent="0.25">
      <c r="V1012" s="407"/>
      <c r="W1012" s="363"/>
    </row>
    <row r="1013" spans="22:23" x14ac:dyDescent="0.25">
      <c r="V1013" s="407"/>
      <c r="W1013" s="363"/>
    </row>
    <row r="1014" spans="22:23" x14ac:dyDescent="0.25">
      <c r="V1014" s="407"/>
      <c r="W1014" s="363"/>
    </row>
    <row r="1015" spans="22:23" x14ac:dyDescent="0.25">
      <c r="V1015" s="407"/>
      <c r="W1015" s="363"/>
    </row>
    <row r="1016" spans="22:23" x14ac:dyDescent="0.25">
      <c r="V1016" s="407"/>
      <c r="W1016" s="363"/>
    </row>
    <row r="1017" spans="22:23" x14ac:dyDescent="0.25">
      <c r="V1017" s="407"/>
      <c r="W1017" s="363"/>
    </row>
    <row r="1018" spans="22:23" x14ac:dyDescent="0.25">
      <c r="V1018" s="407"/>
      <c r="W1018" s="363"/>
    </row>
    <row r="1019" spans="22:23" x14ac:dyDescent="0.25">
      <c r="V1019" s="407"/>
      <c r="W1019" s="363"/>
    </row>
    <row r="1020" spans="22:23" x14ac:dyDescent="0.25">
      <c r="V1020" s="407"/>
      <c r="W1020" s="363"/>
    </row>
    <row r="1021" spans="22:23" x14ac:dyDescent="0.25">
      <c r="V1021" s="407"/>
      <c r="W1021" s="363"/>
    </row>
    <row r="1022" spans="22:23" x14ac:dyDescent="0.25">
      <c r="V1022" s="407"/>
      <c r="W1022" s="363"/>
    </row>
    <row r="1023" spans="22:23" x14ac:dyDescent="0.25">
      <c r="V1023" s="407"/>
      <c r="W1023" s="363"/>
    </row>
    <row r="1024" spans="22:23" x14ac:dyDescent="0.25">
      <c r="V1024" s="407"/>
      <c r="W1024" s="363"/>
    </row>
    <row r="1025" spans="22:23" x14ac:dyDescent="0.25">
      <c r="V1025" s="407"/>
      <c r="W1025" s="363"/>
    </row>
    <row r="1026" spans="22:23" x14ac:dyDescent="0.25">
      <c r="V1026" s="407"/>
      <c r="W1026" s="363"/>
    </row>
    <row r="1027" spans="22:23" x14ac:dyDescent="0.25">
      <c r="V1027" s="407"/>
      <c r="W1027" s="363"/>
    </row>
    <row r="1028" spans="22:23" x14ac:dyDescent="0.25">
      <c r="V1028" s="407"/>
      <c r="W1028" s="363"/>
    </row>
    <row r="1029" spans="22:23" x14ac:dyDescent="0.25">
      <c r="V1029" s="407"/>
      <c r="W1029" s="363"/>
    </row>
    <row r="1030" spans="22:23" x14ac:dyDescent="0.25">
      <c r="V1030" s="407"/>
      <c r="W1030" s="363"/>
    </row>
    <row r="1031" spans="22:23" x14ac:dyDescent="0.25">
      <c r="V1031" s="407"/>
      <c r="W1031" s="363"/>
    </row>
    <row r="1032" spans="22:23" x14ac:dyDescent="0.25">
      <c r="V1032" s="407"/>
      <c r="W1032" s="363"/>
    </row>
    <row r="1033" spans="22:23" x14ac:dyDescent="0.25">
      <c r="V1033" s="407"/>
      <c r="W1033" s="363"/>
    </row>
    <row r="1034" spans="22:23" x14ac:dyDescent="0.25">
      <c r="V1034" s="407"/>
      <c r="W1034" s="363"/>
    </row>
    <row r="1035" spans="22:23" x14ac:dyDescent="0.25">
      <c r="V1035" s="407"/>
      <c r="W1035" s="363"/>
    </row>
    <row r="1036" spans="22:23" x14ac:dyDescent="0.25">
      <c r="V1036" s="407"/>
      <c r="W1036" s="363"/>
    </row>
    <row r="1037" spans="22:23" x14ac:dyDescent="0.25">
      <c r="V1037" s="407"/>
      <c r="W1037" s="363"/>
    </row>
    <row r="1038" spans="22:23" x14ac:dyDescent="0.25">
      <c r="V1038" s="407"/>
      <c r="W1038" s="363"/>
    </row>
    <row r="1039" spans="22:23" x14ac:dyDescent="0.25">
      <c r="V1039" s="407"/>
      <c r="W1039" s="363"/>
    </row>
    <row r="1040" spans="22:23" x14ac:dyDescent="0.25">
      <c r="V1040" s="407"/>
      <c r="W1040" s="363"/>
    </row>
    <row r="1041" spans="22:23" x14ac:dyDescent="0.25">
      <c r="V1041" s="407"/>
      <c r="W1041" s="363"/>
    </row>
    <row r="1042" spans="22:23" x14ac:dyDescent="0.25">
      <c r="V1042" s="407"/>
      <c r="W1042" s="363"/>
    </row>
    <row r="1043" spans="22:23" x14ac:dyDescent="0.25">
      <c r="V1043" s="407"/>
      <c r="W1043" s="363"/>
    </row>
    <row r="1044" spans="22:23" x14ac:dyDescent="0.25">
      <c r="V1044" s="407"/>
      <c r="W1044" s="363"/>
    </row>
    <row r="1045" spans="22:23" x14ac:dyDescent="0.25">
      <c r="V1045" s="407"/>
      <c r="W1045" s="363"/>
    </row>
    <row r="1046" spans="22:23" x14ac:dyDescent="0.25">
      <c r="V1046" s="407"/>
      <c r="W1046" s="363"/>
    </row>
    <row r="1047" spans="22:23" x14ac:dyDescent="0.25">
      <c r="V1047" s="407"/>
      <c r="W1047" s="363"/>
    </row>
    <row r="1048" spans="22:23" x14ac:dyDescent="0.25">
      <c r="V1048" s="407"/>
      <c r="W1048" s="363"/>
    </row>
    <row r="1049" spans="22:23" x14ac:dyDescent="0.25">
      <c r="V1049" s="407"/>
      <c r="W1049" s="363"/>
    </row>
    <row r="1050" spans="22:23" x14ac:dyDescent="0.25">
      <c r="V1050" s="407"/>
      <c r="W1050" s="363"/>
    </row>
    <row r="1051" spans="22:23" x14ac:dyDescent="0.25">
      <c r="V1051" s="407"/>
      <c r="W1051" s="363"/>
    </row>
    <row r="1052" spans="22:23" x14ac:dyDescent="0.25">
      <c r="V1052" s="407"/>
      <c r="W1052" s="363"/>
    </row>
    <row r="1053" spans="22:23" x14ac:dyDescent="0.25">
      <c r="V1053" s="407"/>
      <c r="W1053" s="363"/>
    </row>
    <row r="1054" spans="22:23" x14ac:dyDescent="0.25">
      <c r="V1054" s="407"/>
      <c r="W1054" s="363"/>
    </row>
    <row r="1055" spans="22:23" x14ac:dyDescent="0.25">
      <c r="V1055" s="407"/>
      <c r="W1055" s="363"/>
    </row>
    <row r="1056" spans="22:23" x14ac:dyDescent="0.25">
      <c r="V1056" s="407"/>
      <c r="W1056" s="363"/>
    </row>
    <row r="1057" spans="22:23" x14ac:dyDescent="0.25">
      <c r="V1057" s="407"/>
      <c r="W1057" s="363"/>
    </row>
    <row r="1058" spans="22:23" x14ac:dyDescent="0.25">
      <c r="V1058" s="407"/>
      <c r="W1058" s="363"/>
    </row>
    <row r="1059" spans="22:23" x14ac:dyDescent="0.25">
      <c r="V1059" s="407"/>
      <c r="W1059" s="363"/>
    </row>
    <row r="1060" spans="22:23" x14ac:dyDescent="0.25">
      <c r="V1060" s="407"/>
      <c r="W1060" s="363"/>
    </row>
    <row r="1061" spans="22:23" x14ac:dyDescent="0.25">
      <c r="V1061" s="407"/>
      <c r="W1061" s="363"/>
    </row>
    <row r="1062" spans="22:23" x14ac:dyDescent="0.25">
      <c r="V1062" s="407"/>
      <c r="W1062" s="363"/>
    </row>
    <row r="1063" spans="22:23" x14ac:dyDescent="0.25">
      <c r="V1063" s="407"/>
      <c r="W1063" s="363"/>
    </row>
    <row r="1064" spans="22:23" x14ac:dyDescent="0.25">
      <c r="V1064" s="407"/>
      <c r="W1064" s="363"/>
    </row>
    <row r="1065" spans="22:23" x14ac:dyDescent="0.25">
      <c r="V1065" s="407"/>
      <c r="W1065" s="363"/>
    </row>
    <row r="1066" spans="22:23" x14ac:dyDescent="0.25">
      <c r="V1066" s="407"/>
      <c r="W1066" s="363"/>
    </row>
    <row r="1067" spans="22:23" x14ac:dyDescent="0.25">
      <c r="V1067" s="407"/>
      <c r="W1067" s="363"/>
    </row>
    <row r="1068" spans="22:23" x14ac:dyDescent="0.25">
      <c r="V1068" s="407"/>
      <c r="W1068" s="363"/>
    </row>
    <row r="1069" spans="22:23" x14ac:dyDescent="0.25">
      <c r="V1069" s="407"/>
      <c r="W1069" s="363"/>
    </row>
    <row r="1070" spans="22:23" x14ac:dyDescent="0.25">
      <c r="V1070" s="407"/>
      <c r="W1070" s="363"/>
    </row>
    <row r="1071" spans="22:23" x14ac:dyDescent="0.25">
      <c r="V1071" s="407"/>
      <c r="W1071" s="363"/>
    </row>
    <row r="1072" spans="22:23" x14ac:dyDescent="0.25">
      <c r="V1072" s="407"/>
      <c r="W1072" s="363"/>
    </row>
    <row r="1073" spans="22:23" x14ac:dyDescent="0.25">
      <c r="V1073" s="407"/>
      <c r="W1073" s="363"/>
    </row>
    <row r="1074" spans="22:23" x14ac:dyDescent="0.25">
      <c r="V1074" s="407"/>
      <c r="W1074" s="363"/>
    </row>
    <row r="1075" spans="22:23" x14ac:dyDescent="0.25">
      <c r="V1075" s="407"/>
      <c r="W1075" s="363"/>
    </row>
    <row r="1076" spans="22:23" x14ac:dyDescent="0.25">
      <c r="V1076" s="407"/>
      <c r="W1076" s="363"/>
    </row>
    <row r="1077" spans="22:23" x14ac:dyDescent="0.25">
      <c r="V1077" s="407"/>
      <c r="W1077" s="363"/>
    </row>
    <row r="1078" spans="22:23" x14ac:dyDescent="0.25">
      <c r="V1078" s="407"/>
      <c r="W1078" s="363"/>
    </row>
    <row r="1079" spans="22:23" x14ac:dyDescent="0.25">
      <c r="V1079" s="407"/>
      <c r="W1079" s="363"/>
    </row>
    <row r="1080" spans="22:23" x14ac:dyDescent="0.25">
      <c r="V1080" s="407"/>
      <c r="W1080" s="363"/>
    </row>
    <row r="1081" spans="22:23" x14ac:dyDescent="0.25">
      <c r="V1081" s="407"/>
      <c r="W1081" s="363"/>
    </row>
    <row r="1082" spans="22:23" x14ac:dyDescent="0.25">
      <c r="V1082" s="407"/>
      <c r="W1082" s="363"/>
    </row>
    <row r="1083" spans="22:23" x14ac:dyDescent="0.25">
      <c r="V1083" s="407"/>
      <c r="W1083" s="363"/>
    </row>
    <row r="1084" spans="22:23" x14ac:dyDescent="0.25">
      <c r="V1084" s="407"/>
      <c r="W1084" s="363"/>
    </row>
    <row r="1085" spans="22:23" x14ac:dyDescent="0.25">
      <c r="V1085" s="407"/>
      <c r="W1085" s="363"/>
    </row>
    <row r="1086" spans="22:23" x14ac:dyDescent="0.25">
      <c r="V1086" s="407"/>
      <c r="W1086" s="363"/>
    </row>
    <row r="1087" spans="22:23" x14ac:dyDescent="0.25">
      <c r="V1087" s="407"/>
      <c r="W1087" s="363"/>
    </row>
    <row r="1088" spans="22:23" x14ac:dyDescent="0.25">
      <c r="V1088" s="407"/>
      <c r="W1088" s="363"/>
    </row>
    <row r="1089" spans="22:23" x14ac:dyDescent="0.25">
      <c r="V1089" s="407"/>
      <c r="W1089" s="363"/>
    </row>
    <row r="1090" spans="22:23" x14ac:dyDescent="0.25">
      <c r="V1090" s="407"/>
      <c r="W1090" s="363"/>
    </row>
    <row r="1091" spans="22:23" x14ac:dyDescent="0.25">
      <c r="V1091" s="407"/>
      <c r="W1091" s="363"/>
    </row>
    <row r="1092" spans="22:23" x14ac:dyDescent="0.25">
      <c r="V1092" s="407"/>
      <c r="W1092" s="363"/>
    </row>
    <row r="1093" spans="22:23" x14ac:dyDescent="0.25">
      <c r="V1093" s="407"/>
      <c r="W1093" s="363"/>
    </row>
    <row r="1094" spans="22:23" x14ac:dyDescent="0.25">
      <c r="V1094" s="407"/>
      <c r="W1094" s="363"/>
    </row>
    <row r="1095" spans="22:23" x14ac:dyDescent="0.25">
      <c r="V1095" s="407"/>
      <c r="W1095" s="363"/>
    </row>
    <row r="1096" spans="22:23" x14ac:dyDescent="0.25">
      <c r="V1096" s="407"/>
      <c r="W1096" s="363"/>
    </row>
    <row r="1097" spans="22:23" x14ac:dyDescent="0.25">
      <c r="V1097" s="407"/>
      <c r="W1097" s="363"/>
    </row>
    <row r="1098" spans="22:23" x14ac:dyDescent="0.25">
      <c r="V1098" s="407"/>
      <c r="W1098" s="363"/>
    </row>
    <row r="1099" spans="22:23" x14ac:dyDescent="0.25">
      <c r="V1099" s="407"/>
      <c r="W1099" s="363"/>
    </row>
    <row r="1100" spans="22:23" x14ac:dyDescent="0.25">
      <c r="V1100" s="407"/>
      <c r="W1100" s="363"/>
    </row>
    <row r="1101" spans="22:23" x14ac:dyDescent="0.25">
      <c r="V1101" s="407"/>
      <c r="W1101" s="363"/>
    </row>
    <row r="1102" spans="22:23" x14ac:dyDescent="0.25">
      <c r="V1102" s="407"/>
      <c r="W1102" s="363"/>
    </row>
    <row r="1103" spans="22:23" x14ac:dyDescent="0.25">
      <c r="V1103" s="407"/>
      <c r="W1103" s="363"/>
    </row>
    <row r="1104" spans="22:23" x14ac:dyDescent="0.25">
      <c r="V1104" s="407"/>
      <c r="W1104" s="363"/>
    </row>
    <row r="1105" spans="1:38" x14ac:dyDescent="0.25">
      <c r="V1105" s="407"/>
      <c r="W1105" s="363"/>
    </row>
    <row r="1106" spans="1:38" x14ac:dyDescent="0.25">
      <c r="V1106" s="407"/>
      <c r="W1106" s="363"/>
    </row>
    <row r="1107" spans="1:38" x14ac:dyDescent="0.25">
      <c r="V1107" s="407"/>
      <c r="W1107" s="363"/>
    </row>
    <row r="1108" spans="1:38" x14ac:dyDescent="0.25">
      <c r="V1108" s="407"/>
      <c r="W1108" s="363"/>
    </row>
    <row r="1109" spans="1:38" x14ac:dyDescent="0.25">
      <c r="V1109" s="407"/>
      <c r="W1109" s="363"/>
    </row>
    <row r="1110" spans="1:38" x14ac:dyDescent="0.25">
      <c r="V1110" s="407"/>
      <c r="W1110" s="363"/>
    </row>
    <row r="1111" spans="1:38" x14ac:dyDescent="0.25">
      <c r="V1111" s="407"/>
      <c r="W1111" s="363"/>
    </row>
    <row r="1112" spans="1:38" x14ac:dyDescent="0.25">
      <c r="V1112" s="407"/>
      <c r="W1112" s="363"/>
    </row>
    <row r="1113" spans="1:38" x14ac:dyDescent="0.25">
      <c r="V1113" s="407"/>
      <c r="W1113" s="363"/>
    </row>
    <row r="1114" spans="1:38" x14ac:dyDescent="0.25">
      <c r="A1114" s="465"/>
      <c r="B1114" s="466"/>
      <c r="C1114" s="467"/>
      <c r="D1114" s="468"/>
      <c r="F1114" s="469"/>
      <c r="G1114" s="468"/>
      <c r="H1114" s="467"/>
      <c r="I1114" s="467"/>
      <c r="J1114" s="470"/>
      <c r="K1114" s="467"/>
      <c r="L1114" s="467"/>
      <c r="M1114" s="467"/>
      <c r="N1114" s="467"/>
      <c r="O1114" s="467"/>
      <c r="P1114" s="467"/>
      <c r="Q1114" s="467"/>
      <c r="R1114" s="467"/>
      <c r="S1114" s="469"/>
      <c r="T1114" s="467"/>
      <c r="U1114" s="470"/>
      <c r="V1114" s="415"/>
      <c r="W1114" s="380"/>
      <c r="AI1114" s="470"/>
      <c r="AJ1114" s="470"/>
      <c r="AK1114" s="470"/>
      <c r="AL1114" s="470"/>
    </row>
    <row r="1115" spans="1:38" x14ac:dyDescent="0.25">
      <c r="V1115" s="407"/>
      <c r="W1115" s="363"/>
    </row>
    <row r="1116" spans="1:38" x14ac:dyDescent="0.25">
      <c r="V1116" s="407"/>
      <c r="W1116" s="363"/>
    </row>
    <row r="1117" spans="1:38" x14ac:dyDescent="0.25">
      <c r="V1117" s="407"/>
      <c r="W1117" s="363"/>
    </row>
    <row r="1118" spans="1:38" x14ac:dyDescent="0.25">
      <c r="V1118" s="407"/>
      <c r="W1118" s="363"/>
    </row>
    <row r="1119" spans="1:38" x14ac:dyDescent="0.25">
      <c r="V1119" s="407"/>
      <c r="W1119" s="363"/>
    </row>
    <row r="1120" spans="1:38" x14ac:dyDescent="0.25">
      <c r="V1120" s="407"/>
      <c r="W1120" s="363"/>
    </row>
    <row r="1121" spans="22:23" x14ac:dyDescent="0.25">
      <c r="V1121" s="407"/>
      <c r="W1121" s="363"/>
    </row>
    <row r="1122" spans="22:23" x14ac:dyDescent="0.25">
      <c r="V1122" s="407"/>
      <c r="W1122" s="363"/>
    </row>
    <row r="1123" spans="22:23" x14ac:dyDescent="0.25">
      <c r="V1123" s="407"/>
      <c r="W1123" s="363"/>
    </row>
    <row r="1124" spans="22:23" x14ac:dyDescent="0.25">
      <c r="V1124" s="407"/>
      <c r="W1124" s="363"/>
    </row>
    <row r="1125" spans="22:23" x14ac:dyDescent="0.25">
      <c r="V1125" s="407"/>
      <c r="W1125" s="363"/>
    </row>
    <row r="1126" spans="22:23" x14ac:dyDescent="0.25">
      <c r="V1126" s="407"/>
      <c r="W1126" s="363"/>
    </row>
    <row r="1127" spans="22:23" x14ac:dyDescent="0.25">
      <c r="V1127" s="407"/>
      <c r="W1127" s="363"/>
    </row>
    <row r="1128" spans="22:23" x14ac:dyDescent="0.25">
      <c r="V1128" s="407"/>
      <c r="W1128" s="363"/>
    </row>
    <row r="1129" spans="22:23" x14ac:dyDescent="0.25">
      <c r="V1129" s="407"/>
      <c r="W1129" s="363"/>
    </row>
    <row r="1130" spans="22:23" x14ac:dyDescent="0.25">
      <c r="V1130" s="407"/>
      <c r="W1130" s="363"/>
    </row>
    <row r="1131" spans="22:23" x14ac:dyDescent="0.25">
      <c r="V1131" s="407"/>
      <c r="W1131" s="363"/>
    </row>
    <row r="1132" spans="22:23" x14ac:dyDescent="0.25">
      <c r="V1132" s="407"/>
      <c r="W1132" s="363"/>
    </row>
    <row r="1133" spans="22:23" x14ac:dyDescent="0.25">
      <c r="V1133" s="407"/>
      <c r="W1133" s="363"/>
    </row>
    <row r="1134" spans="22:23" x14ac:dyDescent="0.25">
      <c r="V1134" s="407"/>
      <c r="W1134" s="363"/>
    </row>
    <row r="1135" spans="22:23" x14ac:dyDescent="0.25">
      <c r="V1135" s="407"/>
      <c r="W1135" s="363"/>
    </row>
    <row r="1136" spans="22:23" x14ac:dyDescent="0.25">
      <c r="V1136" s="407"/>
      <c r="W1136" s="363"/>
    </row>
    <row r="1137" spans="22:23" x14ac:dyDescent="0.25">
      <c r="V1137" s="407"/>
      <c r="W1137" s="363"/>
    </row>
    <row r="1138" spans="22:23" x14ac:dyDescent="0.25">
      <c r="V1138" s="407"/>
      <c r="W1138" s="363"/>
    </row>
    <row r="1139" spans="22:23" x14ac:dyDescent="0.25">
      <c r="V1139" s="407"/>
      <c r="W1139" s="363"/>
    </row>
    <row r="1140" spans="22:23" x14ac:dyDescent="0.25">
      <c r="V1140" s="407"/>
      <c r="W1140" s="363"/>
    </row>
    <row r="1141" spans="22:23" x14ac:dyDescent="0.25">
      <c r="V1141" s="407"/>
      <c r="W1141" s="363"/>
    </row>
    <row r="1142" spans="22:23" x14ac:dyDescent="0.25">
      <c r="V1142" s="407"/>
      <c r="W1142" s="363"/>
    </row>
    <row r="1143" spans="22:23" x14ac:dyDescent="0.25">
      <c r="V1143" s="407"/>
      <c r="W1143" s="363"/>
    </row>
    <row r="1144" spans="22:23" x14ac:dyDescent="0.25">
      <c r="V1144" s="407"/>
      <c r="W1144" s="363"/>
    </row>
    <row r="1145" spans="22:23" x14ac:dyDescent="0.25">
      <c r="V1145" s="407"/>
      <c r="W1145" s="363"/>
    </row>
    <row r="1146" spans="22:23" x14ac:dyDescent="0.25">
      <c r="V1146" s="407"/>
      <c r="W1146" s="363"/>
    </row>
    <row r="1147" spans="22:23" x14ac:dyDescent="0.25">
      <c r="V1147" s="407"/>
      <c r="W1147" s="363"/>
    </row>
    <row r="1148" spans="22:23" x14ac:dyDescent="0.25">
      <c r="V1148" s="407"/>
      <c r="W1148" s="363"/>
    </row>
    <row r="1149" spans="22:23" x14ac:dyDescent="0.25">
      <c r="V1149" s="407"/>
      <c r="W1149" s="363"/>
    </row>
    <row r="1150" spans="22:23" x14ac:dyDescent="0.25">
      <c r="V1150" s="407"/>
      <c r="W1150" s="363"/>
    </row>
    <row r="1151" spans="22:23" x14ac:dyDescent="0.25">
      <c r="V1151" s="407"/>
      <c r="W1151" s="363"/>
    </row>
    <row r="1152" spans="22:23" x14ac:dyDescent="0.25">
      <c r="V1152" s="407"/>
      <c r="W1152" s="363"/>
    </row>
    <row r="1153" spans="22:23" x14ac:dyDescent="0.25">
      <c r="V1153" s="407"/>
      <c r="W1153" s="363"/>
    </row>
    <row r="1154" spans="22:23" x14ac:dyDescent="0.25">
      <c r="V1154" s="407"/>
      <c r="W1154" s="363"/>
    </row>
    <row r="1155" spans="22:23" x14ac:dyDescent="0.25">
      <c r="V1155" s="407"/>
      <c r="W1155" s="363"/>
    </row>
    <row r="1156" spans="22:23" x14ac:dyDescent="0.25">
      <c r="V1156" s="407"/>
      <c r="W1156" s="363"/>
    </row>
    <row r="1157" spans="22:23" x14ac:dyDescent="0.25">
      <c r="V1157" s="407"/>
      <c r="W1157" s="363"/>
    </row>
    <row r="1158" spans="22:23" x14ac:dyDescent="0.25">
      <c r="V1158" s="407"/>
      <c r="W1158" s="363"/>
    </row>
    <row r="1159" spans="22:23" x14ac:dyDescent="0.25">
      <c r="V1159" s="407"/>
      <c r="W1159" s="363"/>
    </row>
    <row r="1160" spans="22:23" x14ac:dyDescent="0.25">
      <c r="V1160" s="407"/>
      <c r="W1160" s="363"/>
    </row>
    <row r="1161" spans="22:23" x14ac:dyDescent="0.25">
      <c r="V1161" s="407"/>
      <c r="W1161" s="363"/>
    </row>
    <row r="1162" spans="22:23" x14ac:dyDescent="0.25">
      <c r="V1162" s="407"/>
      <c r="W1162" s="363"/>
    </row>
    <row r="1163" spans="22:23" x14ac:dyDescent="0.25">
      <c r="V1163" s="407"/>
      <c r="W1163" s="363"/>
    </row>
    <row r="1164" spans="22:23" x14ac:dyDescent="0.25">
      <c r="V1164" s="407"/>
      <c r="W1164" s="363"/>
    </row>
    <row r="1165" spans="22:23" x14ac:dyDescent="0.25">
      <c r="V1165" s="407"/>
      <c r="W1165" s="363"/>
    </row>
    <row r="1166" spans="22:23" x14ac:dyDescent="0.25">
      <c r="V1166" s="407"/>
      <c r="W1166" s="363"/>
    </row>
    <row r="1167" spans="22:23" x14ac:dyDescent="0.25">
      <c r="V1167" s="407"/>
      <c r="W1167" s="363"/>
    </row>
    <row r="1168" spans="22:23" x14ac:dyDescent="0.25">
      <c r="V1168" s="407"/>
      <c r="W1168" s="363"/>
    </row>
    <row r="1169" spans="22:23" x14ac:dyDescent="0.25">
      <c r="V1169" s="407"/>
      <c r="W1169" s="363"/>
    </row>
    <row r="1170" spans="22:23" x14ac:dyDescent="0.25">
      <c r="V1170" s="407"/>
      <c r="W1170" s="363"/>
    </row>
    <row r="1171" spans="22:23" x14ac:dyDescent="0.25">
      <c r="V1171" s="407"/>
      <c r="W1171" s="363"/>
    </row>
    <row r="1172" spans="22:23" x14ac:dyDescent="0.25">
      <c r="V1172" s="407"/>
      <c r="W1172" s="363"/>
    </row>
    <row r="1173" spans="22:23" x14ac:dyDescent="0.25">
      <c r="V1173" s="407"/>
      <c r="W1173" s="363"/>
    </row>
    <row r="1174" spans="22:23" x14ac:dyDescent="0.25">
      <c r="V1174" s="407"/>
      <c r="W1174" s="363"/>
    </row>
    <row r="1175" spans="22:23" x14ac:dyDescent="0.25">
      <c r="V1175" s="407"/>
      <c r="W1175" s="363"/>
    </row>
    <row r="1176" spans="22:23" x14ac:dyDescent="0.25">
      <c r="V1176" s="407"/>
      <c r="W1176" s="363"/>
    </row>
    <row r="1177" spans="22:23" x14ac:dyDescent="0.25">
      <c r="V1177" s="407"/>
      <c r="W1177" s="363"/>
    </row>
    <row r="1178" spans="22:23" x14ac:dyDescent="0.25">
      <c r="V1178" s="407"/>
      <c r="W1178" s="363"/>
    </row>
    <row r="1179" spans="22:23" x14ac:dyDescent="0.25">
      <c r="V1179" s="407"/>
      <c r="W1179" s="363"/>
    </row>
    <row r="1180" spans="22:23" x14ac:dyDescent="0.25">
      <c r="V1180" s="407"/>
      <c r="W1180" s="363"/>
    </row>
    <row r="1181" spans="22:23" x14ac:dyDescent="0.25">
      <c r="V1181" s="407"/>
      <c r="W1181" s="363"/>
    </row>
    <row r="1182" spans="22:23" x14ac:dyDescent="0.25">
      <c r="V1182" s="407"/>
      <c r="W1182" s="363"/>
    </row>
    <row r="1183" spans="22:23" x14ac:dyDescent="0.25">
      <c r="V1183" s="407"/>
      <c r="W1183" s="363"/>
    </row>
    <row r="1184" spans="22:23" x14ac:dyDescent="0.25">
      <c r="V1184" s="407"/>
      <c r="W1184" s="363"/>
    </row>
    <row r="1185" spans="22:23" x14ac:dyDescent="0.25">
      <c r="V1185" s="407"/>
      <c r="W1185" s="363"/>
    </row>
    <row r="1186" spans="22:23" x14ac:dyDescent="0.25">
      <c r="V1186" s="407"/>
      <c r="W1186" s="363"/>
    </row>
    <row r="1187" spans="22:23" x14ac:dyDescent="0.25">
      <c r="V1187" s="407"/>
      <c r="W1187" s="363"/>
    </row>
    <row r="1188" spans="22:23" x14ac:dyDescent="0.25">
      <c r="V1188" s="407"/>
      <c r="W1188" s="363"/>
    </row>
    <row r="1189" spans="22:23" x14ac:dyDescent="0.25">
      <c r="W1189" s="363"/>
    </row>
    <row r="1190" spans="22:23" x14ac:dyDescent="0.25">
      <c r="W1190" s="363"/>
    </row>
    <row r="1191" spans="22:23" x14ac:dyDescent="0.25">
      <c r="W1191" s="363"/>
    </row>
    <row r="1192" spans="22:23" x14ac:dyDescent="0.25">
      <c r="W1192" s="363"/>
    </row>
    <row r="1193" spans="22:23" x14ac:dyDescent="0.25">
      <c r="W1193" s="363"/>
    </row>
    <row r="1194" spans="22:23" x14ac:dyDescent="0.25">
      <c r="W1194" s="363"/>
    </row>
    <row r="1195" spans="22:23" x14ac:dyDescent="0.25">
      <c r="W1195" s="363"/>
    </row>
    <row r="1196" spans="22:23" x14ac:dyDescent="0.25">
      <c r="W1196" s="363"/>
    </row>
    <row r="1197" spans="22:23" x14ac:dyDescent="0.25">
      <c r="W1197" s="363"/>
    </row>
    <row r="1198" spans="22:23" x14ac:dyDescent="0.25">
      <c r="W1198" s="363"/>
    </row>
    <row r="1199" spans="22:23" x14ac:dyDescent="0.25">
      <c r="W1199" s="363"/>
    </row>
    <row r="1200" spans="22:23" x14ac:dyDescent="0.25">
      <c r="W1200" s="363"/>
    </row>
    <row r="1201" spans="23:23" x14ac:dyDescent="0.25">
      <c r="W1201" s="363"/>
    </row>
    <row r="1202" spans="23:23" x14ac:dyDescent="0.25">
      <c r="W1202" s="363"/>
    </row>
    <row r="1203" spans="23:23" x14ac:dyDescent="0.25">
      <c r="W1203" s="363"/>
    </row>
    <row r="1204" spans="23:23" x14ac:dyDescent="0.25">
      <c r="W1204" s="363"/>
    </row>
    <row r="1205" spans="23:23" x14ac:dyDescent="0.25">
      <c r="W1205" s="363"/>
    </row>
    <row r="1206" spans="23:23" x14ac:dyDescent="0.25">
      <c r="W1206" s="363"/>
    </row>
    <row r="1207" spans="23:23" x14ac:dyDescent="0.25">
      <c r="W1207" s="363"/>
    </row>
    <row r="1208" spans="23:23" x14ac:dyDescent="0.25">
      <c r="W1208" s="363"/>
    </row>
    <row r="1209" spans="23:23" x14ac:dyDescent="0.25">
      <c r="W1209" s="363"/>
    </row>
    <row r="1210" spans="23:23" x14ac:dyDescent="0.25">
      <c r="W1210" s="363"/>
    </row>
    <row r="1211" spans="23:23" x14ac:dyDescent="0.25">
      <c r="W1211" s="363"/>
    </row>
    <row r="1212" spans="23:23" x14ac:dyDescent="0.25">
      <c r="W1212" s="363"/>
    </row>
    <row r="1213" spans="23:23" x14ac:dyDescent="0.25">
      <c r="W1213" s="363"/>
    </row>
    <row r="1214" spans="23:23" x14ac:dyDescent="0.25">
      <c r="W1214" s="363"/>
    </row>
    <row r="1215" spans="23:23" x14ac:dyDescent="0.25">
      <c r="W1215" s="363"/>
    </row>
    <row r="1216" spans="23:23" x14ac:dyDescent="0.25">
      <c r="W1216" s="363"/>
    </row>
    <row r="1217" spans="23:23" x14ac:dyDescent="0.25">
      <c r="W1217" s="363"/>
    </row>
    <row r="1218" spans="23:23" x14ac:dyDescent="0.25">
      <c r="W1218" s="363"/>
    </row>
    <row r="1219" spans="23:23" x14ac:dyDescent="0.25">
      <c r="W1219" s="363"/>
    </row>
    <row r="1220" spans="23:23" x14ac:dyDescent="0.25">
      <c r="W1220" s="363"/>
    </row>
    <row r="1221" spans="23:23" x14ac:dyDescent="0.25">
      <c r="W1221" s="363"/>
    </row>
    <row r="1222" spans="23:23" x14ac:dyDescent="0.25">
      <c r="W1222" s="363"/>
    </row>
    <row r="1223" spans="23:23" x14ac:dyDescent="0.25">
      <c r="W1223" s="363"/>
    </row>
    <row r="1224" spans="23:23" x14ac:dyDescent="0.25">
      <c r="W1224" s="363"/>
    </row>
    <row r="1225" spans="23:23" x14ac:dyDescent="0.25">
      <c r="W1225" s="363"/>
    </row>
    <row r="1226" spans="23:23" x14ac:dyDescent="0.25">
      <c r="W1226" s="363"/>
    </row>
    <row r="1227" spans="23:23" x14ac:dyDescent="0.25">
      <c r="W1227" s="363"/>
    </row>
    <row r="1228" spans="23:23" x14ac:dyDescent="0.25">
      <c r="W1228" s="363"/>
    </row>
    <row r="1229" spans="23:23" x14ac:dyDescent="0.25">
      <c r="W1229" s="363"/>
    </row>
    <row r="1230" spans="23:23" x14ac:dyDescent="0.25">
      <c r="W1230" s="363"/>
    </row>
    <row r="1231" spans="23:23" x14ac:dyDescent="0.25">
      <c r="W1231" s="363"/>
    </row>
    <row r="1232" spans="23:23" x14ac:dyDescent="0.25">
      <c r="W1232" s="363"/>
    </row>
    <row r="1233" spans="23:23" x14ac:dyDescent="0.25">
      <c r="W1233" s="363"/>
    </row>
    <row r="1234" spans="23:23" x14ac:dyDescent="0.25">
      <c r="W1234" s="363"/>
    </row>
    <row r="1235" spans="23:23" x14ac:dyDescent="0.25">
      <c r="W1235" s="363"/>
    </row>
    <row r="1236" spans="23:23" x14ac:dyDescent="0.25">
      <c r="W1236" s="363"/>
    </row>
    <row r="1237" spans="23:23" x14ac:dyDescent="0.25">
      <c r="W1237" s="363"/>
    </row>
  </sheetData>
  <autoFilter ref="A1:AX669" xr:uid="{00000000-0009-0000-0000-00000B000000}">
    <filterColumn colId="5">
      <filters>
        <dateGroupItem year="2021" month="6" day="15" dateTimeGrouping="day"/>
        <dateGroupItem year="2021" month="6" day="16" dateTimeGrouping="day"/>
        <dateGroupItem year="2021" month="6" day="18" dateTimeGrouping="day"/>
        <dateGroupItem year="2021" month="6" day="21" dateTimeGrouping="day"/>
        <dateGroupItem year="2021" month="6" day="22" dateTimeGrouping="day"/>
        <dateGroupItem year="2021" month="6" day="23" dateTimeGrouping="day"/>
        <dateGroupItem year="2021" month="6" day="24" dateTimeGrouping="day"/>
        <dateGroupItem year="2021" month="6" day="25" dateTimeGrouping="day"/>
        <dateGroupItem year="2021" month="6" day="28" dateTimeGrouping="day"/>
        <dateGroupItem year="2021" month="6" day="29" dateTimeGrouping="day"/>
        <dateGroupItem year="2021" month="6" day="30" dateTimeGrouping="day"/>
      </filters>
    </filterColumn>
  </autoFilter>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75"/>
  <sheetViews>
    <sheetView workbookViewId="0">
      <pane ySplit="1" topLeftCell="A2" activePane="bottomLeft" state="frozen"/>
      <selection pane="bottomLeft" activeCell="G45" sqref="G45"/>
    </sheetView>
  </sheetViews>
  <sheetFormatPr baseColWidth="10" defaultColWidth="11.42578125" defaultRowHeight="12.75" x14ac:dyDescent="0.2"/>
  <cols>
    <col min="1" max="1" width="26.7109375" style="221" customWidth="1"/>
    <col min="2" max="2" width="5" style="221" customWidth="1"/>
    <col min="3" max="3" width="21.85546875" style="221" customWidth="1"/>
    <col min="4" max="4" width="33.7109375" style="221" customWidth="1"/>
    <col min="5" max="5" width="39.5703125" style="221" customWidth="1"/>
    <col min="6" max="11" width="16.7109375" style="233" customWidth="1"/>
    <col min="12" max="12" width="15.85546875" style="221" customWidth="1"/>
    <col min="13" max="13" width="19.140625" style="221" customWidth="1"/>
    <col min="14" max="16384" width="11.42578125" style="221"/>
  </cols>
  <sheetData>
    <row r="1" spans="1:13" ht="26.25" thickBot="1" x14ac:dyDescent="0.25">
      <c r="A1" s="216" t="s">
        <v>4930</v>
      </c>
      <c r="B1" s="1401" t="s">
        <v>4931</v>
      </c>
      <c r="C1" s="1401"/>
      <c r="D1" s="217" t="s">
        <v>4932</v>
      </c>
      <c r="E1" s="217" t="s">
        <v>4933</v>
      </c>
      <c r="F1" s="218" t="s">
        <v>4934</v>
      </c>
      <c r="G1" s="218" t="s">
        <v>4935</v>
      </c>
      <c r="H1" s="218" t="s">
        <v>4936</v>
      </c>
      <c r="I1" s="218" t="s">
        <v>4937</v>
      </c>
      <c r="J1" s="218" t="s">
        <v>2885</v>
      </c>
      <c r="K1" s="218" t="s">
        <v>4938</v>
      </c>
      <c r="L1" s="219" t="s">
        <v>4939</v>
      </c>
      <c r="M1" s="220" t="s">
        <v>4940</v>
      </c>
    </row>
    <row r="2" spans="1:13" x14ac:dyDescent="0.2">
      <c r="A2" s="1402" t="s">
        <v>4941</v>
      </c>
      <c r="B2" s="1404"/>
      <c r="C2" s="1406" t="s">
        <v>4942</v>
      </c>
      <c r="D2" s="1408" t="s">
        <v>4943</v>
      </c>
      <c r="E2" s="222" t="s">
        <v>4944</v>
      </c>
      <c r="F2" s="223">
        <v>414311953</v>
      </c>
      <c r="G2" s="223">
        <v>53640933</v>
      </c>
      <c r="H2" s="223">
        <v>360671020</v>
      </c>
      <c r="I2" s="223">
        <v>25895188</v>
      </c>
      <c r="J2" s="224">
        <v>100169374</v>
      </c>
      <c r="K2" s="224">
        <v>101622895</v>
      </c>
      <c r="L2" s="225">
        <v>227687457</v>
      </c>
      <c r="M2" s="226">
        <v>132983563</v>
      </c>
    </row>
    <row r="3" spans="1:13" x14ac:dyDescent="0.2">
      <c r="A3" s="1403"/>
      <c r="B3" s="1405"/>
      <c r="C3" s="1407"/>
      <c r="D3" s="1409"/>
      <c r="E3" s="227" t="s">
        <v>4945</v>
      </c>
      <c r="F3" s="228">
        <v>33985341</v>
      </c>
      <c r="G3" s="228">
        <v>27855341</v>
      </c>
      <c r="H3" s="228">
        <v>6130000</v>
      </c>
      <c r="I3" s="228">
        <v>0</v>
      </c>
      <c r="J3" s="228">
        <v>6130000</v>
      </c>
      <c r="K3" s="228">
        <v>0</v>
      </c>
      <c r="L3" s="225">
        <v>6130000</v>
      </c>
      <c r="M3" s="229">
        <v>0</v>
      </c>
    </row>
    <row r="4" spans="1:13" x14ac:dyDescent="0.2">
      <c r="A4" s="1403"/>
      <c r="B4" s="1405"/>
      <c r="C4" s="1407"/>
      <c r="D4" s="1409" t="s">
        <v>344</v>
      </c>
      <c r="E4" s="227" t="s">
        <v>4946</v>
      </c>
      <c r="F4" s="228">
        <v>11400000</v>
      </c>
      <c r="G4" s="228">
        <v>0</v>
      </c>
      <c r="H4" s="228">
        <v>11400000</v>
      </c>
      <c r="I4" s="228">
        <v>0</v>
      </c>
      <c r="J4" s="228">
        <v>0</v>
      </c>
      <c r="K4" s="228">
        <v>0</v>
      </c>
      <c r="L4" s="225">
        <v>0</v>
      </c>
      <c r="M4" s="229">
        <v>11400000</v>
      </c>
    </row>
    <row r="5" spans="1:13" x14ac:dyDescent="0.2">
      <c r="A5" s="1403"/>
      <c r="B5" s="1405"/>
      <c r="C5" s="1407"/>
      <c r="D5" s="1409"/>
      <c r="E5" s="227" t="s">
        <v>4947</v>
      </c>
      <c r="F5" s="228">
        <v>39485000</v>
      </c>
      <c r="G5" s="228">
        <v>0</v>
      </c>
      <c r="H5" s="228">
        <v>39485000</v>
      </c>
      <c r="I5" s="228">
        <v>0</v>
      </c>
      <c r="J5" s="228">
        <v>0</v>
      </c>
      <c r="K5" s="228">
        <v>0</v>
      </c>
      <c r="L5" s="225">
        <v>0</v>
      </c>
      <c r="M5" s="229">
        <v>39485000</v>
      </c>
    </row>
    <row r="6" spans="1:13" x14ac:dyDescent="0.2">
      <c r="A6" s="1403"/>
      <c r="B6" s="1405"/>
      <c r="C6" s="1407"/>
      <c r="D6" s="1407" t="s">
        <v>4948</v>
      </c>
      <c r="E6" s="227" t="s">
        <v>4949</v>
      </c>
      <c r="F6" s="228">
        <v>150208706</v>
      </c>
      <c r="G6" s="228">
        <v>0</v>
      </c>
      <c r="H6" s="228">
        <v>150208706</v>
      </c>
      <c r="I6" s="228">
        <v>0</v>
      </c>
      <c r="J6" s="228">
        <v>20526992</v>
      </c>
      <c r="K6" s="228">
        <v>0</v>
      </c>
      <c r="L6" s="225">
        <v>20526992</v>
      </c>
      <c r="M6" s="229">
        <v>129681714</v>
      </c>
    </row>
    <row r="7" spans="1:13" x14ac:dyDescent="0.2">
      <c r="A7" s="1403"/>
      <c r="B7" s="1405"/>
      <c r="C7" s="1407"/>
      <c r="D7" s="1407"/>
      <c r="E7" s="227" t="s">
        <v>4950</v>
      </c>
      <c r="F7" s="228">
        <v>3809271859</v>
      </c>
      <c r="G7" s="228">
        <v>0</v>
      </c>
      <c r="H7" s="228">
        <v>3809271859</v>
      </c>
      <c r="I7" s="228">
        <v>0</v>
      </c>
      <c r="J7" s="228">
        <v>268520631</v>
      </c>
      <c r="K7" s="228">
        <v>190303504</v>
      </c>
      <c r="L7" s="225">
        <v>458824135</v>
      </c>
      <c r="M7" s="229">
        <v>3350447724</v>
      </c>
    </row>
    <row r="8" spans="1:13" ht="13.5" thickBot="1" x14ac:dyDescent="0.25">
      <c r="A8" s="230"/>
      <c r="B8" s="231"/>
      <c r="C8" s="231"/>
      <c r="D8" s="231"/>
      <c r="E8" s="231"/>
      <c r="F8" s="232">
        <v>4458662859</v>
      </c>
      <c r="G8" s="232">
        <v>81496274</v>
      </c>
      <c r="H8" s="232">
        <v>4377166585</v>
      </c>
      <c r="I8" s="232">
        <v>25895188</v>
      </c>
      <c r="J8" s="232">
        <v>395346997</v>
      </c>
      <c r="K8" s="232">
        <v>291926399</v>
      </c>
      <c r="L8" s="232">
        <v>713168584</v>
      </c>
      <c r="M8" s="232">
        <v>3663998001</v>
      </c>
    </row>
    <row r="9" spans="1:13" ht="13.5" thickBot="1" x14ac:dyDescent="0.25"/>
    <row r="10" spans="1:13" x14ac:dyDescent="0.2">
      <c r="A10" s="1410" t="s">
        <v>4951</v>
      </c>
      <c r="B10" s="1411"/>
      <c r="C10" s="1412" t="s">
        <v>4952</v>
      </c>
      <c r="D10" s="1412" t="s">
        <v>4953</v>
      </c>
      <c r="E10" s="234" t="s">
        <v>4954</v>
      </c>
      <c r="F10" s="235">
        <v>1</v>
      </c>
      <c r="G10" s="235">
        <v>0</v>
      </c>
      <c r="H10" s="235">
        <v>1</v>
      </c>
      <c r="I10" s="235">
        <v>0</v>
      </c>
      <c r="J10" s="235">
        <v>0</v>
      </c>
      <c r="K10" s="235">
        <v>0</v>
      </c>
      <c r="L10" s="236">
        <v>0</v>
      </c>
      <c r="M10" s="237">
        <v>1</v>
      </c>
    </row>
    <row r="11" spans="1:13" x14ac:dyDescent="0.2">
      <c r="A11" s="1403"/>
      <c r="B11" s="1405"/>
      <c r="C11" s="1407"/>
      <c r="D11" s="1407"/>
      <c r="E11" s="227" t="s">
        <v>4955</v>
      </c>
      <c r="F11" s="228">
        <v>31978507</v>
      </c>
      <c r="G11" s="228">
        <v>0</v>
      </c>
      <c r="H11" s="228">
        <v>31978507</v>
      </c>
      <c r="I11" s="228">
        <v>0</v>
      </c>
      <c r="J11" s="228">
        <v>0</v>
      </c>
      <c r="K11" s="228">
        <v>0</v>
      </c>
      <c r="L11" s="238">
        <v>0</v>
      </c>
      <c r="M11" s="229">
        <v>31978507</v>
      </c>
    </row>
    <row r="12" spans="1:13" x14ac:dyDescent="0.2">
      <c r="A12" s="1403"/>
      <c r="B12" s="1405"/>
      <c r="C12" s="1407"/>
      <c r="D12" s="1407"/>
      <c r="E12" s="227" t="s">
        <v>4956</v>
      </c>
      <c r="F12" s="228">
        <v>35536124</v>
      </c>
      <c r="G12" s="228">
        <v>0</v>
      </c>
      <c r="H12" s="228">
        <v>35536124</v>
      </c>
      <c r="I12" s="228">
        <v>0</v>
      </c>
      <c r="J12" s="228">
        <v>0</v>
      </c>
      <c r="K12" s="228">
        <v>0</v>
      </c>
      <c r="L12" s="238">
        <v>0</v>
      </c>
      <c r="M12" s="229">
        <v>35536124</v>
      </c>
    </row>
    <row r="13" spans="1:13" ht="13.5" thickBot="1" x14ac:dyDescent="0.25">
      <c r="A13" s="230"/>
      <c r="B13" s="231"/>
      <c r="C13" s="231"/>
      <c r="D13" s="231"/>
      <c r="E13" s="231"/>
      <c r="F13" s="232">
        <v>67514632</v>
      </c>
      <c r="G13" s="232">
        <v>0</v>
      </c>
      <c r="H13" s="232">
        <v>67514632</v>
      </c>
      <c r="I13" s="232">
        <v>0</v>
      </c>
      <c r="J13" s="232">
        <v>0</v>
      </c>
      <c r="K13" s="232">
        <v>0</v>
      </c>
      <c r="L13" s="232">
        <v>0</v>
      </c>
      <c r="M13" s="232">
        <v>67514632</v>
      </c>
    </row>
    <row r="14" spans="1:13" ht="13.5" thickBot="1" x14ac:dyDescent="0.25"/>
    <row r="15" spans="1:13" x14ac:dyDescent="0.2">
      <c r="A15" s="1410" t="s">
        <v>4957</v>
      </c>
      <c r="B15" s="1414"/>
      <c r="C15" s="1412" t="s">
        <v>4958</v>
      </c>
      <c r="D15" s="1417" t="s">
        <v>4953</v>
      </c>
      <c r="E15" s="1436" t="s">
        <v>4959</v>
      </c>
      <c r="F15" s="235">
        <v>329715062</v>
      </c>
      <c r="G15" s="235">
        <v>0</v>
      </c>
      <c r="H15" s="235">
        <v>329715062</v>
      </c>
      <c r="I15" s="235">
        <v>0</v>
      </c>
      <c r="J15" s="235">
        <v>10145833</v>
      </c>
      <c r="K15" s="235">
        <v>0</v>
      </c>
      <c r="L15" s="236">
        <v>10145833</v>
      </c>
      <c r="M15" s="237">
        <v>319569229</v>
      </c>
    </row>
    <row r="16" spans="1:13" ht="13.5" thickBot="1" x14ac:dyDescent="0.25">
      <c r="A16" s="1413"/>
      <c r="B16" s="1415"/>
      <c r="C16" s="1416"/>
      <c r="D16" s="1418"/>
      <c r="E16" s="1437"/>
      <c r="F16" s="232">
        <v>329715062</v>
      </c>
      <c r="G16" s="232">
        <v>0</v>
      </c>
      <c r="H16" s="232">
        <v>329715062</v>
      </c>
      <c r="I16" s="232">
        <v>0</v>
      </c>
      <c r="J16" s="232">
        <v>10145833</v>
      </c>
      <c r="K16" s="232">
        <v>0</v>
      </c>
      <c r="L16" s="232">
        <v>10145833</v>
      </c>
      <c r="M16" s="232">
        <v>319569229</v>
      </c>
    </row>
    <row r="17" spans="1:13" ht="13.5" thickBot="1" x14ac:dyDescent="0.25"/>
    <row r="18" spans="1:13" x14ac:dyDescent="0.2">
      <c r="A18" s="1410" t="s">
        <v>4960</v>
      </c>
      <c r="B18" s="1411"/>
      <c r="C18" s="1412" t="s">
        <v>4961</v>
      </c>
      <c r="D18" s="239" t="s">
        <v>164</v>
      </c>
      <c r="E18" s="234" t="s">
        <v>4962</v>
      </c>
      <c r="F18" s="235">
        <v>59329710</v>
      </c>
      <c r="G18" s="235">
        <v>0</v>
      </c>
      <c r="H18" s="235">
        <v>59329710</v>
      </c>
      <c r="I18" s="235">
        <v>0</v>
      </c>
      <c r="J18" s="235">
        <v>17124544</v>
      </c>
      <c r="K18" s="235">
        <v>20176125</v>
      </c>
      <c r="L18" s="235">
        <v>37300669</v>
      </c>
      <c r="M18" s="240">
        <v>22029041</v>
      </c>
    </row>
    <row r="19" spans="1:13" x14ac:dyDescent="0.2">
      <c r="A19" s="1403"/>
      <c r="B19" s="1405"/>
      <c r="C19" s="1407"/>
      <c r="D19" s="241" t="s">
        <v>4963</v>
      </c>
      <c r="E19" s="227" t="s">
        <v>4964</v>
      </c>
      <c r="F19" s="228">
        <v>2355567</v>
      </c>
      <c r="G19" s="228">
        <v>0</v>
      </c>
      <c r="H19" s="228">
        <v>2355567</v>
      </c>
      <c r="I19" s="228">
        <v>0</v>
      </c>
      <c r="J19" s="228">
        <v>1931167</v>
      </c>
      <c r="K19" s="228">
        <v>0</v>
      </c>
      <c r="L19" s="228">
        <v>1931167</v>
      </c>
      <c r="M19" s="242">
        <v>424400</v>
      </c>
    </row>
    <row r="20" spans="1:13" x14ac:dyDescent="0.2">
      <c r="A20" s="1403"/>
      <c r="B20" s="1405"/>
      <c r="C20" s="1407"/>
      <c r="D20" s="227" t="s">
        <v>214</v>
      </c>
      <c r="E20" s="227" t="s">
        <v>4965</v>
      </c>
      <c r="F20" s="243">
        <v>140946733</v>
      </c>
      <c r="G20" s="228">
        <v>0</v>
      </c>
      <c r="H20" s="228">
        <v>140946733</v>
      </c>
      <c r="I20" s="228">
        <v>0</v>
      </c>
      <c r="J20" s="227">
        <v>0</v>
      </c>
      <c r="K20" s="227">
        <v>0</v>
      </c>
      <c r="L20" s="227">
        <v>0</v>
      </c>
      <c r="M20" s="242">
        <v>140946733</v>
      </c>
    </row>
    <row r="21" spans="1:13" x14ac:dyDescent="0.2">
      <c r="A21" s="1403"/>
      <c r="B21" s="1405"/>
      <c r="C21" s="1407"/>
      <c r="D21" s="227" t="s">
        <v>184</v>
      </c>
      <c r="E21" s="227" t="s">
        <v>4966</v>
      </c>
      <c r="F21" s="228">
        <v>277204263</v>
      </c>
      <c r="G21" s="228">
        <v>0</v>
      </c>
      <c r="H21" s="228">
        <v>277204263</v>
      </c>
      <c r="I21" s="228">
        <v>0</v>
      </c>
      <c r="J21" s="228">
        <v>23024011</v>
      </c>
      <c r="K21" s="228">
        <v>37521178</v>
      </c>
      <c r="L21" s="228">
        <v>60545189</v>
      </c>
      <c r="M21" s="242">
        <v>216659074</v>
      </c>
    </row>
    <row r="22" spans="1:13" ht="13.5" thickBot="1" x14ac:dyDescent="0.25">
      <c r="A22" s="230"/>
      <c r="B22" s="231"/>
      <c r="C22" s="231"/>
      <c r="D22" s="231"/>
      <c r="E22" s="231"/>
      <c r="F22" s="232">
        <v>479836273</v>
      </c>
      <c r="G22" s="232">
        <v>0</v>
      </c>
      <c r="H22" s="232">
        <v>479836273</v>
      </c>
      <c r="I22" s="232">
        <v>0</v>
      </c>
      <c r="J22" s="232">
        <v>42079722</v>
      </c>
      <c r="K22" s="232">
        <v>57697303</v>
      </c>
      <c r="L22" s="232">
        <v>99777025</v>
      </c>
      <c r="M22" s="232">
        <v>380059248</v>
      </c>
    </row>
    <row r="23" spans="1:13" ht="13.5" thickBot="1" x14ac:dyDescent="0.25">
      <c r="E23" s="286">
        <f>+F22+F16+F13+F8</f>
        <v>5335728826</v>
      </c>
    </row>
    <row r="24" spans="1:13" s="252" customFormat="1" ht="26.25" thickBot="1" x14ac:dyDescent="0.3">
      <c r="A24" s="244" t="s">
        <v>4930</v>
      </c>
      <c r="B24" s="1438" t="s">
        <v>4967</v>
      </c>
      <c r="C24" s="1438"/>
      <c r="D24" s="245" t="s">
        <v>4932</v>
      </c>
      <c r="E24" s="245" t="s">
        <v>4933</v>
      </c>
      <c r="F24" s="246" t="s">
        <v>4934</v>
      </c>
      <c r="G24" s="247"/>
      <c r="H24" s="247"/>
      <c r="I24" s="248" t="s">
        <v>4937</v>
      </c>
      <c r="J24" s="249" t="s">
        <v>2885</v>
      </c>
      <c r="K24" s="250" t="s">
        <v>4938</v>
      </c>
      <c r="L24" s="251" t="s">
        <v>4939</v>
      </c>
      <c r="M24" s="251" t="s">
        <v>4940</v>
      </c>
    </row>
    <row r="25" spans="1:13" x14ac:dyDescent="0.2">
      <c r="A25" s="1402" t="s">
        <v>4968</v>
      </c>
      <c r="B25" s="1427">
        <v>295</v>
      </c>
      <c r="C25" s="1435" t="s">
        <v>4969</v>
      </c>
      <c r="D25" s="1434" t="s">
        <v>344</v>
      </c>
      <c r="E25" s="253" t="s">
        <v>343</v>
      </c>
      <c r="F25" s="254">
        <v>4459721939</v>
      </c>
      <c r="G25" s="255">
        <v>0</v>
      </c>
      <c r="H25" s="255">
        <v>4459721939</v>
      </c>
      <c r="I25" s="255">
        <v>0</v>
      </c>
      <c r="J25" s="255">
        <v>42932000</v>
      </c>
      <c r="K25" s="255">
        <v>0</v>
      </c>
      <c r="L25" s="254">
        <v>42932000</v>
      </c>
      <c r="M25" s="256">
        <v>4416789939</v>
      </c>
    </row>
    <row r="26" spans="1:13" x14ac:dyDescent="0.2">
      <c r="A26" s="1403"/>
      <c r="B26" s="1428"/>
      <c r="C26" s="1433"/>
      <c r="D26" s="1434"/>
      <c r="E26" s="253" t="s">
        <v>4970</v>
      </c>
      <c r="F26" s="257">
        <v>5423958273</v>
      </c>
      <c r="G26" s="257">
        <v>0</v>
      </c>
      <c r="H26" s="257">
        <v>5423958273</v>
      </c>
      <c r="I26" s="257">
        <v>0</v>
      </c>
      <c r="J26" s="257">
        <v>0</v>
      </c>
      <c r="K26" s="257">
        <v>1777877355</v>
      </c>
      <c r="L26" s="257">
        <v>1777877355</v>
      </c>
      <c r="M26" s="258">
        <v>3646080918</v>
      </c>
    </row>
    <row r="27" spans="1:13" ht="15" customHeight="1" x14ac:dyDescent="0.2">
      <c r="A27" s="1403"/>
      <c r="B27" s="1429">
        <v>289</v>
      </c>
      <c r="C27" s="1431" t="s">
        <v>4971</v>
      </c>
      <c r="D27" s="1407" t="s">
        <v>4948</v>
      </c>
      <c r="E27" s="253" t="s">
        <v>4972</v>
      </c>
      <c r="F27" s="257">
        <v>10333334</v>
      </c>
      <c r="G27" s="257">
        <v>0</v>
      </c>
      <c r="H27" s="257">
        <v>10333334</v>
      </c>
      <c r="I27" s="257">
        <v>0</v>
      </c>
      <c r="J27" s="257">
        <v>10000000</v>
      </c>
      <c r="K27" s="257">
        <v>0</v>
      </c>
      <c r="L27" s="257">
        <v>10000000</v>
      </c>
      <c r="M27" s="258">
        <v>333334</v>
      </c>
    </row>
    <row r="28" spans="1:13" x14ac:dyDescent="0.2">
      <c r="A28" s="1403"/>
      <c r="B28" s="1428"/>
      <c r="C28" s="1433"/>
      <c r="D28" s="1407"/>
      <c r="E28" s="253" t="s">
        <v>397</v>
      </c>
      <c r="F28" s="257">
        <v>0</v>
      </c>
      <c r="G28" s="257">
        <v>0</v>
      </c>
      <c r="H28" s="257">
        <v>0</v>
      </c>
      <c r="I28" s="257">
        <v>0</v>
      </c>
      <c r="J28" s="257">
        <v>0</v>
      </c>
      <c r="K28" s="257">
        <v>0</v>
      </c>
      <c r="L28" s="257">
        <v>0</v>
      </c>
      <c r="M28" s="258">
        <v>0</v>
      </c>
    </row>
    <row r="29" spans="1:13" ht="12.75" customHeight="1" x14ac:dyDescent="0.2">
      <c r="A29" s="1403"/>
      <c r="B29" s="253">
        <v>291</v>
      </c>
      <c r="C29" s="253" t="s">
        <v>4973</v>
      </c>
      <c r="D29" s="259" t="s">
        <v>344</v>
      </c>
      <c r="E29" s="253" t="s">
        <v>4974</v>
      </c>
      <c r="F29" s="257">
        <v>0</v>
      </c>
      <c r="G29" s="257">
        <v>0</v>
      </c>
      <c r="H29" s="257">
        <v>0</v>
      </c>
      <c r="I29" s="257">
        <v>0</v>
      </c>
      <c r="J29" s="257">
        <v>0</v>
      </c>
      <c r="K29" s="257">
        <v>0</v>
      </c>
      <c r="L29" s="257">
        <v>0</v>
      </c>
      <c r="M29" s="258">
        <v>0</v>
      </c>
    </row>
    <row r="30" spans="1:13" x14ac:dyDescent="0.2">
      <c r="A30" s="1403"/>
      <c r="B30" s="1429">
        <v>292</v>
      </c>
      <c r="C30" s="1431" t="s">
        <v>4975</v>
      </c>
      <c r="D30" s="1434" t="s">
        <v>4943</v>
      </c>
      <c r="E30" s="253" t="s">
        <v>283</v>
      </c>
      <c r="F30" s="257">
        <v>0</v>
      </c>
      <c r="G30" s="257">
        <v>0</v>
      </c>
      <c r="H30" s="257">
        <v>0</v>
      </c>
      <c r="I30" s="257">
        <v>0</v>
      </c>
      <c r="J30" s="257">
        <v>0</v>
      </c>
      <c r="K30" s="257">
        <v>0</v>
      </c>
      <c r="L30" s="257">
        <v>0</v>
      </c>
      <c r="M30" s="258">
        <v>0</v>
      </c>
    </row>
    <row r="31" spans="1:13" x14ac:dyDescent="0.2">
      <c r="A31" s="1403"/>
      <c r="B31" s="1430"/>
      <c r="C31" s="1432"/>
      <c r="D31" s="1434"/>
      <c r="E31" s="253" t="s">
        <v>4976</v>
      </c>
      <c r="F31" s="257">
        <v>0</v>
      </c>
      <c r="G31" s="257">
        <v>0</v>
      </c>
      <c r="H31" s="257">
        <v>0</v>
      </c>
      <c r="I31" s="257">
        <v>0</v>
      </c>
      <c r="J31" s="257">
        <v>0</v>
      </c>
      <c r="K31" s="257">
        <v>0</v>
      </c>
      <c r="L31" s="257">
        <v>0</v>
      </c>
      <c r="M31" s="258">
        <v>0</v>
      </c>
    </row>
    <row r="32" spans="1:13" x14ac:dyDescent="0.2">
      <c r="A32" s="1403"/>
      <c r="B32" s="1430"/>
      <c r="C32" s="1432"/>
      <c r="D32" s="1434"/>
      <c r="E32" s="253" t="s">
        <v>4977</v>
      </c>
      <c r="F32" s="257">
        <v>450773351</v>
      </c>
      <c r="G32" s="257">
        <v>19190000</v>
      </c>
      <c r="H32" s="257">
        <v>431583351</v>
      </c>
      <c r="I32" s="257">
        <v>0</v>
      </c>
      <c r="J32" s="257">
        <v>135148168</v>
      </c>
      <c r="K32" s="257">
        <v>93969438</v>
      </c>
      <c r="L32" s="257">
        <v>229117606</v>
      </c>
      <c r="M32" s="258">
        <v>202465745</v>
      </c>
    </row>
    <row r="33" spans="1:13" x14ac:dyDescent="0.2">
      <c r="A33" s="1403"/>
      <c r="B33" s="1430"/>
      <c r="C33" s="1432"/>
      <c r="D33" s="1434"/>
      <c r="E33" s="260" t="s">
        <v>269</v>
      </c>
      <c r="F33" s="257">
        <v>905426665</v>
      </c>
      <c r="G33" s="257">
        <v>49570000</v>
      </c>
      <c r="H33" s="257">
        <v>855856665</v>
      </c>
      <c r="I33" s="257">
        <v>0</v>
      </c>
      <c r="J33" s="257">
        <v>232710000</v>
      </c>
      <c r="K33" s="257">
        <v>104213333</v>
      </c>
      <c r="L33" s="261">
        <v>336923333</v>
      </c>
      <c r="M33" s="258">
        <v>518933332</v>
      </c>
    </row>
    <row r="34" spans="1:13" x14ac:dyDescent="0.2">
      <c r="A34" s="1403"/>
      <c r="B34" s="1430"/>
      <c r="C34" s="1432"/>
      <c r="D34" s="1434"/>
      <c r="E34" s="253" t="s">
        <v>4978</v>
      </c>
      <c r="F34" s="257">
        <v>1084564216</v>
      </c>
      <c r="G34" s="257">
        <v>0</v>
      </c>
      <c r="H34" s="257">
        <v>1084564216</v>
      </c>
      <c r="I34" s="257">
        <v>2850293</v>
      </c>
      <c r="J34" s="257">
        <v>166953847</v>
      </c>
      <c r="K34" s="257">
        <v>187497016</v>
      </c>
      <c r="L34" s="257">
        <v>357301156</v>
      </c>
      <c r="M34" s="258">
        <v>727263060</v>
      </c>
    </row>
    <row r="35" spans="1:13" x14ac:dyDescent="0.2">
      <c r="A35" s="1403"/>
      <c r="B35" s="1430"/>
      <c r="C35" s="1432"/>
      <c r="D35" s="1434"/>
      <c r="E35" s="253" t="s">
        <v>254</v>
      </c>
      <c r="F35" s="257">
        <v>0</v>
      </c>
      <c r="G35" s="257">
        <v>0</v>
      </c>
      <c r="H35" s="257">
        <v>0</v>
      </c>
      <c r="I35" s="257">
        <v>0</v>
      </c>
      <c r="J35" s="257">
        <v>0</v>
      </c>
      <c r="K35" s="257">
        <v>0</v>
      </c>
      <c r="L35" s="257">
        <v>0</v>
      </c>
      <c r="M35" s="258">
        <v>0</v>
      </c>
    </row>
    <row r="36" spans="1:13" x14ac:dyDescent="0.2">
      <c r="A36" s="1403"/>
      <c r="B36" s="1428"/>
      <c r="C36" s="1433"/>
      <c r="D36" s="1434"/>
      <c r="E36" s="253" t="s">
        <v>4979</v>
      </c>
      <c r="F36" s="257">
        <v>0</v>
      </c>
      <c r="G36" s="257">
        <v>0</v>
      </c>
      <c r="H36" s="257">
        <v>0</v>
      </c>
      <c r="I36" s="257">
        <v>0</v>
      </c>
      <c r="J36" s="257">
        <v>0</v>
      </c>
      <c r="K36" s="257">
        <v>0</v>
      </c>
      <c r="L36" s="257">
        <v>0</v>
      </c>
      <c r="M36" s="258">
        <v>0</v>
      </c>
    </row>
    <row r="37" spans="1:13" x14ac:dyDescent="0.2">
      <c r="A37" s="1403"/>
      <c r="B37" s="1429">
        <v>293</v>
      </c>
      <c r="C37" s="1431" t="s">
        <v>4980</v>
      </c>
      <c r="D37" s="1424" t="s">
        <v>4948</v>
      </c>
      <c r="E37" s="253" t="s">
        <v>390</v>
      </c>
      <c r="F37" s="261">
        <v>540620734</v>
      </c>
      <c r="G37" s="257">
        <v>0</v>
      </c>
      <c r="H37" s="257">
        <v>540620734</v>
      </c>
      <c r="I37" s="257">
        <v>0</v>
      </c>
      <c r="J37" s="257">
        <v>283109013</v>
      </c>
      <c r="K37" s="257">
        <v>129261322</v>
      </c>
      <c r="L37" s="261">
        <v>412370335</v>
      </c>
      <c r="M37" s="258">
        <v>128250399</v>
      </c>
    </row>
    <row r="38" spans="1:13" x14ac:dyDescent="0.2">
      <c r="A38" s="1403"/>
      <c r="B38" s="1430"/>
      <c r="C38" s="1432"/>
      <c r="D38" s="1425"/>
      <c r="E38" s="253" t="s">
        <v>4981</v>
      </c>
      <c r="F38" s="257">
        <v>3897513995</v>
      </c>
      <c r="G38" s="257">
        <v>0</v>
      </c>
      <c r="H38" s="257">
        <v>3897513995</v>
      </c>
      <c r="I38" s="257">
        <v>0</v>
      </c>
      <c r="J38" s="257">
        <v>0</v>
      </c>
      <c r="K38" s="257">
        <v>429489722</v>
      </c>
      <c r="L38" s="257">
        <v>429489722</v>
      </c>
      <c r="M38" s="258">
        <v>3468024273</v>
      </c>
    </row>
    <row r="39" spans="1:13" ht="12.75" customHeight="1" x14ac:dyDescent="0.2">
      <c r="A39" s="1403"/>
      <c r="B39" s="1428"/>
      <c r="C39" s="1433"/>
      <c r="D39" s="1426"/>
      <c r="E39" s="253" t="s">
        <v>421</v>
      </c>
      <c r="F39" s="257">
        <v>0</v>
      </c>
      <c r="G39" s="257">
        <v>0</v>
      </c>
      <c r="H39" s="257">
        <v>0</v>
      </c>
      <c r="I39" s="257">
        <v>0</v>
      </c>
      <c r="J39" s="257">
        <v>0</v>
      </c>
      <c r="K39" s="257">
        <v>0</v>
      </c>
      <c r="L39" s="257">
        <v>0</v>
      </c>
      <c r="M39" s="258">
        <v>0</v>
      </c>
    </row>
    <row r="40" spans="1:13" x14ac:dyDescent="0.2">
      <c r="A40" s="1403"/>
      <c r="B40" s="262">
        <v>294</v>
      </c>
      <c r="C40" s="259" t="s">
        <v>4982</v>
      </c>
      <c r="D40" s="1407" t="s">
        <v>4948</v>
      </c>
      <c r="E40" s="259" t="s">
        <v>4983</v>
      </c>
      <c r="F40" s="257">
        <v>6636995128</v>
      </c>
      <c r="G40" s="257">
        <v>0</v>
      </c>
      <c r="H40" s="257">
        <v>6636995128</v>
      </c>
      <c r="I40" s="257">
        <v>0</v>
      </c>
      <c r="J40" s="257">
        <v>0</v>
      </c>
      <c r="K40" s="257">
        <v>1580025696</v>
      </c>
      <c r="L40" s="257">
        <v>1580025696</v>
      </c>
      <c r="M40" s="258">
        <v>5056969432</v>
      </c>
    </row>
    <row r="41" spans="1:13" x14ac:dyDescent="0.2">
      <c r="A41" s="1403"/>
      <c r="B41" s="262">
        <v>296</v>
      </c>
      <c r="C41" s="253" t="s">
        <v>4984</v>
      </c>
      <c r="D41" s="1407"/>
      <c r="E41" s="253" t="s">
        <v>4985</v>
      </c>
      <c r="F41" s="257">
        <v>367820828</v>
      </c>
      <c r="G41" s="257">
        <v>13430000</v>
      </c>
      <c r="H41" s="257">
        <v>354390828</v>
      </c>
      <c r="I41" s="257">
        <v>0</v>
      </c>
      <c r="J41" s="257">
        <v>156517902</v>
      </c>
      <c r="K41" s="257">
        <v>86064327</v>
      </c>
      <c r="L41" s="257">
        <v>242582229</v>
      </c>
      <c r="M41" s="258">
        <v>111808599</v>
      </c>
    </row>
    <row r="42" spans="1:13" x14ac:dyDescent="0.2">
      <c r="A42" s="1403"/>
      <c r="B42" s="1429">
        <v>297</v>
      </c>
      <c r="C42" s="1431" t="s">
        <v>4986</v>
      </c>
      <c r="D42" s="1434" t="s">
        <v>4943</v>
      </c>
      <c r="E42" s="253" t="s">
        <v>4987</v>
      </c>
      <c r="F42" s="257">
        <v>748098733</v>
      </c>
      <c r="G42" s="257">
        <v>0</v>
      </c>
      <c r="H42" s="257">
        <v>748098733</v>
      </c>
      <c r="I42" s="257">
        <v>0</v>
      </c>
      <c r="J42" s="257">
        <v>51872067</v>
      </c>
      <c r="K42" s="257">
        <v>33100000</v>
      </c>
      <c r="L42" s="257">
        <v>84972067</v>
      </c>
      <c r="M42" s="258">
        <v>663126666</v>
      </c>
    </row>
    <row r="43" spans="1:13" x14ac:dyDescent="0.2">
      <c r="A43" s="1403"/>
      <c r="B43" s="1428"/>
      <c r="C43" s="1433"/>
      <c r="D43" s="1434"/>
      <c r="E43" s="253" t="s">
        <v>4988</v>
      </c>
      <c r="F43" s="257">
        <v>359222850</v>
      </c>
      <c r="G43" s="257">
        <v>0</v>
      </c>
      <c r="H43" s="257">
        <v>359222850</v>
      </c>
      <c r="I43" s="257">
        <v>28063505</v>
      </c>
      <c r="J43" s="257">
        <v>74571595</v>
      </c>
      <c r="K43" s="257">
        <v>51317550</v>
      </c>
      <c r="L43" s="257">
        <v>153952650</v>
      </c>
      <c r="M43" s="258">
        <v>205270200</v>
      </c>
    </row>
    <row r="44" spans="1:13" ht="13.5" thickBot="1" x14ac:dyDescent="0.25">
      <c r="A44" s="263"/>
      <c r="B44" s="264"/>
      <c r="C44" s="264"/>
      <c r="D44" s="264"/>
      <c r="E44" s="264"/>
      <c r="F44" s="265">
        <v>24885050046</v>
      </c>
      <c r="G44" s="265">
        <v>82190000</v>
      </c>
      <c r="H44" s="265">
        <v>24802860046</v>
      </c>
      <c r="I44" s="265">
        <v>30913798</v>
      </c>
      <c r="J44" s="265">
        <v>1153814592</v>
      </c>
      <c r="K44" s="265">
        <v>4472815759</v>
      </c>
      <c r="L44" s="265">
        <v>5657544149</v>
      </c>
      <c r="M44" s="266">
        <v>19145315897</v>
      </c>
    </row>
    <row r="45" spans="1:13" ht="13.5" thickBot="1" x14ac:dyDescent="0.25">
      <c r="A45" s="286"/>
      <c r="C45" s="287"/>
      <c r="D45" s="286"/>
      <c r="E45" s="286"/>
      <c r="F45" s="297"/>
      <c r="M45" s="267"/>
    </row>
    <row r="46" spans="1:13" x14ac:dyDescent="0.2">
      <c r="A46" s="1419" t="s">
        <v>4989</v>
      </c>
      <c r="B46" s="1421">
        <v>509</v>
      </c>
      <c r="C46" s="1421" t="s">
        <v>4990</v>
      </c>
      <c r="D46" s="1423" t="s">
        <v>164</v>
      </c>
      <c r="E46" s="268" t="s">
        <v>160</v>
      </c>
      <c r="F46" s="269">
        <v>1034776874</v>
      </c>
      <c r="G46" s="269">
        <f>+F46+F47</f>
        <v>3036079710</v>
      </c>
      <c r="H46" s="289">
        <f>+F46-G46</f>
        <v>-2001302836</v>
      </c>
      <c r="I46" s="269">
        <v>0</v>
      </c>
      <c r="J46" s="269">
        <v>0</v>
      </c>
      <c r="K46" s="292">
        <v>351035564</v>
      </c>
      <c r="L46" s="293">
        <f>+J46+K46</f>
        <v>351035564</v>
      </c>
      <c r="M46" s="294">
        <f>+H46-L46</f>
        <v>-2352338400</v>
      </c>
    </row>
    <row r="47" spans="1:13" x14ac:dyDescent="0.2">
      <c r="A47" s="1420"/>
      <c r="B47" s="1422"/>
      <c r="C47" s="1422"/>
      <c r="D47" s="1409"/>
      <c r="E47" s="271" t="s">
        <v>4991</v>
      </c>
      <c r="F47" s="257">
        <v>2001302836</v>
      </c>
      <c r="G47" s="257"/>
      <c r="H47" s="257">
        <f t="shared" ref="H47:H53" si="0">+F47-G47</f>
        <v>2001302836</v>
      </c>
      <c r="I47" s="257">
        <v>0</v>
      </c>
      <c r="J47" s="257">
        <v>445485558</v>
      </c>
      <c r="K47" s="257">
        <v>331104352</v>
      </c>
      <c r="L47" s="291">
        <f t="shared" ref="L47:L52" si="1">+J47+K47</f>
        <v>776589910</v>
      </c>
      <c r="M47" s="295">
        <f t="shared" ref="M47:M52" si="2">+H47-L47</f>
        <v>1224712926</v>
      </c>
    </row>
    <row r="48" spans="1:13" ht="12.75" customHeight="1" x14ac:dyDescent="0.2">
      <c r="A48" s="1420"/>
      <c r="B48" s="1422"/>
      <c r="C48" s="1422"/>
      <c r="D48" s="241" t="s">
        <v>184</v>
      </c>
      <c r="E48" s="227" t="s">
        <v>4992</v>
      </c>
      <c r="F48" s="257">
        <v>1348945476</v>
      </c>
      <c r="G48" s="257">
        <v>0</v>
      </c>
      <c r="H48" s="257">
        <f t="shared" si="0"/>
        <v>1348945476</v>
      </c>
      <c r="I48" s="257">
        <v>0</v>
      </c>
      <c r="J48" s="257">
        <v>169247286</v>
      </c>
      <c r="K48" s="257">
        <v>550876160</v>
      </c>
      <c r="L48" s="290">
        <f t="shared" si="1"/>
        <v>720123446</v>
      </c>
      <c r="M48" s="295">
        <f t="shared" si="2"/>
        <v>628822030</v>
      </c>
    </row>
    <row r="49" spans="1:13" x14ac:dyDescent="0.2">
      <c r="A49" s="1420"/>
      <c r="B49" s="1422"/>
      <c r="C49" s="1422"/>
      <c r="D49" s="288" t="s">
        <v>143</v>
      </c>
      <c r="E49" s="271" t="s">
        <v>4991</v>
      </c>
      <c r="F49" s="257">
        <v>779787974</v>
      </c>
      <c r="G49" s="257">
        <v>0</v>
      </c>
      <c r="H49" s="257">
        <f t="shared" si="0"/>
        <v>779787974</v>
      </c>
      <c r="I49" s="257">
        <v>0</v>
      </c>
      <c r="J49" s="257">
        <v>82200000</v>
      </c>
      <c r="K49" s="257">
        <v>51624361</v>
      </c>
      <c r="L49" s="290">
        <f t="shared" si="1"/>
        <v>133824361</v>
      </c>
      <c r="M49" s="295">
        <f t="shared" si="2"/>
        <v>645963613</v>
      </c>
    </row>
    <row r="50" spans="1:13" x14ac:dyDescent="0.2">
      <c r="A50" s="1420"/>
      <c r="B50" s="1422"/>
      <c r="C50" s="1422"/>
      <c r="D50" s="227" t="s">
        <v>210</v>
      </c>
      <c r="E50" s="271" t="s">
        <v>4991</v>
      </c>
      <c r="F50" s="257">
        <v>189354635</v>
      </c>
      <c r="G50" s="257">
        <v>0</v>
      </c>
      <c r="H50" s="257">
        <f t="shared" si="0"/>
        <v>189354635</v>
      </c>
      <c r="I50" s="257">
        <v>0</v>
      </c>
      <c r="J50" s="257">
        <v>69159674</v>
      </c>
      <c r="K50" s="257">
        <v>51351469</v>
      </c>
      <c r="L50" s="290">
        <f t="shared" si="1"/>
        <v>120511143</v>
      </c>
      <c r="M50" s="295">
        <f t="shared" si="2"/>
        <v>68843492</v>
      </c>
    </row>
    <row r="51" spans="1:13" x14ac:dyDescent="0.2">
      <c r="A51" s="1420"/>
      <c r="B51" s="1422"/>
      <c r="C51" s="1422"/>
      <c r="D51" s="227" t="s">
        <v>214</v>
      </c>
      <c r="E51" s="271" t="s">
        <v>4991</v>
      </c>
      <c r="F51" s="257">
        <v>986157067</v>
      </c>
      <c r="G51" s="257">
        <v>0</v>
      </c>
      <c r="H51" s="257">
        <f t="shared" si="0"/>
        <v>986157067</v>
      </c>
      <c r="I51" s="257">
        <v>0</v>
      </c>
      <c r="J51" s="257">
        <v>265945102</v>
      </c>
      <c r="K51" s="257">
        <v>244826741</v>
      </c>
      <c r="L51" s="290">
        <f t="shared" si="1"/>
        <v>510771843</v>
      </c>
      <c r="M51" s="295">
        <f t="shared" si="2"/>
        <v>475385224</v>
      </c>
    </row>
    <row r="52" spans="1:13" x14ac:dyDescent="0.2">
      <c r="A52" s="1402"/>
      <c r="B52" s="1422"/>
      <c r="C52" s="1422"/>
      <c r="D52" s="227" t="s">
        <v>206</v>
      </c>
      <c r="E52" s="271" t="s">
        <v>4991</v>
      </c>
      <c r="F52" s="257">
        <v>38133332</v>
      </c>
      <c r="G52" s="257">
        <v>0</v>
      </c>
      <c r="H52" s="296">
        <f t="shared" si="0"/>
        <v>38133332</v>
      </c>
      <c r="I52" s="257">
        <v>0</v>
      </c>
      <c r="J52" s="257">
        <v>12566666</v>
      </c>
      <c r="K52" s="257">
        <v>19716666</v>
      </c>
      <c r="L52" s="290">
        <f t="shared" si="1"/>
        <v>32283332</v>
      </c>
      <c r="M52" s="295">
        <f t="shared" si="2"/>
        <v>5850000</v>
      </c>
    </row>
    <row r="53" spans="1:13" ht="13.5" thickBot="1" x14ac:dyDescent="0.25">
      <c r="A53" s="230"/>
      <c r="B53" s="231"/>
      <c r="C53" s="231"/>
      <c r="D53" s="231"/>
      <c r="E53" s="231"/>
      <c r="F53" s="272">
        <f>SUM(F46:F52)</f>
        <v>6378458194</v>
      </c>
      <c r="G53" s="272">
        <v>0</v>
      </c>
      <c r="H53" s="272">
        <f t="shared" si="0"/>
        <v>6378458194</v>
      </c>
      <c r="I53" s="272">
        <v>0</v>
      </c>
      <c r="J53" s="272">
        <f>SUM(J46:J52)</f>
        <v>1044604286</v>
      </c>
      <c r="K53" s="272">
        <f>SUM(K46:K52)</f>
        <v>1600535313</v>
      </c>
      <c r="L53" s="272">
        <f>+J53+K53</f>
        <v>2645139599</v>
      </c>
      <c r="M53" s="272">
        <f>SUM(M46:M52)</f>
        <v>697238885</v>
      </c>
    </row>
    <row r="54" spans="1:13" ht="13.5" thickBot="1" x14ac:dyDescent="0.25">
      <c r="L54" s="273"/>
      <c r="M54" s="274">
        <v>0</v>
      </c>
    </row>
    <row r="55" spans="1:13" x14ac:dyDescent="0.2">
      <c r="A55" s="1445" t="s">
        <v>4993</v>
      </c>
      <c r="B55" s="1421">
        <v>278</v>
      </c>
      <c r="C55" s="1421" t="s">
        <v>4994</v>
      </c>
      <c r="D55" s="1412" t="s">
        <v>4953</v>
      </c>
      <c r="E55" s="268" t="s">
        <v>81</v>
      </c>
      <c r="F55" s="284">
        <v>318199601</v>
      </c>
      <c r="G55" s="269">
        <v>0</v>
      </c>
      <c r="H55" s="269">
        <v>318199601</v>
      </c>
      <c r="I55" s="269">
        <v>0</v>
      </c>
      <c r="J55" s="269">
        <v>0</v>
      </c>
      <c r="K55" s="269">
        <v>14629877</v>
      </c>
      <c r="L55" s="275">
        <v>14629877</v>
      </c>
      <c r="M55" s="270">
        <v>303569724</v>
      </c>
    </row>
    <row r="56" spans="1:13" x14ac:dyDescent="0.2">
      <c r="A56" s="1446"/>
      <c r="B56" s="1422"/>
      <c r="C56" s="1422"/>
      <c r="D56" s="1407"/>
      <c r="E56" s="271" t="s">
        <v>4995</v>
      </c>
      <c r="F56" s="257">
        <v>1231297370</v>
      </c>
      <c r="G56" s="257">
        <v>0</v>
      </c>
      <c r="H56" s="257">
        <v>1231297370</v>
      </c>
      <c r="I56" s="257">
        <v>0</v>
      </c>
      <c r="J56" s="257">
        <v>224383229</v>
      </c>
      <c r="K56" s="257">
        <v>88195896</v>
      </c>
      <c r="L56" s="257">
        <v>312579125</v>
      </c>
      <c r="M56" s="258">
        <v>918718245</v>
      </c>
    </row>
    <row r="57" spans="1:13" ht="12.75" customHeight="1" x14ac:dyDescent="0.2">
      <c r="A57" s="1446"/>
      <c r="B57" s="1422"/>
      <c r="C57" s="1422"/>
      <c r="D57" s="1407"/>
      <c r="E57" s="271" t="s">
        <v>4996</v>
      </c>
      <c r="F57" s="257">
        <v>383916527</v>
      </c>
      <c r="G57" s="257">
        <v>0</v>
      </c>
      <c r="H57" s="257">
        <v>383916527</v>
      </c>
      <c r="I57" s="257">
        <v>0</v>
      </c>
      <c r="J57" s="257">
        <v>190409230</v>
      </c>
      <c r="K57" s="257">
        <v>60903382</v>
      </c>
      <c r="L57" s="257">
        <v>251312612</v>
      </c>
      <c r="M57" s="258">
        <v>132603915</v>
      </c>
    </row>
    <row r="58" spans="1:13" x14ac:dyDescent="0.2">
      <c r="A58" s="1446"/>
      <c r="B58" s="1422"/>
      <c r="C58" s="1422"/>
      <c r="D58" s="1407"/>
      <c r="E58" s="227" t="s">
        <v>4997</v>
      </c>
      <c r="F58" s="257">
        <v>0</v>
      </c>
      <c r="G58" s="257">
        <v>0</v>
      </c>
      <c r="H58" s="257">
        <v>0</v>
      </c>
      <c r="I58" s="257">
        <v>0</v>
      </c>
      <c r="J58" s="257">
        <v>0</v>
      </c>
      <c r="K58" s="257">
        <v>0</v>
      </c>
      <c r="L58" s="257">
        <v>0</v>
      </c>
      <c r="M58" s="258">
        <v>0</v>
      </c>
    </row>
    <row r="59" spans="1:13" ht="13.5" thickBot="1" x14ac:dyDescent="0.25">
      <c r="A59" s="230"/>
      <c r="B59" s="231"/>
      <c r="C59" s="231"/>
      <c r="D59" s="231"/>
      <c r="E59" s="231"/>
      <c r="F59" s="232">
        <v>1933413498</v>
      </c>
      <c r="G59" s="232">
        <v>0</v>
      </c>
      <c r="H59" s="232">
        <v>1933413498</v>
      </c>
      <c r="I59" s="232">
        <v>0</v>
      </c>
      <c r="J59" s="232">
        <v>414792459</v>
      </c>
      <c r="K59" s="232">
        <v>163729155</v>
      </c>
      <c r="L59" s="232">
        <v>578521614</v>
      </c>
      <c r="M59" s="276">
        <v>1354891884</v>
      </c>
    </row>
    <row r="60" spans="1:13" ht="13.5" thickBot="1" x14ac:dyDescent="0.25">
      <c r="F60" s="285">
        <f>+F59+F13</f>
        <v>2000928130</v>
      </c>
      <c r="M60" s="274">
        <v>0</v>
      </c>
    </row>
    <row r="61" spans="1:13" x14ac:dyDescent="0.2">
      <c r="A61" s="1445" t="s">
        <v>4998</v>
      </c>
      <c r="B61" s="1421">
        <v>335</v>
      </c>
      <c r="C61" s="1421" t="s">
        <v>4999</v>
      </c>
      <c r="D61" s="1443" t="s">
        <v>4953</v>
      </c>
      <c r="E61" s="234" t="s">
        <v>113</v>
      </c>
      <c r="F61" s="269">
        <v>2475172690</v>
      </c>
      <c r="G61" s="269">
        <v>0</v>
      </c>
      <c r="H61" s="269">
        <v>2475172690</v>
      </c>
      <c r="I61" s="269">
        <v>0</v>
      </c>
      <c r="J61" s="269">
        <v>960000000</v>
      </c>
      <c r="K61" s="269">
        <v>470000000</v>
      </c>
      <c r="L61" s="269">
        <v>1430000000</v>
      </c>
      <c r="M61" s="270">
        <v>1045172690</v>
      </c>
    </row>
    <row r="62" spans="1:13" x14ac:dyDescent="0.2">
      <c r="A62" s="1446"/>
      <c r="B62" s="1422"/>
      <c r="C62" s="1422"/>
      <c r="D62" s="1444"/>
      <c r="E62" s="227" t="s">
        <v>5000</v>
      </c>
      <c r="F62" s="257">
        <v>245315690</v>
      </c>
      <c r="G62" s="257">
        <v>0</v>
      </c>
      <c r="H62" s="257">
        <v>245315690</v>
      </c>
      <c r="I62" s="257">
        <v>0</v>
      </c>
      <c r="J62" s="257">
        <v>117997808</v>
      </c>
      <c r="K62" s="257">
        <v>78520699</v>
      </c>
      <c r="L62" s="257">
        <v>196518507</v>
      </c>
      <c r="M62" s="258">
        <v>48797183</v>
      </c>
    </row>
    <row r="63" spans="1:13" ht="13.5" thickBot="1" x14ac:dyDescent="0.25">
      <c r="A63" s="230"/>
      <c r="B63" s="231"/>
      <c r="C63" s="231"/>
      <c r="D63" s="231"/>
      <c r="E63" s="232">
        <v>2720488380</v>
      </c>
      <c r="F63" s="232">
        <v>2720488380</v>
      </c>
      <c r="G63" s="232">
        <v>0</v>
      </c>
      <c r="H63" s="232">
        <v>2720488380</v>
      </c>
      <c r="I63" s="232">
        <v>0</v>
      </c>
      <c r="J63" s="232">
        <v>1077997808</v>
      </c>
      <c r="K63" s="232">
        <v>548520699</v>
      </c>
      <c r="L63" s="232">
        <v>1626518507</v>
      </c>
      <c r="M63" s="232">
        <v>1093969873</v>
      </c>
    </row>
    <row r="64" spans="1:13" ht="13.5" thickBot="1" x14ac:dyDescent="0.25">
      <c r="F64" s="285">
        <f>+F63+F16</f>
        <v>3050203442</v>
      </c>
      <c r="M64" s="274">
        <v>0</v>
      </c>
    </row>
    <row r="65" spans="1:13" x14ac:dyDescent="0.2">
      <c r="A65" s="1439" t="s">
        <v>5001</v>
      </c>
      <c r="B65" s="1441">
        <v>5</v>
      </c>
      <c r="C65" s="1441" t="s">
        <v>5002</v>
      </c>
      <c r="D65" s="1443" t="s">
        <v>4953</v>
      </c>
      <c r="E65" s="234" t="s">
        <v>5003</v>
      </c>
      <c r="F65" s="269">
        <v>400000000</v>
      </c>
      <c r="G65" s="269">
        <v>0</v>
      </c>
      <c r="H65" s="269">
        <v>400000000</v>
      </c>
      <c r="I65" s="269">
        <v>0</v>
      </c>
      <c r="J65" s="269">
        <v>390632270</v>
      </c>
      <c r="K65" s="269">
        <v>4276920</v>
      </c>
      <c r="L65" s="235">
        <v>394909190</v>
      </c>
      <c r="M65" s="270">
        <v>5090810</v>
      </c>
    </row>
    <row r="66" spans="1:13" x14ac:dyDescent="0.2">
      <c r="A66" s="1440"/>
      <c r="B66" s="1442"/>
      <c r="C66" s="1442"/>
      <c r="D66" s="1444"/>
      <c r="E66" s="227" t="s">
        <v>5004</v>
      </c>
      <c r="F66" s="257">
        <v>0</v>
      </c>
      <c r="G66" s="257">
        <v>0</v>
      </c>
      <c r="H66" s="257">
        <v>0</v>
      </c>
      <c r="I66" s="257">
        <v>0</v>
      </c>
      <c r="J66" s="257">
        <v>0</v>
      </c>
      <c r="K66" s="257">
        <v>0</v>
      </c>
      <c r="L66" s="227">
        <v>0</v>
      </c>
      <c r="M66" s="258">
        <v>0</v>
      </c>
    </row>
    <row r="67" spans="1:13" ht="13.5" thickBot="1" x14ac:dyDescent="0.25">
      <c r="A67" s="230"/>
      <c r="B67" s="231"/>
      <c r="C67" s="231"/>
      <c r="D67" s="231"/>
      <c r="E67" s="231"/>
      <c r="F67" s="232">
        <v>400000000</v>
      </c>
      <c r="G67" s="232">
        <v>0</v>
      </c>
      <c r="H67" s="232">
        <v>400000000</v>
      </c>
      <c r="I67" s="232">
        <v>0</v>
      </c>
      <c r="J67" s="232">
        <v>390632270</v>
      </c>
      <c r="K67" s="232">
        <v>4276920</v>
      </c>
      <c r="L67" s="232">
        <v>394909190</v>
      </c>
      <c r="M67" s="232">
        <v>5090810</v>
      </c>
    </row>
    <row r="69" spans="1:13" ht="15" x14ac:dyDescent="0.25">
      <c r="E69" s="277" t="s">
        <v>5005</v>
      </c>
      <c r="F69" s="278">
        <v>41653138944</v>
      </c>
      <c r="G69" s="278">
        <v>163686274</v>
      </c>
      <c r="H69" s="278">
        <v>41489452670</v>
      </c>
      <c r="I69" s="278">
        <v>56808986</v>
      </c>
      <c r="J69" s="278">
        <v>4529413967</v>
      </c>
      <c r="K69" s="278">
        <v>7139501548</v>
      </c>
      <c r="L69" s="278">
        <v>11725724501</v>
      </c>
      <c r="M69" s="278">
        <v>29763728169</v>
      </c>
    </row>
    <row r="70" spans="1:13" ht="3" customHeight="1" x14ac:dyDescent="0.2">
      <c r="E70" s="279"/>
      <c r="F70" s="280"/>
      <c r="G70" s="280"/>
      <c r="H70" s="280"/>
      <c r="I70" s="280"/>
      <c r="J70" s="280"/>
      <c r="K70" s="280"/>
      <c r="L70" s="280"/>
      <c r="M70" s="280"/>
    </row>
    <row r="71" spans="1:13" x14ac:dyDescent="0.2">
      <c r="E71" s="281" t="s">
        <v>5006</v>
      </c>
      <c r="F71" s="282">
        <v>3102982477</v>
      </c>
      <c r="G71" s="282"/>
      <c r="H71" s="282">
        <v>3102982477</v>
      </c>
      <c r="I71" s="282">
        <v>56808986</v>
      </c>
      <c r="J71" s="282">
        <v>391172201</v>
      </c>
      <c r="K71" s="282">
        <v>150919843</v>
      </c>
      <c r="L71" s="282">
        <v>1398284235</v>
      </c>
      <c r="M71" s="282">
        <v>1704698242</v>
      </c>
    </row>
    <row r="72" spans="1:13" ht="3" customHeight="1" x14ac:dyDescent="0.2">
      <c r="E72" s="279"/>
    </row>
    <row r="73" spans="1:13" ht="15" x14ac:dyDescent="0.25">
      <c r="E73" s="277" t="s">
        <v>5007</v>
      </c>
      <c r="F73" s="278">
        <v>44756121421</v>
      </c>
      <c r="G73" s="278">
        <v>163686274</v>
      </c>
      <c r="H73" s="278">
        <v>44592435147</v>
      </c>
      <c r="I73" s="278">
        <v>113617972</v>
      </c>
      <c r="J73" s="278">
        <v>4920586168</v>
      </c>
      <c r="K73" s="278">
        <v>7290421391</v>
      </c>
      <c r="L73" s="278">
        <v>13124008736</v>
      </c>
      <c r="M73" s="278">
        <v>31468426411</v>
      </c>
    </row>
    <row r="75" spans="1:13" x14ac:dyDescent="0.2">
      <c r="E75" s="283" t="s">
        <v>5008</v>
      </c>
    </row>
  </sheetData>
  <mergeCells count="53">
    <mergeCell ref="A65:A66"/>
    <mergeCell ref="B65:B66"/>
    <mergeCell ref="C65:C66"/>
    <mergeCell ref="D65:D66"/>
    <mergeCell ref="A55:A58"/>
    <mergeCell ref="B55:B58"/>
    <mergeCell ref="C55:C58"/>
    <mergeCell ref="D55:D58"/>
    <mergeCell ref="A61:A62"/>
    <mergeCell ref="B61:B62"/>
    <mergeCell ref="C61:C62"/>
    <mergeCell ref="D61:D62"/>
    <mergeCell ref="B42:B43"/>
    <mergeCell ref="C42:C43"/>
    <mergeCell ref="D42:D43"/>
    <mergeCell ref="B37:B39"/>
    <mergeCell ref="C37:C39"/>
    <mergeCell ref="E15:E16"/>
    <mergeCell ref="A18:A21"/>
    <mergeCell ref="B18:B21"/>
    <mergeCell ref="C18:C21"/>
    <mergeCell ref="B24:C24"/>
    <mergeCell ref="A46:A52"/>
    <mergeCell ref="B46:B52"/>
    <mergeCell ref="C46:C52"/>
    <mergeCell ref="D46:D47"/>
    <mergeCell ref="A25:A43"/>
    <mergeCell ref="D37:D39"/>
    <mergeCell ref="B25:B26"/>
    <mergeCell ref="B30:B36"/>
    <mergeCell ref="C30:C36"/>
    <mergeCell ref="D30:D36"/>
    <mergeCell ref="C25:C26"/>
    <mergeCell ref="D25:D26"/>
    <mergeCell ref="B27:B28"/>
    <mergeCell ref="C27:C28"/>
    <mergeCell ref="D27:D28"/>
    <mergeCell ref="D40:D41"/>
    <mergeCell ref="A10:A12"/>
    <mergeCell ref="B10:B12"/>
    <mergeCell ref="C10:C12"/>
    <mergeCell ref="D10:D12"/>
    <mergeCell ref="A15:A16"/>
    <mergeCell ref="B15:B16"/>
    <mergeCell ref="C15:C16"/>
    <mergeCell ref="D15:D16"/>
    <mergeCell ref="B1:C1"/>
    <mergeCell ref="A2:A7"/>
    <mergeCell ref="B2:B7"/>
    <mergeCell ref="C2:C7"/>
    <mergeCell ref="D2:D3"/>
    <mergeCell ref="D4:D5"/>
    <mergeCell ref="D6:D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E33"/>
  <sheetViews>
    <sheetView zoomScale="136" zoomScaleNormal="136" workbookViewId="0">
      <selection activeCell="G13" sqref="G13"/>
    </sheetView>
  </sheetViews>
  <sheetFormatPr baseColWidth="10" defaultColWidth="11.5703125" defaultRowHeight="15" x14ac:dyDescent="0.25"/>
  <cols>
    <col min="2" max="2" width="27.85546875" customWidth="1"/>
    <col min="3" max="3" width="18.5703125" customWidth="1"/>
    <col min="4" max="4" width="20.5703125" customWidth="1"/>
    <col min="5" max="5" width="15.140625" customWidth="1"/>
    <col min="6" max="6" width="16.42578125" customWidth="1"/>
    <col min="7" max="7" width="15.85546875" customWidth="1"/>
    <col min="8" max="8" width="20.85546875" customWidth="1"/>
    <col min="9" max="9" width="24.5703125" customWidth="1"/>
    <col min="10" max="10" width="108.85546875" customWidth="1"/>
    <col min="11" max="11" width="87.7109375" customWidth="1"/>
  </cols>
  <sheetData>
    <row r="1" spans="1:31" s="2" customFormat="1" ht="23.25" x14ac:dyDescent="0.35">
      <c r="A1" s="1447" t="s">
        <v>5009</v>
      </c>
      <c r="B1" s="1448"/>
      <c r="C1" s="1448"/>
      <c r="D1" s="1448"/>
      <c r="E1" s="1448"/>
      <c r="F1" s="1448"/>
      <c r="G1" s="1448"/>
      <c r="H1" s="1448"/>
      <c r="I1" s="1448"/>
      <c r="J1" s="1448"/>
      <c r="K1" s="1448"/>
      <c r="L1" s="1448"/>
      <c r="M1" s="1448"/>
      <c r="N1" s="1448"/>
      <c r="O1" s="1448"/>
      <c r="P1" s="1448"/>
      <c r="Q1" s="1448"/>
      <c r="R1" s="1448"/>
      <c r="S1" s="1448"/>
      <c r="T1" s="1448"/>
      <c r="U1" s="1448"/>
      <c r="V1" s="1448"/>
      <c r="W1" s="1448"/>
      <c r="X1" s="1448"/>
      <c r="Y1" s="1448"/>
      <c r="Z1" s="1448"/>
      <c r="AA1" s="1448"/>
      <c r="AB1" s="1448"/>
      <c r="AC1" s="1448"/>
      <c r="AD1" s="1448"/>
      <c r="AE1" s="1448"/>
    </row>
    <row r="2" spans="1:31" s="2" customFormat="1" ht="23.25" x14ac:dyDescent="0.35">
      <c r="A2" s="1447" t="s">
        <v>5010</v>
      </c>
      <c r="B2" s="1448"/>
      <c r="C2" s="1448"/>
      <c r="D2" s="1448"/>
      <c r="E2" s="1448"/>
      <c r="F2" s="1448"/>
      <c r="G2" s="1448"/>
      <c r="H2" s="1448"/>
      <c r="I2" s="1448"/>
      <c r="J2" s="1448"/>
      <c r="K2" s="1448"/>
      <c r="L2" s="1448"/>
      <c r="M2" s="1448"/>
      <c r="N2" s="1448"/>
      <c r="O2" s="1448"/>
      <c r="P2" s="1448"/>
      <c r="Q2" s="1448"/>
      <c r="R2" s="1448"/>
      <c r="S2" s="1448"/>
      <c r="T2" s="1448"/>
      <c r="U2" s="1448"/>
      <c r="V2" s="1448"/>
      <c r="W2" s="1448"/>
      <c r="X2" s="1448"/>
      <c r="Y2" s="1448"/>
      <c r="Z2" s="1448"/>
      <c r="AA2" s="1448"/>
      <c r="AB2" s="1448"/>
      <c r="AC2" s="1448"/>
      <c r="AD2" s="1448"/>
      <c r="AE2" s="1448"/>
    </row>
    <row r="3" spans="1:31" s="2" customFormat="1" ht="23.25" x14ac:dyDescent="0.35">
      <c r="A3" s="1447" t="s">
        <v>5011</v>
      </c>
      <c r="B3" s="1448"/>
      <c r="C3" s="1448"/>
      <c r="D3" s="1448"/>
      <c r="E3" s="1448"/>
      <c r="F3" s="1448"/>
      <c r="G3" s="1448"/>
      <c r="H3" s="1448"/>
      <c r="I3" s="1448"/>
      <c r="J3" s="1448"/>
      <c r="K3" s="1448"/>
      <c r="L3" s="1448"/>
      <c r="M3" s="1448"/>
      <c r="N3" s="1448"/>
      <c r="O3" s="1448"/>
      <c r="P3" s="1448"/>
      <c r="Q3" s="1448"/>
      <c r="R3" s="1448"/>
      <c r="S3" s="1448"/>
      <c r="T3" s="1448"/>
      <c r="U3" s="1448"/>
      <c r="V3" s="1448"/>
      <c r="W3" s="1448"/>
      <c r="X3" s="1448"/>
      <c r="Y3" s="1448"/>
      <c r="Z3" s="1448"/>
      <c r="AA3" s="1448"/>
      <c r="AB3" s="1448"/>
      <c r="AC3" s="1448"/>
      <c r="AD3" s="1448"/>
      <c r="AE3" s="1448"/>
    </row>
    <row r="4" spans="1:31" s="2" customFormat="1" ht="23.25" x14ac:dyDescent="0.35">
      <c r="A4" s="189" t="s">
        <v>5012</v>
      </c>
      <c r="B4" s="190" t="s">
        <v>5013</v>
      </c>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row>
    <row r="5" spans="1:31" s="2" customFormat="1" x14ac:dyDescent="0.25"/>
    <row r="6" spans="1:31" s="2" customFormat="1" ht="15.75" thickBot="1" x14ac:dyDescent="0.3"/>
    <row r="7" spans="1:31" ht="63.75" thickBot="1" x14ac:dyDescent="0.3">
      <c r="A7" s="191" t="s">
        <v>4930</v>
      </c>
      <c r="B7" s="192" t="s">
        <v>5014</v>
      </c>
      <c r="C7" s="192" t="s">
        <v>5015</v>
      </c>
      <c r="D7" s="192" t="s">
        <v>5016</v>
      </c>
      <c r="E7" s="192" t="s">
        <v>5017</v>
      </c>
      <c r="F7" s="192" t="s">
        <v>5018</v>
      </c>
      <c r="G7" s="192" t="s">
        <v>5019</v>
      </c>
      <c r="H7" s="192" t="s">
        <v>5020</v>
      </c>
      <c r="I7" s="193" t="s">
        <v>5021</v>
      </c>
      <c r="J7" s="194" t="s">
        <v>5022</v>
      </c>
      <c r="K7" s="194" t="s">
        <v>5023</v>
      </c>
    </row>
    <row r="8" spans="1:31" ht="93" customHeight="1" x14ac:dyDescent="0.25">
      <c r="A8" s="195">
        <v>7628</v>
      </c>
      <c r="B8" s="196" t="s">
        <v>5024</v>
      </c>
      <c r="C8" s="197">
        <v>12591966000</v>
      </c>
      <c r="D8" s="197">
        <v>458448851</v>
      </c>
      <c r="E8" s="198">
        <f t="shared" ref="E8:E20" si="0">D8/C8</f>
        <v>3.6408043906725925E-2</v>
      </c>
      <c r="F8" s="198">
        <v>1</v>
      </c>
      <c r="G8" s="198">
        <v>1.2E-2</v>
      </c>
      <c r="H8" s="198">
        <f>G8/F8</f>
        <v>1.2E-2</v>
      </c>
      <c r="I8" s="199">
        <v>0.2024</v>
      </c>
      <c r="J8" s="200" t="s">
        <v>5025</v>
      </c>
      <c r="K8" s="200"/>
    </row>
    <row r="9" spans="1:31" ht="75" customHeight="1" x14ac:dyDescent="0.25">
      <c r="A9" s="149">
        <v>7660</v>
      </c>
      <c r="B9" s="200" t="s">
        <v>5026</v>
      </c>
      <c r="C9" s="201">
        <v>100000000</v>
      </c>
      <c r="D9" s="201">
        <v>0</v>
      </c>
      <c r="E9" s="202">
        <f t="shared" si="0"/>
        <v>0</v>
      </c>
      <c r="F9" s="203">
        <v>3396</v>
      </c>
      <c r="G9" s="203">
        <v>163</v>
      </c>
      <c r="H9" s="202">
        <f>G9/F9</f>
        <v>4.7997644287396939E-2</v>
      </c>
      <c r="I9" s="204">
        <v>0.1242</v>
      </c>
      <c r="J9" s="200" t="s">
        <v>5027</v>
      </c>
      <c r="K9" s="200"/>
    </row>
    <row r="10" spans="1:31" ht="106.5" customHeight="1" x14ac:dyDescent="0.25">
      <c r="A10" s="149">
        <v>7644</v>
      </c>
      <c r="B10" s="200" t="s">
        <v>37</v>
      </c>
      <c r="C10" s="201">
        <v>6894681000</v>
      </c>
      <c r="D10" s="201">
        <v>0</v>
      </c>
      <c r="E10" s="205">
        <f t="shared" si="0"/>
        <v>0</v>
      </c>
      <c r="F10" s="203">
        <v>475</v>
      </c>
      <c r="G10" s="203">
        <v>0</v>
      </c>
      <c r="H10" s="202">
        <v>0</v>
      </c>
      <c r="I10" s="199">
        <v>0</v>
      </c>
      <c r="J10" s="200" t="s">
        <v>5028</v>
      </c>
      <c r="K10" s="200" t="s">
        <v>5029</v>
      </c>
    </row>
    <row r="11" spans="1:31" ht="102.95" customHeight="1" x14ac:dyDescent="0.25">
      <c r="A11" s="149">
        <v>7569</v>
      </c>
      <c r="B11" s="200" t="s">
        <v>342</v>
      </c>
      <c r="C11" s="201">
        <v>18327495650</v>
      </c>
      <c r="D11" s="201">
        <v>563008205</v>
      </c>
      <c r="E11" s="202">
        <f t="shared" si="0"/>
        <v>3.0719320072516289E-2</v>
      </c>
      <c r="F11" s="203">
        <v>1</v>
      </c>
      <c r="G11" s="206">
        <v>8.3000000000000001E-4</v>
      </c>
      <c r="H11" s="206">
        <f t="shared" ref="H11:H16" si="1">G11/F11</f>
        <v>8.3000000000000001E-4</v>
      </c>
      <c r="I11" s="204">
        <v>0.20019999999999999</v>
      </c>
      <c r="J11" s="200" t="s">
        <v>5030</v>
      </c>
      <c r="K11" s="200"/>
    </row>
    <row r="12" spans="1:31" ht="75" customHeight="1" x14ac:dyDescent="0.25">
      <c r="A12" s="149">
        <v>7569</v>
      </c>
      <c r="B12" s="200" t="s">
        <v>5031</v>
      </c>
      <c r="C12" s="201">
        <v>294780000</v>
      </c>
      <c r="D12" s="201">
        <v>0</v>
      </c>
      <c r="E12" s="202">
        <f t="shared" si="0"/>
        <v>0</v>
      </c>
      <c r="F12" s="203">
        <v>1</v>
      </c>
      <c r="G12" s="203">
        <v>0</v>
      </c>
      <c r="H12" s="202">
        <f t="shared" si="1"/>
        <v>0</v>
      </c>
      <c r="I12" s="204">
        <v>0.2</v>
      </c>
      <c r="J12" s="200" t="s">
        <v>5032</v>
      </c>
      <c r="K12" s="200"/>
    </row>
    <row r="13" spans="1:31" ht="75" customHeight="1" x14ac:dyDescent="0.25">
      <c r="A13" s="149">
        <v>7569</v>
      </c>
      <c r="B13" s="200" t="s">
        <v>378</v>
      </c>
      <c r="C13" s="201">
        <v>300000000</v>
      </c>
      <c r="D13" s="201">
        <v>108350</v>
      </c>
      <c r="E13" s="202">
        <f t="shared" si="0"/>
        <v>3.6116666666666665E-4</v>
      </c>
      <c r="F13" s="207">
        <v>0.76</v>
      </c>
      <c r="G13" s="207">
        <v>0</v>
      </c>
      <c r="H13" s="202">
        <f t="shared" si="1"/>
        <v>0</v>
      </c>
      <c r="I13" s="204">
        <v>0.24</v>
      </c>
      <c r="J13" s="200" t="s">
        <v>5033</v>
      </c>
      <c r="K13" s="200"/>
    </row>
    <row r="14" spans="1:31" ht="75" customHeight="1" x14ac:dyDescent="0.25">
      <c r="A14" s="149">
        <v>7569</v>
      </c>
      <c r="B14" s="200" t="s">
        <v>223</v>
      </c>
      <c r="C14" s="201">
        <v>34853488000</v>
      </c>
      <c r="D14" s="201">
        <v>867444627</v>
      </c>
      <c r="E14" s="202">
        <f t="shared" si="0"/>
        <v>2.4888316113440355E-2</v>
      </c>
      <c r="F14" s="205">
        <v>1</v>
      </c>
      <c r="G14" s="202">
        <v>8.3299999999999999E-2</v>
      </c>
      <c r="H14" s="202">
        <f t="shared" si="1"/>
        <v>8.3299999999999999E-2</v>
      </c>
      <c r="I14" s="204">
        <v>0.2167</v>
      </c>
      <c r="J14" s="200" t="s">
        <v>5034</v>
      </c>
      <c r="K14" s="200"/>
    </row>
    <row r="15" spans="1:31" ht="135" customHeight="1" x14ac:dyDescent="0.25">
      <c r="A15" s="149">
        <v>7569</v>
      </c>
      <c r="B15" s="200" t="s">
        <v>389</v>
      </c>
      <c r="C15" s="201">
        <v>42861454668</v>
      </c>
      <c r="D15" s="201">
        <v>0</v>
      </c>
      <c r="E15" s="202">
        <f t="shared" si="0"/>
        <v>0</v>
      </c>
      <c r="F15" s="205">
        <v>1</v>
      </c>
      <c r="G15" s="202">
        <v>8.3299999999999999E-2</v>
      </c>
      <c r="H15" s="202">
        <f t="shared" si="1"/>
        <v>8.3299999999999999E-2</v>
      </c>
      <c r="I15" s="204">
        <v>0.2167</v>
      </c>
      <c r="J15" s="200" t="s">
        <v>5035</v>
      </c>
      <c r="K15" s="200"/>
    </row>
    <row r="16" spans="1:31" ht="75" customHeight="1" x14ac:dyDescent="0.25">
      <c r="A16" s="149">
        <v>7569</v>
      </c>
      <c r="B16" s="200" t="s">
        <v>426</v>
      </c>
      <c r="C16" s="201">
        <v>19330561332</v>
      </c>
      <c r="D16" s="201">
        <v>0</v>
      </c>
      <c r="E16" s="202">
        <f t="shared" si="0"/>
        <v>0</v>
      </c>
      <c r="F16" s="205">
        <v>1</v>
      </c>
      <c r="G16" s="202">
        <v>8.3299999999999999E-2</v>
      </c>
      <c r="H16" s="202">
        <f t="shared" si="1"/>
        <v>8.3299999999999999E-2</v>
      </c>
      <c r="I16" s="204">
        <v>0.2167</v>
      </c>
      <c r="J16" s="200" t="s">
        <v>5036</v>
      </c>
      <c r="K16" s="200"/>
    </row>
    <row r="17" spans="1:11" ht="75" customHeight="1" x14ac:dyDescent="0.25">
      <c r="A17" s="149">
        <v>7569</v>
      </c>
      <c r="B17" s="200" t="s">
        <v>358</v>
      </c>
      <c r="C17" s="201">
        <v>1711170350</v>
      </c>
      <c r="D17" s="201">
        <v>57000000</v>
      </c>
      <c r="E17" s="202">
        <f t="shared" si="0"/>
        <v>3.3310535096637221E-2</v>
      </c>
      <c r="F17" s="203">
        <v>1</v>
      </c>
      <c r="G17" s="207">
        <v>0</v>
      </c>
      <c r="H17" s="202">
        <v>0</v>
      </c>
      <c r="I17" s="204">
        <v>0</v>
      </c>
      <c r="J17" s="200" t="s">
        <v>5033</v>
      </c>
      <c r="K17" s="200" t="s">
        <v>5037</v>
      </c>
    </row>
    <row r="18" spans="1:11" ht="75" customHeight="1" x14ac:dyDescent="0.25">
      <c r="A18" s="149">
        <v>7569</v>
      </c>
      <c r="B18" s="200" t="s">
        <v>288</v>
      </c>
      <c r="C18" s="201">
        <v>1925838000</v>
      </c>
      <c r="D18" s="201">
        <v>48300000</v>
      </c>
      <c r="E18" s="202">
        <f t="shared" si="0"/>
        <v>2.5079991151903742E-2</v>
      </c>
      <c r="F18" s="205">
        <v>1</v>
      </c>
      <c r="G18" s="202">
        <v>8.3299999999999999E-2</v>
      </c>
      <c r="H18" s="202">
        <f>G18/F18</f>
        <v>8.3299999999999999E-2</v>
      </c>
      <c r="I18" s="204">
        <v>0.2167</v>
      </c>
      <c r="J18" s="200" t="s">
        <v>5038</v>
      </c>
      <c r="K18" s="200"/>
    </row>
    <row r="19" spans="1:11" ht="75" customHeight="1" x14ac:dyDescent="0.25">
      <c r="A19" s="149">
        <v>7652</v>
      </c>
      <c r="B19" s="200" t="s">
        <v>5039</v>
      </c>
      <c r="C19" s="201">
        <v>7926512000</v>
      </c>
      <c r="D19" s="201">
        <v>96984000</v>
      </c>
      <c r="E19" s="202">
        <f t="shared" si="0"/>
        <v>1.2235394332336846E-2</v>
      </c>
      <c r="F19" s="203">
        <v>23258</v>
      </c>
      <c r="G19" s="203">
        <v>1390</v>
      </c>
      <c r="H19" s="202">
        <f>G19/F19</f>
        <v>5.9764382148078082E-2</v>
      </c>
      <c r="I19" s="204">
        <v>0.10639999999999999</v>
      </c>
      <c r="J19" s="200" t="s">
        <v>5040</v>
      </c>
      <c r="K19" s="200"/>
    </row>
    <row r="20" spans="1:11" x14ac:dyDescent="0.25">
      <c r="B20" s="208" t="s">
        <v>5041</v>
      </c>
      <c r="C20" s="209">
        <f>SUM(C8:C19)</f>
        <v>147117947000</v>
      </c>
      <c r="D20" s="209">
        <f>SUM(D8:D19)</f>
        <v>2091294033</v>
      </c>
      <c r="E20" s="210">
        <f t="shared" si="0"/>
        <v>1.4215084397554841E-2</v>
      </c>
    </row>
    <row r="21" spans="1:11" s="2" customFormat="1" x14ac:dyDescent="0.25">
      <c r="A21" s="132" t="s">
        <v>5042</v>
      </c>
      <c r="B21" s="132"/>
    </row>
    <row r="22" spans="1:11" s="2" customFormat="1" x14ac:dyDescent="0.25"/>
    <row r="23" spans="1:11" s="2" customFormat="1" x14ac:dyDescent="0.25"/>
    <row r="24" spans="1:11" s="2" customFormat="1" x14ac:dyDescent="0.25"/>
    <row r="25" spans="1:11" s="2" customFormat="1" x14ac:dyDescent="0.25"/>
    <row r="26" spans="1:11" s="2" customFormat="1" x14ac:dyDescent="0.25"/>
    <row r="27" spans="1:11" s="2" customFormat="1" x14ac:dyDescent="0.25"/>
    <row r="28" spans="1:11" s="2" customFormat="1" x14ac:dyDescent="0.25"/>
    <row r="29" spans="1:11" s="2" customFormat="1" x14ac:dyDescent="0.25"/>
    <row r="30" spans="1:11" s="2" customFormat="1" x14ac:dyDescent="0.25"/>
    <row r="31" spans="1:11" s="2" customFormat="1" x14ac:dyDescent="0.25"/>
    <row r="32" spans="1:11" s="2" customFormat="1" x14ac:dyDescent="0.25"/>
    <row r="33" s="2" customFormat="1" x14ac:dyDescent="0.25"/>
  </sheetData>
  <autoFilter ref="A7:AE21" xr:uid="{00000000-0009-0000-0000-00000D000000}"/>
  <mergeCells count="3">
    <mergeCell ref="A1:AE1"/>
    <mergeCell ref="A2:AE2"/>
    <mergeCell ref="A3:AE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3"/>
  <sheetViews>
    <sheetView workbookViewId="0">
      <selection activeCell="B10" sqref="B10"/>
    </sheetView>
  </sheetViews>
  <sheetFormatPr baseColWidth="10" defaultColWidth="11.42578125" defaultRowHeight="12.75" x14ac:dyDescent="0.2"/>
  <cols>
    <col min="1" max="1" width="19.7109375" style="885" bestFit="1" customWidth="1"/>
    <col min="2" max="2" width="17.85546875" style="885" bestFit="1" customWidth="1"/>
    <col min="3" max="3" width="75.28515625" style="986" customWidth="1"/>
    <col min="4" max="4" width="13.85546875" style="885" bestFit="1" customWidth="1"/>
    <col min="5" max="5" width="13.85546875" style="987" customWidth="1"/>
    <col min="6" max="6" width="55.85546875" style="986" customWidth="1"/>
    <col min="7" max="7" width="11.42578125" style="969"/>
    <col min="8" max="16384" width="11.42578125" style="885"/>
  </cols>
  <sheetData>
    <row r="1" spans="1:7" x14ac:dyDescent="0.2">
      <c r="A1" s="1394" t="s">
        <v>444</v>
      </c>
      <c r="B1" s="1394"/>
      <c r="C1" s="1394"/>
      <c r="D1" s="1394"/>
      <c r="E1" s="1394"/>
      <c r="F1" s="1394"/>
    </row>
    <row r="2" spans="1:7" x14ac:dyDescent="0.2">
      <c r="A2" s="970" t="s">
        <v>445</v>
      </c>
      <c r="B2" s="970" t="s">
        <v>446</v>
      </c>
      <c r="C2" s="971" t="s">
        <v>447</v>
      </c>
      <c r="D2" s="970" t="s">
        <v>448</v>
      </c>
      <c r="E2" s="972" t="s">
        <v>449</v>
      </c>
      <c r="F2" s="971" t="s">
        <v>450</v>
      </c>
    </row>
    <row r="3" spans="1:7" ht="38.25" x14ac:dyDescent="0.2">
      <c r="A3" s="973" t="s">
        <v>451</v>
      </c>
      <c r="B3" s="973" t="s">
        <v>452</v>
      </c>
      <c r="C3" s="974" t="s">
        <v>453</v>
      </c>
      <c r="D3" s="973" t="s">
        <v>184</v>
      </c>
      <c r="E3" s="975">
        <v>4000000</v>
      </c>
      <c r="F3" s="974" t="s">
        <v>454</v>
      </c>
      <c r="G3" s="969" t="s">
        <v>455</v>
      </c>
    </row>
    <row r="4" spans="1:7" ht="38.25" x14ac:dyDescent="0.2">
      <c r="A4" s="973" t="s">
        <v>451</v>
      </c>
      <c r="B4" s="973" t="s">
        <v>456</v>
      </c>
      <c r="C4" s="974" t="s">
        <v>457</v>
      </c>
      <c r="D4" s="973" t="s">
        <v>458</v>
      </c>
      <c r="E4" s="975">
        <v>20000000</v>
      </c>
      <c r="F4" s="974" t="s">
        <v>454</v>
      </c>
      <c r="G4" s="969" t="s">
        <v>459</v>
      </c>
    </row>
    <row r="5" spans="1:7" ht="51" x14ac:dyDescent="0.2">
      <c r="A5" s="973" t="s">
        <v>451</v>
      </c>
      <c r="B5" s="973" t="s">
        <v>460</v>
      </c>
      <c r="C5" s="974" t="s">
        <v>461</v>
      </c>
      <c r="D5" s="973" t="s">
        <v>458</v>
      </c>
      <c r="E5" s="975">
        <v>23500000</v>
      </c>
      <c r="F5" s="974" t="s">
        <v>462</v>
      </c>
      <c r="G5" s="969" t="s">
        <v>459</v>
      </c>
    </row>
    <row r="6" spans="1:7" ht="63.75" x14ac:dyDescent="0.2">
      <c r="A6" s="973" t="s">
        <v>463</v>
      </c>
      <c r="B6" s="973" t="s">
        <v>464</v>
      </c>
      <c r="C6" s="974" t="s">
        <v>465</v>
      </c>
      <c r="D6" s="973" t="s">
        <v>466</v>
      </c>
      <c r="E6" s="975">
        <v>574189853</v>
      </c>
      <c r="F6" s="974" t="s">
        <v>467</v>
      </c>
      <c r="G6" s="969" t="s">
        <v>455</v>
      </c>
    </row>
    <row r="7" spans="1:7" ht="51" x14ac:dyDescent="0.2">
      <c r="A7" s="973" t="s">
        <v>463</v>
      </c>
      <c r="B7" s="973" t="s">
        <v>468</v>
      </c>
      <c r="C7" s="976" t="s">
        <v>469</v>
      </c>
      <c r="D7" s="973" t="s">
        <v>470</v>
      </c>
      <c r="E7" s="975">
        <v>171538714</v>
      </c>
      <c r="F7" s="974" t="s">
        <v>471</v>
      </c>
      <c r="G7" s="969" t="s">
        <v>455</v>
      </c>
    </row>
    <row r="8" spans="1:7" ht="89.25" x14ac:dyDescent="0.2">
      <c r="A8" s="973" t="s">
        <v>463</v>
      </c>
      <c r="B8" s="973" t="s">
        <v>472</v>
      </c>
      <c r="C8" s="976" t="s">
        <v>473</v>
      </c>
      <c r="D8" s="973" t="s">
        <v>474</v>
      </c>
      <c r="E8" s="975">
        <v>275000000</v>
      </c>
      <c r="F8" s="974" t="s">
        <v>475</v>
      </c>
      <c r="G8" s="969" t="s">
        <v>455</v>
      </c>
    </row>
    <row r="9" spans="1:7" s="982" customFormat="1" ht="24" x14ac:dyDescent="0.2">
      <c r="A9" s="977" t="s">
        <v>476</v>
      </c>
      <c r="B9" s="977" t="s">
        <v>477</v>
      </c>
      <c r="C9" s="978" t="s">
        <v>478</v>
      </c>
      <c r="D9" s="977" t="s">
        <v>479</v>
      </c>
      <c r="E9" s="979">
        <v>1800000000</v>
      </c>
      <c r="F9" s="980" t="s">
        <v>475</v>
      </c>
      <c r="G9" s="981" t="s">
        <v>455</v>
      </c>
    </row>
    <row r="10" spans="1:7" ht="48" x14ac:dyDescent="0.2">
      <c r="A10" s="983" t="s">
        <v>480</v>
      </c>
      <c r="B10" s="983" t="s">
        <v>481</v>
      </c>
      <c r="C10" s="984" t="s">
        <v>482</v>
      </c>
      <c r="D10" s="983" t="s">
        <v>479</v>
      </c>
      <c r="E10" s="985">
        <v>400000000</v>
      </c>
      <c r="F10" s="974" t="s">
        <v>483</v>
      </c>
      <c r="G10" s="969" t="s">
        <v>455</v>
      </c>
    </row>
    <row r="11" spans="1:7" ht="48" x14ac:dyDescent="0.2">
      <c r="A11" s="983" t="s">
        <v>480</v>
      </c>
      <c r="B11" s="983" t="s">
        <v>484</v>
      </c>
      <c r="C11" s="984" t="s">
        <v>485</v>
      </c>
      <c r="D11" s="983" t="s">
        <v>184</v>
      </c>
      <c r="E11" s="985">
        <v>250000000</v>
      </c>
      <c r="F11" s="974" t="s">
        <v>475</v>
      </c>
      <c r="G11" s="969" t="s">
        <v>486</v>
      </c>
    </row>
    <row r="12" spans="1:7" s="982" customFormat="1" ht="36" x14ac:dyDescent="0.2">
      <c r="A12" s="977" t="s">
        <v>480</v>
      </c>
      <c r="B12" s="977" t="s">
        <v>487</v>
      </c>
      <c r="C12" s="978" t="s">
        <v>488</v>
      </c>
      <c r="D12" s="977" t="s">
        <v>479</v>
      </c>
      <c r="E12" s="979">
        <v>6113277404</v>
      </c>
      <c r="F12" s="980" t="s">
        <v>489</v>
      </c>
      <c r="G12" s="981" t="s">
        <v>455</v>
      </c>
    </row>
    <row r="13" spans="1:7" x14ac:dyDescent="0.2">
      <c r="E13" s="987">
        <f>SUM(E3:E12)</f>
        <v>9631505971</v>
      </c>
    </row>
  </sheetData>
  <autoFilter ref="A2:F12" xr:uid="{00000000-0009-0000-0000-000001000000}"/>
  <mergeCells count="1">
    <mergeCell ref="A1: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7"/>
  <sheetViews>
    <sheetView workbookViewId="0">
      <selection activeCell="F5" sqref="F5"/>
    </sheetView>
  </sheetViews>
  <sheetFormatPr baseColWidth="10" defaultColWidth="11.42578125" defaultRowHeight="11.25" x14ac:dyDescent="0.2"/>
  <cols>
    <col min="1" max="1" width="8" style="905" bestFit="1" customWidth="1"/>
    <col min="2" max="3" width="34.42578125" style="905" customWidth="1"/>
    <col min="4" max="4" width="11.42578125" style="905"/>
    <col min="5" max="6" width="12" style="905" bestFit="1" customWidth="1"/>
    <col min="7" max="7" width="11.42578125" style="907"/>
    <col min="8" max="8" width="11.42578125" style="905"/>
    <col min="9" max="9" width="11.42578125" style="908"/>
    <col min="10" max="16384" width="11.42578125" style="905"/>
  </cols>
  <sheetData>
    <row r="2" spans="1:9" s="885" customFormat="1" ht="12.75" x14ac:dyDescent="0.2">
      <c r="B2" s="912" t="s">
        <v>490</v>
      </c>
      <c r="C2" s="912" t="s">
        <v>491</v>
      </c>
      <c r="G2" s="913"/>
      <c r="I2" s="914"/>
    </row>
    <row r="3" spans="1:9" s="885" customFormat="1" ht="13.5" thickBot="1" x14ac:dyDescent="0.25">
      <c r="B3" s="915"/>
      <c r="G3" s="913"/>
      <c r="I3" s="914"/>
    </row>
    <row r="4" spans="1:9" ht="23.25" thickBot="1" x14ac:dyDescent="0.25">
      <c r="A4" s="944" t="s">
        <v>12</v>
      </c>
      <c r="B4" s="944" t="s">
        <v>492</v>
      </c>
      <c r="C4" s="945" t="s">
        <v>493</v>
      </c>
      <c r="D4" s="945" t="s">
        <v>494</v>
      </c>
      <c r="E4" s="945" t="s">
        <v>495</v>
      </c>
      <c r="F4" s="946" t="s">
        <v>496</v>
      </c>
      <c r="G4" s="909" t="s">
        <v>497</v>
      </c>
      <c r="H4" s="910" t="s">
        <v>498</v>
      </c>
      <c r="I4" s="911" t="s">
        <v>499</v>
      </c>
    </row>
    <row r="5" spans="1:9" s="937" customFormat="1" ht="45" x14ac:dyDescent="0.2">
      <c r="A5" s="916">
        <v>292</v>
      </c>
      <c r="B5" s="947" t="s">
        <v>254</v>
      </c>
      <c r="C5" s="948" t="s">
        <v>500</v>
      </c>
      <c r="D5" s="948" t="s">
        <v>43</v>
      </c>
      <c r="E5" s="949">
        <v>58000000</v>
      </c>
      <c r="F5" s="950"/>
      <c r="G5" s="941">
        <v>58000000</v>
      </c>
      <c r="H5" s="917" t="s">
        <v>256</v>
      </c>
      <c r="I5" s="918">
        <f>G5-E5</f>
        <v>0</v>
      </c>
    </row>
    <row r="6" spans="1:9" s="937" customFormat="1" ht="78.75" x14ac:dyDescent="0.2">
      <c r="A6" s="922">
        <v>292</v>
      </c>
      <c r="B6" s="906" t="s">
        <v>269</v>
      </c>
      <c r="C6" s="919" t="s">
        <v>500</v>
      </c>
      <c r="D6" s="919" t="s">
        <v>43</v>
      </c>
      <c r="E6" s="920">
        <v>238595000</v>
      </c>
      <c r="F6" s="951"/>
      <c r="G6" s="942">
        <v>238595000</v>
      </c>
      <c r="H6" s="923" t="s">
        <v>334</v>
      </c>
      <c r="I6" s="924">
        <f>G6-E6</f>
        <v>0</v>
      </c>
    </row>
    <row r="7" spans="1:9" ht="57" thickBot="1" x14ac:dyDescent="0.25">
      <c r="A7" s="927">
        <v>292</v>
      </c>
      <c r="B7" s="952" t="s">
        <v>224</v>
      </c>
      <c r="C7" s="925" t="s">
        <v>501</v>
      </c>
      <c r="D7" s="925" t="s">
        <v>43</v>
      </c>
      <c r="E7" s="926"/>
      <c r="F7" s="933">
        <f>+E5+E6</f>
        <v>296595000</v>
      </c>
      <c r="G7" s="943">
        <f>144893578</f>
        <v>144893578</v>
      </c>
      <c r="H7" s="928" t="s">
        <v>229</v>
      </c>
      <c r="I7" s="929">
        <f>G7+F7</f>
        <v>441488578</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J6"/>
  <sheetViews>
    <sheetView workbookViewId="0">
      <selection activeCell="G5" sqref="G5"/>
    </sheetView>
  </sheetViews>
  <sheetFormatPr baseColWidth="10" defaultColWidth="11.42578125" defaultRowHeight="11.25" x14ac:dyDescent="0.2"/>
  <cols>
    <col min="1" max="1" width="11.42578125" style="905"/>
    <col min="2" max="3" width="34.42578125" style="905" customWidth="1"/>
    <col min="4" max="4" width="11.42578125" style="905"/>
    <col min="5" max="6" width="12" style="905" bestFit="1" customWidth="1"/>
    <col min="7" max="7" width="12.5703125" style="907" bestFit="1" customWidth="1"/>
    <col min="8" max="8" width="26.7109375" style="905" customWidth="1"/>
    <col min="9" max="9" width="11.42578125" style="908"/>
    <col min="10" max="16384" width="11.42578125" style="905"/>
  </cols>
  <sheetData>
    <row r="2" spans="1:10" ht="12.75" x14ac:dyDescent="0.2">
      <c r="B2" s="912" t="s">
        <v>490</v>
      </c>
      <c r="C2" s="912" t="s">
        <v>502</v>
      </c>
    </row>
    <row r="3" spans="1:10" ht="13.5" thickBot="1" x14ac:dyDescent="0.25">
      <c r="B3" s="915"/>
      <c r="C3" s="885"/>
    </row>
    <row r="4" spans="1:10" ht="23.25" thickBot="1" x14ac:dyDescent="0.25">
      <c r="A4" s="944" t="s">
        <v>12</v>
      </c>
      <c r="B4" s="944" t="s">
        <v>492</v>
      </c>
      <c r="C4" s="945" t="s">
        <v>493</v>
      </c>
      <c r="D4" s="945" t="s">
        <v>494</v>
      </c>
      <c r="E4" s="945" t="s">
        <v>495</v>
      </c>
      <c r="F4" s="946" t="s">
        <v>496</v>
      </c>
      <c r="G4" s="930" t="s">
        <v>497</v>
      </c>
      <c r="H4" s="931" t="s">
        <v>498</v>
      </c>
      <c r="I4" s="932" t="s">
        <v>499</v>
      </c>
    </row>
    <row r="5" spans="1:10" s="939" customFormat="1" ht="112.5" x14ac:dyDescent="0.2">
      <c r="A5" s="916">
        <v>292</v>
      </c>
      <c r="B5" s="948" t="s">
        <v>257</v>
      </c>
      <c r="C5" s="948" t="s">
        <v>503</v>
      </c>
      <c r="D5" s="948" t="s">
        <v>43</v>
      </c>
      <c r="E5" s="949">
        <v>220188240</v>
      </c>
      <c r="F5" s="950"/>
      <c r="G5" s="941">
        <v>220211840</v>
      </c>
      <c r="H5" s="917" t="s">
        <v>504</v>
      </c>
      <c r="I5" s="918">
        <f>G5-E5</f>
        <v>23600</v>
      </c>
      <c r="J5" s="917" t="s">
        <v>505</v>
      </c>
    </row>
    <row r="6" spans="1:10" s="940" customFormat="1" ht="57" thickBot="1" x14ac:dyDescent="0.25">
      <c r="A6" s="927">
        <v>292</v>
      </c>
      <c r="B6" s="925" t="s">
        <v>224</v>
      </c>
      <c r="C6" s="925" t="s">
        <v>501</v>
      </c>
      <c r="D6" s="925" t="s">
        <v>43</v>
      </c>
      <c r="E6" s="953"/>
      <c r="F6" s="933">
        <f>+E5</f>
        <v>220188240</v>
      </c>
      <c r="G6" s="943">
        <v>450408276</v>
      </c>
      <c r="H6" s="928" t="s">
        <v>229</v>
      </c>
      <c r="I6" s="929">
        <f>G6+F6</f>
        <v>670596516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K14"/>
  <sheetViews>
    <sheetView topLeftCell="A9" workbookViewId="0">
      <selection activeCell="E15" sqref="E15"/>
    </sheetView>
  </sheetViews>
  <sheetFormatPr baseColWidth="10" defaultColWidth="11.42578125" defaultRowHeight="11.25" x14ac:dyDescent="0.2"/>
  <cols>
    <col min="1" max="1" width="11.42578125" style="907"/>
    <col min="2" max="2" width="34.42578125" style="954" customWidth="1"/>
    <col min="3" max="3" width="34.42578125" style="905" customWidth="1"/>
    <col min="4" max="4" width="11.42578125" style="905"/>
    <col min="5" max="6" width="12" style="905" bestFit="1" customWidth="1"/>
    <col min="7" max="7" width="12.5703125" style="907" bestFit="1" customWidth="1"/>
    <col min="8" max="8" width="26.7109375" style="905" customWidth="1"/>
    <col min="9" max="9" width="12.5703125" style="908" bestFit="1" customWidth="1"/>
    <col min="10" max="16384" width="11.42578125" style="905"/>
  </cols>
  <sheetData>
    <row r="2" spans="1:11" ht="12.75" x14ac:dyDescent="0.2">
      <c r="B2" s="955" t="s">
        <v>490</v>
      </c>
      <c r="C2" s="912" t="s">
        <v>506</v>
      </c>
    </row>
    <row r="3" spans="1:11" ht="13.5" thickBot="1" x14ac:dyDescent="0.25">
      <c r="B3" s="956"/>
      <c r="C3" s="885"/>
    </row>
    <row r="4" spans="1:11" ht="23.25" thickBot="1" x14ac:dyDescent="0.25">
      <c r="A4" s="957" t="s">
        <v>12</v>
      </c>
      <c r="B4" s="958" t="s">
        <v>492</v>
      </c>
      <c r="C4" s="945" t="s">
        <v>493</v>
      </c>
      <c r="D4" s="945" t="s">
        <v>494</v>
      </c>
      <c r="E4" s="945" t="s">
        <v>495</v>
      </c>
      <c r="F4" s="946" t="s">
        <v>496</v>
      </c>
      <c r="G4" s="930" t="s">
        <v>497</v>
      </c>
      <c r="H4" s="931" t="s">
        <v>498</v>
      </c>
      <c r="I4" s="932" t="s">
        <v>499</v>
      </c>
    </row>
    <row r="5" spans="1:11" s="939" customFormat="1" ht="45" x14ac:dyDescent="0.2">
      <c r="A5" s="916">
        <v>292</v>
      </c>
      <c r="B5" s="947" t="s">
        <v>283</v>
      </c>
      <c r="C5" s="948" t="s">
        <v>507</v>
      </c>
      <c r="D5" s="948" t="s">
        <v>43</v>
      </c>
      <c r="E5" s="959">
        <v>8155333</v>
      </c>
      <c r="F5" s="960"/>
      <c r="G5" s="934">
        <v>8155333</v>
      </c>
      <c r="H5" s="917" t="s">
        <v>284</v>
      </c>
      <c r="I5" s="964">
        <f>G5-E5</f>
        <v>0</v>
      </c>
    </row>
    <row r="6" spans="1:11" s="939" customFormat="1" ht="56.25" x14ac:dyDescent="0.2">
      <c r="A6" s="922">
        <v>292</v>
      </c>
      <c r="B6" s="906" t="s">
        <v>236</v>
      </c>
      <c r="C6" s="919" t="s">
        <v>508</v>
      </c>
      <c r="D6" s="919" t="s">
        <v>43</v>
      </c>
      <c r="E6" s="961">
        <v>248323333</v>
      </c>
      <c r="F6" s="962"/>
      <c r="G6" s="936">
        <v>207914739</v>
      </c>
      <c r="H6" s="923" t="s">
        <v>509</v>
      </c>
      <c r="I6" s="965">
        <f>G6-E6</f>
        <v>-40408594</v>
      </c>
      <c r="J6" s="967" t="s">
        <v>505</v>
      </c>
      <c r="K6" s="968"/>
    </row>
    <row r="7" spans="1:11" s="939" customFormat="1" ht="67.5" x14ac:dyDescent="0.2">
      <c r="A7" s="922">
        <v>292</v>
      </c>
      <c r="B7" s="906" t="s">
        <v>269</v>
      </c>
      <c r="C7" s="919" t="s">
        <v>510</v>
      </c>
      <c r="D7" s="919" t="s">
        <v>43</v>
      </c>
      <c r="E7" s="961">
        <v>13558000</v>
      </c>
      <c r="F7" s="962"/>
      <c r="G7" s="936">
        <v>62891334</v>
      </c>
      <c r="H7" s="923" t="s">
        <v>271</v>
      </c>
      <c r="I7" s="965">
        <f>G7-E7</f>
        <v>49333334</v>
      </c>
      <c r="J7" s="967" t="s">
        <v>505</v>
      </c>
      <c r="K7" s="968"/>
    </row>
    <row r="8" spans="1:11" s="939" customFormat="1" ht="45" x14ac:dyDescent="0.2">
      <c r="A8" s="922">
        <v>292</v>
      </c>
      <c r="B8" s="906" t="s">
        <v>254</v>
      </c>
      <c r="C8" s="919" t="s">
        <v>511</v>
      </c>
      <c r="D8" s="919" t="s">
        <v>43</v>
      </c>
      <c r="E8" s="961">
        <v>21233333</v>
      </c>
      <c r="F8" s="921"/>
      <c r="G8" s="936">
        <v>21233333</v>
      </c>
      <c r="H8" s="923" t="s">
        <v>275</v>
      </c>
      <c r="I8" s="965">
        <f>E8-G8</f>
        <v>0</v>
      </c>
    </row>
    <row r="9" spans="1:11" s="939" customFormat="1" ht="67.5" x14ac:dyDescent="0.2">
      <c r="A9" s="922">
        <v>297</v>
      </c>
      <c r="B9" s="906" t="s">
        <v>289</v>
      </c>
      <c r="C9" s="919" t="s">
        <v>507</v>
      </c>
      <c r="D9" s="919" t="s">
        <v>43</v>
      </c>
      <c r="E9" s="961">
        <v>264926666</v>
      </c>
      <c r="F9" s="921"/>
      <c r="G9" s="936">
        <v>264926666</v>
      </c>
      <c r="H9" s="923" t="s">
        <v>290</v>
      </c>
      <c r="I9" s="965">
        <f>G9-E9</f>
        <v>0</v>
      </c>
    </row>
    <row r="10" spans="1:11" s="939" customFormat="1" ht="56.25" x14ac:dyDescent="0.2">
      <c r="A10" s="922">
        <v>297</v>
      </c>
      <c r="B10" s="906" t="s">
        <v>294</v>
      </c>
      <c r="C10" s="919" t="s">
        <v>507</v>
      </c>
      <c r="D10" s="919" t="s">
        <v>43</v>
      </c>
      <c r="E10" s="961">
        <v>7730000</v>
      </c>
      <c r="F10" s="921"/>
      <c r="G10" s="936">
        <v>31580000</v>
      </c>
      <c r="H10" s="923" t="s">
        <v>295</v>
      </c>
      <c r="I10" s="965">
        <f>G10-E10</f>
        <v>23850000</v>
      </c>
      <c r="J10" s="967" t="s">
        <v>505</v>
      </c>
      <c r="K10" s="968"/>
    </row>
    <row r="11" spans="1:11" s="939" customFormat="1" ht="45" x14ac:dyDescent="0.2">
      <c r="A11" s="922">
        <v>292</v>
      </c>
      <c r="B11" s="906" t="s">
        <v>257</v>
      </c>
      <c r="C11" s="919" t="s">
        <v>507</v>
      </c>
      <c r="D11" s="919" t="s">
        <v>43</v>
      </c>
      <c r="E11" s="961">
        <v>30000000</v>
      </c>
      <c r="F11" s="921"/>
      <c r="G11" s="936">
        <v>30000000</v>
      </c>
      <c r="H11" s="923" t="s">
        <v>260</v>
      </c>
      <c r="I11" s="965">
        <f>G11-E11</f>
        <v>0</v>
      </c>
    </row>
    <row r="12" spans="1:11" s="939" customFormat="1" ht="45" x14ac:dyDescent="0.2">
      <c r="A12" s="922">
        <v>292</v>
      </c>
      <c r="B12" s="906" t="s">
        <v>233</v>
      </c>
      <c r="C12" s="919" t="s">
        <v>507</v>
      </c>
      <c r="D12" s="919" t="s">
        <v>43</v>
      </c>
      <c r="E12" s="961">
        <v>44163256</v>
      </c>
      <c r="F12" s="921"/>
      <c r="G12" s="936">
        <v>61863256</v>
      </c>
      <c r="H12" s="923" t="s">
        <v>279</v>
      </c>
      <c r="I12" s="965">
        <f>G12-E12</f>
        <v>17700000</v>
      </c>
      <c r="J12" s="967" t="s">
        <v>505</v>
      </c>
    </row>
    <row r="13" spans="1:11" s="938" customFormat="1" ht="57" thickBot="1" x14ac:dyDescent="0.25">
      <c r="A13" s="927">
        <v>292</v>
      </c>
      <c r="B13" s="952" t="s">
        <v>224</v>
      </c>
      <c r="C13" s="925" t="s">
        <v>507</v>
      </c>
      <c r="D13" s="925" t="s">
        <v>43</v>
      </c>
      <c r="E13" s="953"/>
      <c r="F13" s="963">
        <f>SUM(E5:E12)</f>
        <v>638089921</v>
      </c>
      <c r="G13" s="935">
        <v>682841016</v>
      </c>
      <c r="H13" s="928" t="s">
        <v>229</v>
      </c>
      <c r="I13" s="966">
        <f>G13+F13</f>
        <v>1320930937</v>
      </c>
      <c r="J13" s="967" t="s">
        <v>505</v>
      </c>
    </row>
    <row r="14" spans="1:11" ht="22.5" x14ac:dyDescent="0.2">
      <c r="F14" s="967" t="s">
        <v>505</v>
      </c>
      <c r="G14" s="96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dimension ref="A1:AS336"/>
  <sheetViews>
    <sheetView topLeftCell="R1" zoomScale="70" zoomScaleNormal="70" workbookViewId="0">
      <pane ySplit="5" topLeftCell="A99" activePane="bottomLeft" state="frozen"/>
      <selection activeCell="S4" sqref="S4"/>
      <selection pane="bottomLeft" activeCell="Z18" sqref="Z18:Z101"/>
    </sheetView>
  </sheetViews>
  <sheetFormatPr baseColWidth="10" defaultColWidth="11.5703125" defaultRowHeight="15" x14ac:dyDescent="0.25"/>
  <cols>
    <col min="1" max="1" width="30.42578125" bestFit="1" customWidth="1"/>
    <col min="2" max="2" width="27.7109375" bestFit="1" customWidth="1"/>
    <col min="3" max="3" width="20.7109375" bestFit="1" customWidth="1"/>
    <col min="4" max="4" width="39.140625" style="331" customWidth="1"/>
    <col min="5" max="5" width="44.42578125" style="331" customWidth="1"/>
    <col min="6" max="6" width="42.140625" customWidth="1"/>
    <col min="7" max="7" width="24.5703125" hidden="1" customWidth="1"/>
    <col min="8" max="8" width="19.28515625" hidden="1" customWidth="1"/>
    <col min="9" max="9" width="19.7109375" hidden="1" customWidth="1"/>
    <col min="10" max="10" width="20.28515625" hidden="1" customWidth="1"/>
    <col min="11" max="13" width="20.28515625" customWidth="1"/>
    <col min="14" max="14" width="35.5703125" customWidth="1"/>
    <col min="15" max="15" width="33.7109375" style="2" customWidth="1"/>
    <col min="16" max="16" width="42.42578125" customWidth="1"/>
    <col min="17" max="17" width="59.85546875" style="885" customWidth="1"/>
    <col min="18" max="19" width="42.42578125" style="885" customWidth="1"/>
    <col min="20" max="20" width="30.42578125" customWidth="1"/>
    <col min="21" max="21" width="21.7109375" customWidth="1"/>
    <col min="22" max="22" width="22.28515625" customWidth="1"/>
    <col min="23" max="23" width="21.140625" customWidth="1"/>
    <col min="24" max="24" width="23" style="128" customWidth="1"/>
    <col min="25" max="25" width="27.140625" style="128" customWidth="1"/>
    <col min="26" max="26" width="24.140625" style="130" customWidth="1"/>
    <col min="27" max="27" width="11.5703125" style="129" customWidth="1"/>
    <col min="28" max="28" width="28" bestFit="1" customWidth="1"/>
    <col min="29" max="29" width="21.42578125" style="131" customWidth="1"/>
    <col min="43" max="43" width="19.85546875" bestFit="1" customWidth="1"/>
    <col min="44" max="44" width="18.5703125" bestFit="1" customWidth="1"/>
    <col min="45" max="45" width="11.5703125" bestFit="1" customWidth="1"/>
  </cols>
  <sheetData>
    <row r="1" spans="1:29" s="2" customFormat="1" ht="35.25" customHeight="1" x14ac:dyDescent="0.3">
      <c r="A1" s="306" t="s">
        <v>512</v>
      </c>
      <c r="D1" s="852"/>
      <c r="E1" s="852"/>
      <c r="F1" s="7"/>
      <c r="G1" s="7"/>
      <c r="H1" s="7"/>
      <c r="I1" s="7"/>
      <c r="J1" s="8"/>
      <c r="K1" s="9"/>
      <c r="L1" s="10"/>
      <c r="M1" s="10"/>
      <c r="N1" s="10"/>
      <c r="O1" s="11"/>
      <c r="P1" s="12"/>
      <c r="Q1" s="863"/>
      <c r="R1" s="863"/>
      <c r="S1" s="863"/>
      <c r="T1" s="11"/>
      <c r="X1" s="13"/>
      <c r="Y1" s="13">
        <f>+X1-X2</f>
        <v>0</v>
      </c>
      <c r="Z1" s="13"/>
      <c r="AA1" s="14"/>
    </row>
    <row r="2" spans="1:29" s="2" customFormat="1" ht="27.75" customHeight="1" x14ac:dyDescent="0.25">
      <c r="D2" s="852"/>
      <c r="E2" s="852"/>
      <c r="F2" s="9"/>
      <c r="G2" s="9"/>
      <c r="H2" s="9"/>
      <c r="I2" s="9"/>
      <c r="J2" s="15"/>
      <c r="K2" s="9"/>
      <c r="L2" s="10"/>
      <c r="M2" s="10"/>
      <c r="N2" s="10"/>
      <c r="O2" s="11"/>
      <c r="P2" s="12"/>
      <c r="Q2" s="863"/>
      <c r="R2" s="863"/>
      <c r="S2" s="863"/>
      <c r="T2" s="11"/>
      <c r="X2" s="13"/>
      <c r="Y2" s="13"/>
      <c r="Z2" s="13"/>
      <c r="AA2" s="14"/>
    </row>
    <row r="3" spans="1:29" s="2" customFormat="1" ht="20.25" customHeight="1" x14ac:dyDescent="0.25">
      <c r="D3" s="852"/>
      <c r="E3" s="852"/>
      <c r="F3" s="16"/>
      <c r="G3" s="1393" t="s">
        <v>3</v>
      </c>
      <c r="H3" s="1393"/>
      <c r="I3" s="1393"/>
      <c r="J3" s="17"/>
      <c r="K3" s="17"/>
      <c r="L3" s="1393" t="s">
        <v>4</v>
      </c>
      <c r="M3" s="1393"/>
      <c r="N3" s="1393"/>
      <c r="O3" s="18"/>
      <c r="P3" s="775" t="s">
        <v>5</v>
      </c>
      <c r="Q3" s="864"/>
      <c r="R3" s="864"/>
      <c r="S3" s="864"/>
      <c r="T3" s="20" t="s">
        <v>7</v>
      </c>
      <c r="X3" s="13"/>
      <c r="Y3" s="13"/>
      <c r="Z3" s="13"/>
      <c r="AA3" s="14"/>
    </row>
    <row r="4" spans="1:29" s="2" customFormat="1" ht="15.75" thickBot="1" x14ac:dyDescent="0.3">
      <c r="D4" s="852"/>
      <c r="E4" s="852"/>
      <c r="F4" s="736"/>
      <c r="G4" s="737"/>
      <c r="H4" s="737"/>
      <c r="I4" s="737"/>
      <c r="J4" s="736"/>
      <c r="K4" s="736"/>
      <c r="L4" s="737"/>
      <c r="M4" s="737"/>
      <c r="N4" s="737"/>
      <c r="O4" s="304"/>
      <c r="P4" s="305"/>
      <c r="Q4" s="864"/>
      <c r="R4" s="864"/>
      <c r="S4" s="864"/>
      <c r="T4" s="20"/>
      <c r="X4" s="13"/>
      <c r="Y4" s="13"/>
      <c r="Z4" s="13"/>
      <c r="AA4" s="14"/>
    </row>
    <row r="5" spans="1:29" s="30" customFormat="1" ht="45" customHeight="1" thickBot="1" x14ac:dyDescent="0.3">
      <c r="A5" s="738" t="s">
        <v>9</v>
      </c>
      <c r="B5" s="739" t="s">
        <v>10</v>
      </c>
      <c r="C5" s="739" t="s">
        <v>11</v>
      </c>
      <c r="D5" s="740" t="s">
        <v>12</v>
      </c>
      <c r="E5" s="741" t="s">
        <v>13</v>
      </c>
      <c r="F5" s="739" t="s">
        <v>14</v>
      </c>
      <c r="G5" s="742" t="s">
        <v>15</v>
      </c>
      <c r="H5" s="801" t="s">
        <v>16</v>
      </c>
      <c r="I5" s="742" t="s">
        <v>17</v>
      </c>
      <c r="J5" s="743" t="s">
        <v>18</v>
      </c>
      <c r="K5" s="743" t="s">
        <v>19</v>
      </c>
      <c r="L5" s="744" t="s">
        <v>15</v>
      </c>
      <c r="M5" s="744" t="s">
        <v>16</v>
      </c>
      <c r="N5" s="744" t="s">
        <v>17</v>
      </c>
      <c r="O5" s="745" t="s">
        <v>20</v>
      </c>
      <c r="P5" s="746" t="s">
        <v>21</v>
      </c>
      <c r="Q5" s="865" t="s">
        <v>22</v>
      </c>
      <c r="R5" s="865" t="s">
        <v>23</v>
      </c>
      <c r="S5" s="865" t="s">
        <v>24</v>
      </c>
      <c r="T5" s="747" t="s">
        <v>25</v>
      </c>
      <c r="U5" s="748" t="s">
        <v>26</v>
      </c>
      <c r="V5" s="748" t="s">
        <v>27</v>
      </c>
      <c r="W5" s="748" t="s">
        <v>28</v>
      </c>
      <c r="X5" s="749" t="s">
        <v>29</v>
      </c>
      <c r="Y5" s="749" t="s">
        <v>30</v>
      </c>
      <c r="Z5" s="750" t="s">
        <v>31</v>
      </c>
      <c r="AA5" s="751" t="s">
        <v>32</v>
      </c>
      <c r="AB5" s="748" t="s">
        <v>33</v>
      </c>
      <c r="AC5" s="752" t="s">
        <v>34</v>
      </c>
    </row>
    <row r="6" spans="1:29" s="40" customFormat="1" ht="113.25" hidden="1" customHeight="1" x14ac:dyDescent="0.25">
      <c r="A6" s="753" t="s">
        <v>35</v>
      </c>
      <c r="B6" s="754" t="s">
        <v>36</v>
      </c>
      <c r="C6" s="755">
        <v>2020110010169</v>
      </c>
      <c r="D6" s="753" t="s">
        <v>37</v>
      </c>
      <c r="E6" s="753" t="s">
        <v>38</v>
      </c>
      <c r="F6" s="753" t="s">
        <v>39</v>
      </c>
      <c r="G6" s="756" t="s">
        <v>40</v>
      </c>
      <c r="H6" s="756" t="s">
        <v>41</v>
      </c>
      <c r="I6" s="757" t="s">
        <v>42</v>
      </c>
      <c r="J6" s="160" t="s">
        <v>43</v>
      </c>
      <c r="K6" s="160" t="s">
        <v>43</v>
      </c>
      <c r="L6" s="160" t="s">
        <v>44</v>
      </c>
      <c r="M6" s="758" t="s">
        <v>45</v>
      </c>
      <c r="N6" s="753" t="s">
        <v>71</v>
      </c>
      <c r="O6" s="759" t="s">
        <v>47</v>
      </c>
      <c r="P6" s="760" t="s">
        <v>48</v>
      </c>
      <c r="Q6" s="828" t="s">
        <v>513</v>
      </c>
      <c r="R6" s="829" t="s">
        <v>50</v>
      </c>
      <c r="S6" s="760"/>
      <c r="T6" s="343">
        <v>1000000000</v>
      </c>
      <c r="U6" s="575">
        <v>1000000000</v>
      </c>
      <c r="V6" s="575">
        <v>-311807097</v>
      </c>
      <c r="W6" s="434">
        <f>+U6+V6</f>
        <v>688192903</v>
      </c>
      <c r="X6" s="434">
        <v>688192903</v>
      </c>
      <c r="Y6" s="434">
        <f t="shared" ref="Y6:Y11" si="0">+W6-X6</f>
        <v>0</v>
      </c>
      <c r="Z6" s="434">
        <v>688192903</v>
      </c>
      <c r="AA6" s="436">
        <f>+Z6/W6</f>
        <v>1</v>
      </c>
      <c r="AB6" s="761">
        <f>91879295+95370708+188377057</f>
        <v>375627060</v>
      </c>
      <c r="AC6" s="429" t="s">
        <v>51</v>
      </c>
    </row>
    <row r="7" spans="1:29" s="40" customFormat="1" ht="113.25" hidden="1" customHeight="1" x14ac:dyDescent="0.25">
      <c r="A7" s="31" t="s">
        <v>35</v>
      </c>
      <c r="B7" s="32" t="s">
        <v>36</v>
      </c>
      <c r="C7" s="33">
        <v>2020110010169</v>
      </c>
      <c r="D7" s="31" t="s">
        <v>37</v>
      </c>
      <c r="E7" s="31" t="s">
        <v>52</v>
      </c>
      <c r="F7" s="31" t="s">
        <v>39</v>
      </c>
      <c r="G7" s="41" t="s">
        <v>53</v>
      </c>
      <c r="H7" s="34" t="s">
        <v>54</v>
      </c>
      <c r="I7" s="35" t="s">
        <v>55</v>
      </c>
      <c r="J7" s="56" t="s">
        <v>43</v>
      </c>
      <c r="K7" s="36" t="s">
        <v>43</v>
      </c>
      <c r="L7" s="56" t="s">
        <v>44</v>
      </c>
      <c r="M7" s="49" t="s">
        <v>45</v>
      </c>
      <c r="N7" s="31" t="s">
        <v>71</v>
      </c>
      <c r="O7" s="28" t="s">
        <v>47</v>
      </c>
      <c r="P7" s="42" t="s">
        <v>56</v>
      </c>
      <c r="Q7" s="552"/>
      <c r="R7" s="553"/>
      <c r="S7" s="552"/>
      <c r="T7" s="333">
        <v>360500000</v>
      </c>
      <c r="U7" s="551">
        <v>360500000</v>
      </c>
      <c r="V7" s="334"/>
      <c r="W7" s="431">
        <v>360500000</v>
      </c>
      <c r="X7" s="431">
        <f>59008248+301491752</f>
        <v>360500000</v>
      </c>
      <c r="Y7" s="431">
        <f t="shared" si="0"/>
        <v>0</v>
      </c>
      <c r="Z7" s="350">
        <v>355002140</v>
      </c>
      <c r="AA7" s="430">
        <f>+Z7/W7</f>
        <v>0.98474934812760051</v>
      </c>
      <c r="AB7" s="350">
        <v>27621436</v>
      </c>
      <c r="AC7" s="334"/>
    </row>
    <row r="8" spans="1:29" s="40" customFormat="1" ht="165.75" hidden="1" customHeight="1" x14ac:dyDescent="0.25">
      <c r="A8" s="31" t="s">
        <v>35</v>
      </c>
      <c r="B8" s="32" t="s">
        <v>36</v>
      </c>
      <c r="C8" s="33">
        <v>2020110010169</v>
      </c>
      <c r="D8" s="31" t="s">
        <v>37</v>
      </c>
      <c r="E8" s="31" t="s">
        <v>38</v>
      </c>
      <c r="F8" s="31" t="s">
        <v>39</v>
      </c>
      <c r="G8" s="41" t="s">
        <v>60</v>
      </c>
      <c r="H8" s="34" t="s">
        <v>61</v>
      </c>
      <c r="I8" s="35" t="s">
        <v>62</v>
      </c>
      <c r="J8" s="36" t="s">
        <v>43</v>
      </c>
      <c r="K8" s="36" t="s">
        <v>43</v>
      </c>
      <c r="L8" s="36" t="s">
        <v>44</v>
      </c>
      <c r="M8" s="37" t="s">
        <v>45</v>
      </c>
      <c r="N8" s="31" t="s">
        <v>71</v>
      </c>
      <c r="O8" s="59" t="s">
        <v>47</v>
      </c>
      <c r="P8" s="42" t="s">
        <v>64</v>
      </c>
      <c r="Q8" s="824" t="s">
        <v>514</v>
      </c>
      <c r="R8" s="825" t="s">
        <v>515</v>
      </c>
      <c r="S8" s="42"/>
      <c r="T8" s="437">
        <v>1030008000</v>
      </c>
      <c r="U8" s="551">
        <f>+T8</f>
        <v>1030008000</v>
      </c>
      <c r="V8" s="551">
        <v>-5209225</v>
      </c>
      <c r="W8" s="556">
        <f>+U8+V8</f>
        <v>1024798775</v>
      </c>
      <c r="X8" s="437">
        <v>795177315</v>
      </c>
      <c r="Y8" s="431">
        <f t="shared" si="0"/>
        <v>229621460</v>
      </c>
      <c r="Z8" s="460">
        <v>753636142</v>
      </c>
      <c r="AA8" s="430">
        <f>+Z8/W8</f>
        <v>0.73539914409050688</v>
      </c>
      <c r="AB8" s="437">
        <f>15283722+37082200+69625000+79439667+95781096</f>
        <v>297211685</v>
      </c>
      <c r="AC8" s="432" t="s">
        <v>67</v>
      </c>
    </row>
    <row r="9" spans="1:29" s="40" customFormat="1" ht="150.75" hidden="1" customHeight="1" x14ac:dyDescent="0.25">
      <c r="A9" s="31" t="s">
        <v>35</v>
      </c>
      <c r="B9" s="32" t="s">
        <v>36</v>
      </c>
      <c r="C9" s="33">
        <v>2020110010169</v>
      </c>
      <c r="D9" s="31" t="s">
        <v>37</v>
      </c>
      <c r="E9" s="31" t="s">
        <v>38</v>
      </c>
      <c r="F9" s="31" t="s">
        <v>39</v>
      </c>
      <c r="G9" s="36" t="s">
        <v>43</v>
      </c>
      <c r="H9" s="36" t="s">
        <v>44</v>
      </c>
      <c r="I9" s="37" t="s">
        <v>45</v>
      </c>
      <c r="J9" s="31" t="s">
        <v>71</v>
      </c>
      <c r="K9" s="59" t="s">
        <v>516</v>
      </c>
      <c r="L9" s="36" t="s">
        <v>44</v>
      </c>
      <c r="M9" s="37" t="s">
        <v>45</v>
      </c>
      <c r="N9" s="31" t="s">
        <v>71</v>
      </c>
      <c r="O9" s="59" t="s">
        <v>47</v>
      </c>
      <c r="P9" s="42" t="s">
        <v>517</v>
      </c>
      <c r="Q9" s="554"/>
      <c r="R9" s="555"/>
      <c r="S9" s="42"/>
      <c r="T9" s="437"/>
      <c r="U9" s="551"/>
      <c r="V9" s="551">
        <v>5209225</v>
      </c>
      <c r="W9" s="556">
        <f>+V9</f>
        <v>5209225</v>
      </c>
      <c r="X9" s="437">
        <v>5209225</v>
      </c>
      <c r="Y9" s="431">
        <f t="shared" si="0"/>
        <v>0</v>
      </c>
      <c r="Z9" s="551">
        <v>5209225</v>
      </c>
      <c r="AA9" s="430"/>
      <c r="AB9" s="551">
        <v>5209225</v>
      </c>
      <c r="AC9" s="432"/>
    </row>
    <row r="10" spans="1:29" s="40" customFormat="1" ht="113.25" hidden="1" customHeight="1" x14ac:dyDescent="0.25">
      <c r="A10" s="31" t="s">
        <v>35</v>
      </c>
      <c r="B10" s="32" t="s">
        <v>36</v>
      </c>
      <c r="C10" s="33">
        <v>2020110010169</v>
      </c>
      <c r="D10" s="31" t="s">
        <v>37</v>
      </c>
      <c r="E10" s="31" t="s">
        <v>52</v>
      </c>
      <c r="F10" s="31" t="s">
        <v>39</v>
      </c>
      <c r="G10" s="41" t="s">
        <v>68</v>
      </c>
      <c r="H10" s="34" t="s">
        <v>69</v>
      </c>
      <c r="I10" s="35" t="s">
        <v>70</v>
      </c>
      <c r="J10" s="36" t="s">
        <v>43</v>
      </c>
      <c r="K10" s="36" t="s">
        <v>43</v>
      </c>
      <c r="L10" s="36" t="s">
        <v>44</v>
      </c>
      <c r="M10" s="37" t="s">
        <v>45</v>
      </c>
      <c r="N10" s="31" t="s">
        <v>71</v>
      </c>
      <c r="O10" s="59" t="s">
        <v>47</v>
      </c>
      <c r="P10" s="301" t="s">
        <v>72</v>
      </c>
      <c r="Q10" s="831" t="s">
        <v>73</v>
      </c>
      <c r="R10" s="832" t="s">
        <v>74</v>
      </c>
      <c r="S10" s="896" t="s">
        <v>75</v>
      </c>
      <c r="T10" s="333">
        <v>330000000</v>
      </c>
      <c r="U10" s="551">
        <v>330000000</v>
      </c>
      <c r="V10" s="334"/>
      <c r="W10" s="431">
        <v>330000000</v>
      </c>
      <c r="X10" s="431">
        <f>304350003+19649997+6000000</f>
        <v>330000000</v>
      </c>
      <c r="Y10" s="431">
        <f t="shared" si="0"/>
        <v>0</v>
      </c>
      <c r="Z10" s="431">
        <f>19649997+2129646</f>
        <v>21779643</v>
      </c>
      <c r="AA10" s="430">
        <f t="shared" ref="AA10:AA23" si="1">+Z10/W10</f>
        <v>6.5998918181818175E-2</v>
      </c>
      <c r="AB10" s="701">
        <v>2129646</v>
      </c>
      <c r="AC10" s="336" t="s">
        <v>72</v>
      </c>
    </row>
    <row r="11" spans="1:29" s="40" customFormat="1" ht="113.25" hidden="1" customHeight="1" x14ac:dyDescent="0.25">
      <c r="A11" s="31" t="s">
        <v>35</v>
      </c>
      <c r="B11" s="32" t="s">
        <v>36</v>
      </c>
      <c r="C11" s="33">
        <v>2020110010169</v>
      </c>
      <c r="D11" s="31" t="s">
        <v>37</v>
      </c>
      <c r="E11" s="31" t="s">
        <v>52</v>
      </c>
      <c r="F11" s="31" t="s">
        <v>39</v>
      </c>
      <c r="G11" s="41" t="s">
        <v>68</v>
      </c>
      <c r="H11" s="34" t="s">
        <v>69</v>
      </c>
      <c r="I11" s="35" t="s">
        <v>70</v>
      </c>
      <c r="J11" s="43" t="s">
        <v>76</v>
      </c>
      <c r="K11" s="43" t="s">
        <v>77</v>
      </c>
      <c r="L11" s="56" t="s">
        <v>44</v>
      </c>
      <c r="M11" s="49" t="s">
        <v>45</v>
      </c>
      <c r="N11" s="61" t="s">
        <v>71</v>
      </c>
      <c r="O11" s="28" t="s">
        <v>47</v>
      </c>
      <c r="P11" s="182" t="s">
        <v>78</v>
      </c>
      <c r="Q11" s="833" t="s">
        <v>73</v>
      </c>
      <c r="R11" s="834" t="s">
        <v>518</v>
      </c>
      <c r="S11" s="897" t="s">
        <v>80</v>
      </c>
      <c r="T11" s="337">
        <v>92359000</v>
      </c>
      <c r="U11" s="551">
        <f>T11</f>
        <v>92359000</v>
      </c>
      <c r="V11" s="561"/>
      <c r="W11" s="431">
        <v>92359000</v>
      </c>
      <c r="X11" s="431">
        <v>92359000</v>
      </c>
      <c r="Y11" s="431">
        <f t="shared" si="0"/>
        <v>0</v>
      </c>
      <c r="Z11" s="334"/>
      <c r="AA11" s="430">
        <f t="shared" si="1"/>
        <v>0</v>
      </c>
      <c r="AB11" s="700"/>
      <c r="AC11" s="334"/>
    </row>
    <row r="12" spans="1:29" s="40" customFormat="1" ht="113.25" hidden="1" customHeight="1" x14ac:dyDescent="0.25">
      <c r="A12" s="31" t="s">
        <v>35</v>
      </c>
      <c r="B12" s="32" t="s">
        <v>36</v>
      </c>
      <c r="C12" s="33">
        <v>2020110010169</v>
      </c>
      <c r="D12" s="31" t="s">
        <v>37</v>
      </c>
      <c r="E12" s="31" t="s">
        <v>81</v>
      </c>
      <c r="F12" s="31" t="s">
        <v>39</v>
      </c>
      <c r="G12" s="41" t="s">
        <v>68</v>
      </c>
      <c r="H12" s="34" t="s">
        <v>69</v>
      </c>
      <c r="I12" s="35" t="s">
        <v>70</v>
      </c>
      <c r="J12" s="43" t="s">
        <v>76</v>
      </c>
      <c r="K12" s="43" t="s">
        <v>77</v>
      </c>
      <c r="L12" s="56" t="s">
        <v>44</v>
      </c>
      <c r="M12" s="49" t="s">
        <v>45</v>
      </c>
      <c r="N12" s="31" t="s">
        <v>71</v>
      </c>
      <c r="O12" s="28" t="s">
        <v>47</v>
      </c>
      <c r="P12" s="182" t="s">
        <v>78</v>
      </c>
      <c r="Q12" s="182"/>
      <c r="R12" s="182"/>
      <c r="S12" s="182"/>
      <c r="T12" s="337">
        <v>28062000</v>
      </c>
      <c r="U12" s="551">
        <v>28062000</v>
      </c>
      <c r="V12" s="334"/>
      <c r="W12" s="431">
        <v>28062000</v>
      </c>
      <c r="X12" s="431">
        <v>15565001</v>
      </c>
      <c r="Y12" s="431">
        <f>W12-X12</f>
        <v>12496999</v>
      </c>
      <c r="Z12" s="431">
        <v>15565001</v>
      </c>
      <c r="AA12" s="430">
        <f t="shared" si="1"/>
        <v>0.55466470672083246</v>
      </c>
      <c r="AB12" s="437">
        <v>14008499</v>
      </c>
      <c r="AC12" s="336" t="s">
        <v>82</v>
      </c>
    </row>
    <row r="13" spans="1:29" s="40" customFormat="1" ht="113.25" hidden="1" customHeight="1" x14ac:dyDescent="0.25">
      <c r="A13" s="31" t="s">
        <v>35</v>
      </c>
      <c r="B13" s="32" t="s">
        <v>36</v>
      </c>
      <c r="C13" s="33">
        <v>2020110010169</v>
      </c>
      <c r="D13" s="31" t="s">
        <v>37</v>
      </c>
      <c r="E13" s="31" t="s">
        <v>52</v>
      </c>
      <c r="F13" s="31" t="s">
        <v>39</v>
      </c>
      <c r="G13" s="41" t="s">
        <v>68</v>
      </c>
      <c r="H13" s="34" t="s">
        <v>69</v>
      </c>
      <c r="I13" s="35" t="s">
        <v>70</v>
      </c>
      <c r="J13" s="60" t="s">
        <v>83</v>
      </c>
      <c r="K13" s="60" t="s">
        <v>84</v>
      </c>
      <c r="L13" s="56" t="s">
        <v>44</v>
      </c>
      <c r="M13" s="49" t="s">
        <v>45</v>
      </c>
      <c r="N13" s="31" t="s">
        <v>71</v>
      </c>
      <c r="O13" s="28" t="s">
        <v>47</v>
      </c>
      <c r="P13" s="182" t="s">
        <v>78</v>
      </c>
      <c r="Q13" s="182"/>
      <c r="R13" s="182"/>
      <c r="S13" s="182"/>
      <c r="T13" s="337">
        <v>43792000</v>
      </c>
      <c r="U13" s="551">
        <f>T13</f>
        <v>43792000</v>
      </c>
      <c r="V13" s="334"/>
      <c r="W13" s="431">
        <f>U13</f>
        <v>43792000</v>
      </c>
      <c r="X13" s="431">
        <v>43792000</v>
      </c>
      <c r="Y13" s="431">
        <f t="shared" ref="Y13:Y23" si="2">+W13-X13</f>
        <v>0</v>
      </c>
      <c r="Z13" s="431">
        <v>43792000</v>
      </c>
      <c r="AA13" s="430">
        <f t="shared" si="1"/>
        <v>1</v>
      </c>
      <c r="AB13" s="437">
        <f>43792000</f>
        <v>43792000</v>
      </c>
      <c r="AC13" s="338" t="s">
        <v>85</v>
      </c>
    </row>
    <row r="14" spans="1:29" s="40" customFormat="1" ht="60.75" hidden="1" customHeight="1" x14ac:dyDescent="0.25">
      <c r="A14" s="31" t="s">
        <v>35</v>
      </c>
      <c r="B14" s="32" t="s">
        <v>36</v>
      </c>
      <c r="C14" s="33">
        <v>2020110010169</v>
      </c>
      <c r="D14" s="31" t="s">
        <v>37</v>
      </c>
      <c r="E14" s="31" t="s">
        <v>52</v>
      </c>
      <c r="F14" s="31" t="s">
        <v>39</v>
      </c>
      <c r="G14" s="41"/>
      <c r="H14" s="34"/>
      <c r="I14" s="35"/>
      <c r="J14" s="60"/>
      <c r="K14" s="36" t="s">
        <v>43</v>
      </c>
      <c r="L14" s="56" t="s">
        <v>44</v>
      </c>
      <c r="M14" s="49" t="s">
        <v>45</v>
      </c>
      <c r="N14" s="31" t="s">
        <v>71</v>
      </c>
      <c r="O14" s="28" t="s">
        <v>47</v>
      </c>
      <c r="P14" s="735" t="s">
        <v>519</v>
      </c>
      <c r="Q14" s="182"/>
      <c r="R14" s="182"/>
      <c r="S14" s="182"/>
      <c r="T14" s="337"/>
      <c r="U14" s="551"/>
      <c r="V14" s="431">
        <v>311807097</v>
      </c>
      <c r="W14" s="431">
        <f>+V14</f>
        <v>311807097</v>
      </c>
      <c r="X14" s="431"/>
      <c r="Y14" s="431"/>
      <c r="Z14" s="431"/>
      <c r="AA14" s="430"/>
      <c r="AB14" s="437"/>
      <c r="AC14" s="338"/>
    </row>
    <row r="15" spans="1:29" s="40" customFormat="1" ht="113.25" hidden="1" customHeight="1" x14ac:dyDescent="0.25">
      <c r="A15" s="31" t="s">
        <v>35</v>
      </c>
      <c r="B15" s="32" t="s">
        <v>36</v>
      </c>
      <c r="C15" s="33">
        <v>2020110010169</v>
      </c>
      <c r="D15" s="31" t="s">
        <v>37</v>
      </c>
      <c r="E15" s="31" t="s">
        <v>81</v>
      </c>
      <c r="F15" s="31" t="s">
        <v>39</v>
      </c>
      <c r="G15" s="41" t="s">
        <v>68</v>
      </c>
      <c r="H15" s="34" t="s">
        <v>69</v>
      </c>
      <c r="I15" s="35" t="s">
        <v>70</v>
      </c>
      <c r="J15" s="32" t="s">
        <v>86</v>
      </c>
      <c r="K15" s="32" t="s">
        <v>87</v>
      </c>
      <c r="L15" s="36" t="s">
        <v>44</v>
      </c>
      <c r="M15" s="37" t="s">
        <v>45</v>
      </c>
      <c r="N15" s="31" t="s">
        <v>71</v>
      </c>
      <c r="O15" s="59" t="s">
        <v>47</v>
      </c>
      <c r="P15" s="182" t="s">
        <v>88</v>
      </c>
      <c r="Q15" s="835" t="s">
        <v>520</v>
      </c>
      <c r="R15" s="836" t="s">
        <v>90</v>
      </c>
      <c r="S15" s="182"/>
      <c r="T15" s="339">
        <v>1278739000</v>
      </c>
      <c r="U15" s="551">
        <v>1278739000</v>
      </c>
      <c r="V15" s="733">
        <v>-376139123</v>
      </c>
      <c r="W15" s="431">
        <f>+U15+V15</f>
        <v>902599877</v>
      </c>
      <c r="X15" s="431">
        <v>279541451</v>
      </c>
      <c r="Y15" s="431">
        <f>+W15-X15</f>
        <v>623058426</v>
      </c>
      <c r="Z15" s="431">
        <v>279541451</v>
      </c>
      <c r="AA15" s="430">
        <f t="shared" si="1"/>
        <v>0.30970694559489731</v>
      </c>
      <c r="AB15" s="700"/>
      <c r="AC15" s="336" t="s">
        <v>91</v>
      </c>
    </row>
    <row r="16" spans="1:29" s="40" customFormat="1" ht="113.25" hidden="1" customHeight="1" x14ac:dyDescent="0.25">
      <c r="A16" s="31" t="s">
        <v>35</v>
      </c>
      <c r="B16" s="32" t="s">
        <v>36</v>
      </c>
      <c r="C16" s="33">
        <v>2020110010169</v>
      </c>
      <c r="D16" s="31" t="s">
        <v>37</v>
      </c>
      <c r="E16" s="31" t="s">
        <v>52</v>
      </c>
      <c r="F16" s="31" t="s">
        <v>39</v>
      </c>
      <c r="G16" s="32" t="s">
        <v>87</v>
      </c>
      <c r="H16" s="36" t="s">
        <v>44</v>
      </c>
      <c r="I16" s="37" t="s">
        <v>45</v>
      </c>
      <c r="J16" s="31" t="s">
        <v>71</v>
      </c>
      <c r="K16" s="32" t="s">
        <v>87</v>
      </c>
      <c r="L16" s="36" t="s">
        <v>44</v>
      </c>
      <c r="M16" s="37" t="s">
        <v>45</v>
      </c>
      <c r="N16" s="31" t="s">
        <v>71</v>
      </c>
      <c r="O16" s="59" t="s">
        <v>47</v>
      </c>
      <c r="P16" s="182" t="s">
        <v>521</v>
      </c>
      <c r="Q16" s="826" t="s">
        <v>522</v>
      </c>
      <c r="R16" s="827" t="s">
        <v>523</v>
      </c>
      <c r="S16" s="182"/>
      <c r="T16" s="339"/>
      <c r="U16" s="551"/>
      <c r="V16" s="733">
        <v>376139123</v>
      </c>
      <c r="W16" s="431">
        <f>+V16</f>
        <v>376139123</v>
      </c>
      <c r="X16" s="431">
        <v>1601093</v>
      </c>
      <c r="Y16" s="431"/>
      <c r="Z16" s="431"/>
      <c r="AA16" s="430"/>
      <c r="AB16" s="700"/>
      <c r="AC16" s="336"/>
    </row>
    <row r="17" spans="1:45" s="40" customFormat="1" ht="113.25" hidden="1" customHeight="1" x14ac:dyDescent="0.25">
      <c r="A17" s="31" t="s">
        <v>35</v>
      </c>
      <c r="B17" s="32" t="s">
        <v>36</v>
      </c>
      <c r="C17" s="33">
        <v>2020110010169</v>
      </c>
      <c r="D17" s="31" t="s">
        <v>37</v>
      </c>
      <c r="E17" s="31" t="s">
        <v>81</v>
      </c>
      <c r="F17" s="31" t="s">
        <v>39</v>
      </c>
      <c r="G17" s="41" t="s">
        <v>68</v>
      </c>
      <c r="H17" s="34" t="s">
        <v>69</v>
      </c>
      <c r="I17" s="35" t="s">
        <v>70</v>
      </c>
      <c r="J17" s="60" t="s">
        <v>83</v>
      </c>
      <c r="K17" s="60" t="s">
        <v>84</v>
      </c>
      <c r="L17" s="36" t="s">
        <v>44</v>
      </c>
      <c r="M17" s="37" t="s">
        <v>45</v>
      </c>
      <c r="N17" s="31" t="s">
        <v>71</v>
      </c>
      <c r="O17" s="59" t="s">
        <v>47</v>
      </c>
      <c r="P17" s="182" t="s">
        <v>92</v>
      </c>
      <c r="Q17" s="840" t="s">
        <v>524</v>
      </c>
      <c r="R17" s="841" t="s">
        <v>525</v>
      </c>
      <c r="S17" s="182"/>
      <c r="T17" s="339">
        <v>1693199000</v>
      </c>
      <c r="U17" s="551">
        <v>1693199000</v>
      </c>
      <c r="V17" s="334"/>
      <c r="W17" s="431">
        <v>1693199000</v>
      </c>
      <c r="X17" s="431"/>
      <c r="Y17" s="431">
        <f>+W17+X17</f>
        <v>1693199000</v>
      </c>
      <c r="Z17" s="334"/>
      <c r="AA17" s="430">
        <f t="shared" si="1"/>
        <v>0</v>
      </c>
      <c r="AB17" s="700"/>
      <c r="AC17" s="334"/>
    </row>
    <row r="18" spans="1:45" s="40" customFormat="1" ht="113.25" customHeight="1" x14ac:dyDescent="0.25">
      <c r="A18" s="31" t="s">
        <v>35</v>
      </c>
      <c r="B18" s="32" t="s">
        <v>36</v>
      </c>
      <c r="C18" s="33">
        <v>2020110010169</v>
      </c>
      <c r="D18" s="31" t="s">
        <v>37</v>
      </c>
      <c r="E18" s="31" t="s">
        <v>81</v>
      </c>
      <c r="F18" s="31" t="s">
        <v>39</v>
      </c>
      <c r="G18" s="45"/>
      <c r="H18" s="46"/>
      <c r="I18" s="45"/>
      <c r="J18" s="47" t="s">
        <v>95</v>
      </c>
      <c r="K18" s="47" t="s">
        <v>95</v>
      </c>
      <c r="L18" s="36" t="s">
        <v>44</v>
      </c>
      <c r="M18" s="49" t="s">
        <v>45</v>
      </c>
      <c r="N18" s="31" t="s">
        <v>71</v>
      </c>
      <c r="O18" s="59" t="s">
        <v>47</v>
      </c>
      <c r="P18" s="181" t="s">
        <v>96</v>
      </c>
      <c r="Q18" s="837" t="s">
        <v>97</v>
      </c>
      <c r="R18" s="837" t="s">
        <v>97</v>
      </c>
      <c r="S18" s="181"/>
      <c r="T18" s="340">
        <v>330711000</v>
      </c>
      <c r="U18" s="551">
        <v>330711000</v>
      </c>
      <c r="V18" s="334"/>
      <c r="W18" s="431">
        <v>330711000</v>
      </c>
      <c r="X18" s="431">
        <v>23553963</v>
      </c>
      <c r="Y18" s="431">
        <f t="shared" si="2"/>
        <v>307157037</v>
      </c>
      <c r="Z18" s="431">
        <v>23553963</v>
      </c>
      <c r="AA18" s="430">
        <f t="shared" si="1"/>
        <v>7.1222194000199565E-2</v>
      </c>
      <c r="AB18" s="700"/>
      <c r="AC18" s="334"/>
      <c r="AQ18" s="50">
        <v>147117947000</v>
      </c>
      <c r="AR18" s="50">
        <v>12259828916.666666</v>
      </c>
      <c r="AS18" s="50">
        <v>8.3333333333333329E-2</v>
      </c>
    </row>
    <row r="19" spans="1:45" s="40" customFormat="1" ht="113.25" customHeight="1" x14ac:dyDescent="0.25">
      <c r="A19" s="31" t="s">
        <v>35</v>
      </c>
      <c r="B19" s="32" t="s">
        <v>36</v>
      </c>
      <c r="C19" s="33">
        <v>2020110010169</v>
      </c>
      <c r="D19" s="31" t="s">
        <v>37</v>
      </c>
      <c r="E19" s="31" t="s">
        <v>81</v>
      </c>
      <c r="F19" s="31" t="s">
        <v>39</v>
      </c>
      <c r="G19" s="51"/>
      <c r="H19" s="52"/>
      <c r="I19" s="51"/>
      <c r="J19" s="47" t="s">
        <v>98</v>
      </c>
      <c r="K19" s="47" t="s">
        <v>98</v>
      </c>
      <c r="L19" s="36" t="s">
        <v>44</v>
      </c>
      <c r="M19" s="49" t="s">
        <v>45</v>
      </c>
      <c r="N19" s="31" t="s">
        <v>71</v>
      </c>
      <c r="O19" s="59" t="s">
        <v>47</v>
      </c>
      <c r="P19" s="181" t="s">
        <v>96</v>
      </c>
      <c r="Q19" s="837" t="s">
        <v>97</v>
      </c>
      <c r="R19" s="837" t="s">
        <v>97</v>
      </c>
      <c r="S19" s="181"/>
      <c r="T19" s="431">
        <v>587476000</v>
      </c>
      <c r="U19" s="431">
        <v>587476000</v>
      </c>
      <c r="V19" s="334"/>
      <c r="W19" s="431">
        <v>587476000</v>
      </c>
      <c r="X19" s="431"/>
      <c r="Y19" s="431">
        <f t="shared" si="2"/>
        <v>587476000</v>
      </c>
      <c r="Z19" s="334"/>
      <c r="AA19" s="430">
        <f t="shared" si="1"/>
        <v>0</v>
      </c>
      <c r="AB19" s="700"/>
      <c r="AC19" s="334"/>
      <c r="AQ19" s="50"/>
      <c r="AR19" s="50">
        <v>12259828916.666666</v>
      </c>
      <c r="AS19" s="50">
        <v>8.3333333333333329E-2</v>
      </c>
    </row>
    <row r="20" spans="1:45" s="40" customFormat="1" ht="113.25" customHeight="1" x14ac:dyDescent="0.25">
      <c r="A20" s="31" t="s">
        <v>35</v>
      </c>
      <c r="B20" s="32" t="s">
        <v>36</v>
      </c>
      <c r="C20" s="33">
        <v>2020110010169</v>
      </c>
      <c r="D20" s="31" t="s">
        <v>37</v>
      </c>
      <c r="E20" s="31" t="s">
        <v>81</v>
      </c>
      <c r="F20" s="31" t="s">
        <v>39</v>
      </c>
      <c r="G20" s="51"/>
      <c r="H20" s="52"/>
      <c r="I20" s="51"/>
      <c r="J20" s="47" t="s">
        <v>99</v>
      </c>
      <c r="K20" s="47" t="s">
        <v>99</v>
      </c>
      <c r="L20" s="36" t="s">
        <v>44</v>
      </c>
      <c r="M20" s="49" t="s">
        <v>45</v>
      </c>
      <c r="N20" s="31" t="s">
        <v>71</v>
      </c>
      <c r="O20" s="59" t="s">
        <v>47</v>
      </c>
      <c r="P20" s="181" t="s">
        <v>96</v>
      </c>
      <c r="Q20" s="837" t="s">
        <v>97</v>
      </c>
      <c r="R20" s="837" t="s">
        <v>97</v>
      </c>
      <c r="S20" s="181"/>
      <c r="T20" s="431">
        <v>119835000</v>
      </c>
      <c r="U20" s="431">
        <v>119835000</v>
      </c>
      <c r="V20" s="334"/>
      <c r="W20" s="431">
        <v>119835000</v>
      </c>
      <c r="X20" s="431"/>
      <c r="Y20" s="431">
        <f t="shared" si="2"/>
        <v>119835000</v>
      </c>
      <c r="Z20" s="334"/>
      <c r="AA20" s="430">
        <f t="shared" si="1"/>
        <v>0</v>
      </c>
      <c r="AB20" s="700"/>
      <c r="AC20" s="334"/>
      <c r="AQ20" s="50"/>
      <c r="AR20" s="50">
        <v>12259828916.666666</v>
      </c>
      <c r="AS20" s="50">
        <v>8.3333333333333329E-2</v>
      </c>
    </row>
    <row r="21" spans="1:45" s="40" customFormat="1" ht="113.25" hidden="1" customHeight="1" x14ac:dyDescent="0.25">
      <c r="A21" s="842" t="s">
        <v>100</v>
      </c>
      <c r="B21" s="842" t="s">
        <v>101</v>
      </c>
      <c r="C21" s="843">
        <v>2020110010195</v>
      </c>
      <c r="D21" s="842" t="s">
        <v>102</v>
      </c>
      <c r="E21" s="842" t="s">
        <v>103</v>
      </c>
      <c r="F21" s="61" t="s">
        <v>104</v>
      </c>
      <c r="G21" s="178" t="s">
        <v>53</v>
      </c>
      <c r="H21" s="177" t="s">
        <v>54</v>
      </c>
      <c r="I21" s="176" t="s">
        <v>105</v>
      </c>
      <c r="J21" s="175" t="s">
        <v>43</v>
      </c>
      <c r="K21" s="816" t="s">
        <v>43</v>
      </c>
      <c r="L21" s="56" t="s">
        <v>106</v>
      </c>
      <c r="M21" s="56" t="s">
        <v>107</v>
      </c>
      <c r="N21" s="61" t="s">
        <v>108</v>
      </c>
      <c r="O21" s="21" t="s">
        <v>47</v>
      </c>
      <c r="P21" s="844" t="s">
        <v>109</v>
      </c>
      <c r="Q21" s="894" t="s">
        <v>526</v>
      </c>
      <c r="R21" s="895">
        <v>100000000</v>
      </c>
      <c r="S21" s="844"/>
      <c r="T21" s="333">
        <v>100000000</v>
      </c>
      <c r="U21" s="551">
        <v>100000000</v>
      </c>
      <c r="V21" s="334"/>
      <c r="W21" s="431">
        <v>100000000</v>
      </c>
      <c r="X21" s="431"/>
      <c r="Y21" s="431">
        <f t="shared" si="2"/>
        <v>100000000</v>
      </c>
      <c r="Z21" s="334"/>
      <c r="AA21" s="430">
        <f t="shared" si="1"/>
        <v>0</v>
      </c>
      <c r="AB21" s="334"/>
      <c r="AC21" s="334"/>
      <c r="AR21" s="40">
        <v>12259828916.666666</v>
      </c>
      <c r="AS21" s="40">
        <v>8.3333333333333329E-2</v>
      </c>
    </row>
    <row r="22" spans="1:45" s="40" customFormat="1" ht="113.25" hidden="1" customHeight="1" x14ac:dyDescent="0.25">
      <c r="A22" s="61" t="s">
        <v>110</v>
      </c>
      <c r="B22" s="61" t="s">
        <v>111</v>
      </c>
      <c r="C22" s="58">
        <v>2020110010170</v>
      </c>
      <c r="D22" s="61" t="s">
        <v>112</v>
      </c>
      <c r="E22" s="61" t="s">
        <v>113</v>
      </c>
      <c r="F22" s="61" t="s">
        <v>114</v>
      </c>
      <c r="G22" s="89" t="s">
        <v>40</v>
      </c>
      <c r="H22" s="89" t="s">
        <v>41</v>
      </c>
      <c r="I22" s="90" t="s">
        <v>115</v>
      </c>
      <c r="J22" s="56" t="s">
        <v>116</v>
      </c>
      <c r="K22" s="56" t="s">
        <v>43</v>
      </c>
      <c r="L22" s="56" t="s">
        <v>44</v>
      </c>
      <c r="M22" s="49" t="s">
        <v>45</v>
      </c>
      <c r="N22" s="170" t="s">
        <v>46</v>
      </c>
      <c r="O22" s="21" t="s">
        <v>117</v>
      </c>
      <c r="P22" s="56" t="s">
        <v>118</v>
      </c>
      <c r="Q22" s="838" t="s">
        <v>119</v>
      </c>
      <c r="R22" s="839" t="s">
        <v>120</v>
      </c>
      <c r="S22" s="683"/>
      <c r="T22" s="333">
        <v>5838000000</v>
      </c>
      <c r="U22" s="551">
        <v>5838000000</v>
      </c>
      <c r="V22" s="733">
        <v>-247696920</v>
      </c>
      <c r="W22" s="431">
        <f>+U22+V22</f>
        <v>5590303080</v>
      </c>
      <c r="X22" s="431">
        <v>5590303080</v>
      </c>
      <c r="Y22" s="431">
        <f t="shared" si="2"/>
        <v>0</v>
      </c>
      <c r="Z22" s="431">
        <v>5590303080</v>
      </c>
      <c r="AA22" s="430">
        <f t="shared" si="1"/>
        <v>1</v>
      </c>
      <c r="AB22" s="431">
        <v>940000000</v>
      </c>
      <c r="AC22" s="301" t="s">
        <v>122</v>
      </c>
      <c r="AR22" s="40">
        <v>12259828916.666666</v>
      </c>
      <c r="AS22" s="40">
        <v>8.3333333333333329E-2</v>
      </c>
    </row>
    <row r="23" spans="1:45" s="40" customFormat="1" ht="155.25" hidden="1" customHeight="1" x14ac:dyDescent="0.25">
      <c r="A23" s="61" t="s">
        <v>110</v>
      </c>
      <c r="B23" s="61" t="s">
        <v>111</v>
      </c>
      <c r="C23" s="58">
        <v>2020110010170</v>
      </c>
      <c r="D23" s="61" t="s">
        <v>112</v>
      </c>
      <c r="E23" s="61" t="s">
        <v>123</v>
      </c>
      <c r="F23" s="61" t="s">
        <v>114</v>
      </c>
      <c r="G23" s="169" t="s">
        <v>60</v>
      </c>
      <c r="H23" s="89" t="s">
        <v>61</v>
      </c>
      <c r="I23" s="90" t="s">
        <v>124</v>
      </c>
      <c r="J23" s="56" t="s">
        <v>116</v>
      </c>
      <c r="K23" s="56" t="s">
        <v>43</v>
      </c>
      <c r="L23" s="56" t="s">
        <v>44</v>
      </c>
      <c r="M23" s="49" t="s">
        <v>45</v>
      </c>
      <c r="N23" s="170" t="s">
        <v>63</v>
      </c>
      <c r="O23" s="21" t="s">
        <v>117</v>
      </c>
      <c r="P23" s="56" t="s">
        <v>527</v>
      </c>
      <c r="Q23" s="776" t="s">
        <v>528</v>
      </c>
      <c r="R23" s="830" t="s">
        <v>529</v>
      </c>
      <c r="S23" s="56"/>
      <c r="T23" s="333">
        <v>1505183000</v>
      </c>
      <c r="U23" s="551">
        <f>+T23</f>
        <v>1505183000</v>
      </c>
      <c r="V23" s="551">
        <v>-15627675</v>
      </c>
      <c r="W23" s="569">
        <f>+U23+V23</f>
        <v>1489555325</v>
      </c>
      <c r="X23" s="541">
        <v>1235292017</v>
      </c>
      <c r="Y23" s="431">
        <f t="shared" si="2"/>
        <v>254263308</v>
      </c>
      <c r="Z23" s="541">
        <v>1209083665</v>
      </c>
      <c r="AA23" s="430">
        <f t="shared" si="1"/>
        <v>0.81170779272666493</v>
      </c>
      <c r="AB23" s="703">
        <v>476353772</v>
      </c>
      <c r="AC23" s="680" t="s">
        <v>128</v>
      </c>
    </row>
    <row r="24" spans="1:45" s="40" customFormat="1" ht="158.25" hidden="1" customHeight="1" x14ac:dyDescent="0.25">
      <c r="A24" s="61" t="s">
        <v>110</v>
      </c>
      <c r="B24" s="61" t="s">
        <v>111</v>
      </c>
      <c r="C24" s="58">
        <v>2020110010170</v>
      </c>
      <c r="D24" s="61" t="s">
        <v>112</v>
      </c>
      <c r="E24" s="61" t="s">
        <v>123</v>
      </c>
      <c r="F24" s="61" t="s">
        <v>114</v>
      </c>
      <c r="G24" s="169" t="s">
        <v>60</v>
      </c>
      <c r="H24" s="89" t="s">
        <v>61</v>
      </c>
      <c r="I24" s="90" t="s">
        <v>124</v>
      </c>
      <c r="J24" s="56" t="s">
        <v>116</v>
      </c>
      <c r="K24" s="56" t="s">
        <v>530</v>
      </c>
      <c r="L24" s="56" t="s">
        <v>44</v>
      </c>
      <c r="M24" s="49" t="s">
        <v>45</v>
      </c>
      <c r="N24" s="170" t="s">
        <v>63</v>
      </c>
      <c r="O24" s="21" t="s">
        <v>117</v>
      </c>
      <c r="P24" s="56" t="s">
        <v>517</v>
      </c>
      <c r="Q24" s="567"/>
      <c r="R24" s="568"/>
      <c r="S24" s="56"/>
      <c r="T24" s="333"/>
      <c r="U24" s="551"/>
      <c r="V24" s="551">
        <v>15627675</v>
      </c>
      <c r="W24" s="702">
        <f>+V24</f>
        <v>15627675</v>
      </c>
      <c r="X24" s="431">
        <v>15627675</v>
      </c>
      <c r="Y24" s="431"/>
      <c r="Z24" s="431">
        <v>15627675</v>
      </c>
      <c r="AA24" s="430"/>
      <c r="AB24" s="437">
        <v>15627675</v>
      </c>
      <c r="AC24" s="680"/>
    </row>
    <row r="25" spans="1:45" s="40" customFormat="1" ht="113.25" hidden="1" customHeight="1" x14ac:dyDescent="0.25">
      <c r="A25" s="61" t="s">
        <v>110</v>
      </c>
      <c r="B25" s="61" t="s">
        <v>111</v>
      </c>
      <c r="C25" s="58">
        <v>2020110010170</v>
      </c>
      <c r="D25" s="61" t="s">
        <v>112</v>
      </c>
      <c r="E25" s="61" t="s">
        <v>123</v>
      </c>
      <c r="F25" s="61" t="s">
        <v>114</v>
      </c>
      <c r="G25" s="169" t="s">
        <v>68</v>
      </c>
      <c r="H25" s="89" t="s">
        <v>129</v>
      </c>
      <c r="I25" s="168" t="s">
        <v>130</v>
      </c>
      <c r="J25" s="56" t="s">
        <v>116</v>
      </c>
      <c r="K25" s="56" t="s">
        <v>43</v>
      </c>
      <c r="L25" s="56" t="s">
        <v>44</v>
      </c>
      <c r="M25" s="21" t="s">
        <v>131</v>
      </c>
      <c r="N25" s="100" t="s">
        <v>132</v>
      </c>
      <c r="O25" s="21" t="s">
        <v>117</v>
      </c>
      <c r="P25" s="61" t="s">
        <v>133</v>
      </c>
      <c r="Q25" s="782" t="s">
        <v>531</v>
      </c>
      <c r="R25" s="783" t="s">
        <v>135</v>
      </c>
      <c r="S25" s="61"/>
      <c r="T25" s="333">
        <v>583329000</v>
      </c>
      <c r="U25" s="551">
        <v>583329000</v>
      </c>
      <c r="V25" s="733">
        <f>247696920+400000000</f>
        <v>647696920</v>
      </c>
      <c r="W25" s="431">
        <f>+U25+V25</f>
        <v>1231025920</v>
      </c>
      <c r="X25" s="431"/>
      <c r="Y25" s="431">
        <f t="shared" ref="Y25:Y52" si="3">+W25-X25</f>
        <v>1231025920</v>
      </c>
      <c r="Z25" s="334"/>
      <c r="AA25" s="430">
        <f t="shared" ref="AA25:AA49" si="4">+Z25/W25</f>
        <v>0</v>
      </c>
      <c r="AB25" s="334"/>
      <c r="AC25" s="334"/>
      <c r="AR25" s="40">
        <v>12259828916.666666</v>
      </c>
      <c r="AS25" s="40">
        <v>8.3333333333333329E-2</v>
      </c>
    </row>
    <row r="26" spans="1:45" s="40" customFormat="1" ht="136.5" hidden="1" customHeight="1" thickBot="1" x14ac:dyDescent="0.3">
      <c r="A26" s="56" t="s">
        <v>136</v>
      </c>
      <c r="B26" s="56" t="s">
        <v>137</v>
      </c>
      <c r="C26" s="79">
        <v>2020110010168</v>
      </c>
      <c r="D26" s="853" t="s">
        <v>138</v>
      </c>
      <c r="E26" s="854" t="s">
        <v>139</v>
      </c>
      <c r="F26" s="165" t="s">
        <v>140</v>
      </c>
      <c r="G26" s="164" t="s">
        <v>60</v>
      </c>
      <c r="H26" s="163" t="s">
        <v>61</v>
      </c>
      <c r="I26" s="162" t="s">
        <v>141</v>
      </c>
      <c r="J26" s="161" t="s">
        <v>116</v>
      </c>
      <c r="K26" s="66" t="s">
        <v>43</v>
      </c>
      <c r="L26" s="160" t="s">
        <v>44</v>
      </c>
      <c r="M26" s="159" t="s">
        <v>45</v>
      </c>
      <c r="N26" s="158" t="s">
        <v>142</v>
      </c>
      <c r="O26" s="157" t="s">
        <v>143</v>
      </c>
      <c r="P26" s="156" t="s">
        <v>144</v>
      </c>
      <c r="Q26" s="795" t="s">
        <v>532</v>
      </c>
      <c r="R26" s="796" t="s">
        <v>533</v>
      </c>
      <c r="S26" s="574"/>
      <c r="T26" s="343">
        <v>800000000</v>
      </c>
      <c r="U26" s="575">
        <v>800000000</v>
      </c>
      <c r="V26" s="576"/>
      <c r="W26" s="434">
        <v>800000000</v>
      </c>
      <c r="X26" s="434">
        <v>720783333</v>
      </c>
      <c r="Y26" s="434">
        <f t="shared" si="3"/>
        <v>79216667</v>
      </c>
      <c r="Z26" s="799">
        <v>670316666</v>
      </c>
      <c r="AA26" s="436">
        <f t="shared" si="4"/>
        <v>0.83789583249999999</v>
      </c>
      <c r="AB26" s="793">
        <f>7366666+29983332+59645513+62178846+78616667+77577030</f>
        <v>315368054</v>
      </c>
      <c r="AC26" s="429" t="s">
        <v>67</v>
      </c>
    </row>
    <row r="27" spans="1:45" s="40" customFormat="1" ht="122.25" hidden="1" customHeight="1" thickBot="1" x14ac:dyDescent="0.3">
      <c r="A27" s="56" t="s">
        <v>136</v>
      </c>
      <c r="B27" s="56" t="s">
        <v>137</v>
      </c>
      <c r="C27" s="79">
        <v>2020110010168</v>
      </c>
      <c r="D27" s="56" t="s">
        <v>138</v>
      </c>
      <c r="E27" s="144" t="s">
        <v>139</v>
      </c>
      <c r="F27" s="64" t="s">
        <v>140</v>
      </c>
      <c r="G27" s="65" t="s">
        <v>60</v>
      </c>
      <c r="H27" s="68" t="s">
        <v>147</v>
      </c>
      <c r="I27" s="69" t="s">
        <v>148</v>
      </c>
      <c r="J27" s="70" t="s">
        <v>116</v>
      </c>
      <c r="K27" s="71" t="s">
        <v>43</v>
      </c>
      <c r="L27" s="39" t="s">
        <v>149</v>
      </c>
      <c r="M27" s="39" t="s">
        <v>150</v>
      </c>
      <c r="N27" s="72" t="s">
        <v>151</v>
      </c>
      <c r="O27" s="73" t="s">
        <v>143</v>
      </c>
      <c r="P27" s="74" t="s">
        <v>152</v>
      </c>
      <c r="Q27" s="797" t="s">
        <v>534</v>
      </c>
      <c r="R27" s="794" t="s">
        <v>535</v>
      </c>
      <c r="S27" s="577"/>
      <c r="T27" s="333">
        <v>743050000</v>
      </c>
      <c r="U27" s="551">
        <v>743050000</v>
      </c>
      <c r="V27" s="334"/>
      <c r="W27" s="431">
        <v>743050000</v>
      </c>
      <c r="X27" s="431">
        <v>695401390</v>
      </c>
      <c r="Y27" s="431">
        <f t="shared" si="3"/>
        <v>47648610</v>
      </c>
      <c r="Z27" s="431">
        <v>31333390</v>
      </c>
      <c r="AA27" s="430">
        <f>+Z27/W27</f>
        <v>4.2168615840118433E-2</v>
      </c>
      <c r="AB27" s="334"/>
      <c r="AC27" s="334"/>
    </row>
    <row r="28" spans="1:45" s="40" customFormat="1" ht="92.25" hidden="1" customHeight="1" thickBot="1" x14ac:dyDescent="0.3">
      <c r="A28" s="56" t="s">
        <v>136</v>
      </c>
      <c r="B28" s="56" t="s">
        <v>137</v>
      </c>
      <c r="C28" s="79">
        <v>2020110010168</v>
      </c>
      <c r="D28" s="56" t="s">
        <v>138</v>
      </c>
      <c r="E28" s="144" t="s">
        <v>139</v>
      </c>
      <c r="F28" s="64" t="s">
        <v>140</v>
      </c>
      <c r="G28" s="65" t="s">
        <v>53</v>
      </c>
      <c r="H28" s="68" t="s">
        <v>155</v>
      </c>
      <c r="I28" s="69" t="s">
        <v>156</v>
      </c>
      <c r="J28" s="70" t="s">
        <v>116</v>
      </c>
      <c r="K28" s="75" t="s">
        <v>43</v>
      </c>
      <c r="L28" s="75" t="s">
        <v>149</v>
      </c>
      <c r="M28" s="75" t="s">
        <v>157</v>
      </c>
      <c r="N28" s="76" t="s">
        <v>158</v>
      </c>
      <c r="O28" s="73" t="s">
        <v>143</v>
      </c>
      <c r="P28" s="77" t="s">
        <v>159</v>
      </c>
      <c r="Q28" s="579"/>
      <c r="R28" s="579"/>
      <c r="S28" s="579"/>
      <c r="T28" s="333">
        <v>7000000</v>
      </c>
      <c r="U28" s="551">
        <v>7000000</v>
      </c>
      <c r="V28" s="334"/>
      <c r="W28" s="431">
        <v>7000000</v>
      </c>
      <c r="X28" s="431"/>
      <c r="Y28" s="431">
        <f t="shared" si="3"/>
        <v>7000000</v>
      </c>
      <c r="Z28" s="431"/>
      <c r="AA28" s="430">
        <f>+Z28/W28</f>
        <v>0</v>
      </c>
      <c r="AB28" s="334"/>
      <c r="AC28" s="334"/>
      <c r="AS28" s="40">
        <v>4.0399999999999998E-2</v>
      </c>
    </row>
    <row r="29" spans="1:45" s="40" customFormat="1" ht="70.349999999999994" hidden="1" customHeight="1" thickBot="1" x14ac:dyDescent="0.3">
      <c r="A29" s="56" t="s">
        <v>136</v>
      </c>
      <c r="B29" s="56" t="s">
        <v>137</v>
      </c>
      <c r="C29" s="79">
        <v>2020110010168</v>
      </c>
      <c r="D29" s="56" t="s">
        <v>138</v>
      </c>
      <c r="E29" s="56" t="s">
        <v>160</v>
      </c>
      <c r="F29" s="64" t="s">
        <v>140</v>
      </c>
      <c r="G29" s="155" t="s">
        <v>68</v>
      </c>
      <c r="H29" s="154" t="s">
        <v>161</v>
      </c>
      <c r="I29" s="153" t="s">
        <v>162</v>
      </c>
      <c r="J29" s="152" t="s">
        <v>116</v>
      </c>
      <c r="K29" s="822" t="s">
        <v>43</v>
      </c>
      <c r="L29" s="150" t="s">
        <v>44</v>
      </c>
      <c r="M29" s="149" t="s">
        <v>45</v>
      </c>
      <c r="N29" s="148" t="s">
        <v>163</v>
      </c>
      <c r="O29" s="147" t="s">
        <v>164</v>
      </c>
      <c r="P29" s="146" t="s">
        <v>165</v>
      </c>
      <c r="Q29" s="788" t="s">
        <v>536</v>
      </c>
      <c r="R29" s="789" t="s">
        <v>537</v>
      </c>
      <c r="S29" s="898"/>
      <c r="T29" s="333">
        <v>255910000</v>
      </c>
      <c r="U29" s="551">
        <v>255910000</v>
      </c>
      <c r="V29" s="733">
        <f>30000000+2867398-246507626</f>
        <v>-213640228</v>
      </c>
      <c r="W29" s="431">
        <f>+V29+U29</f>
        <v>42269772</v>
      </c>
      <c r="X29" s="431">
        <v>42269772</v>
      </c>
      <c r="Y29" s="431">
        <f>+W29-X29</f>
        <v>0</v>
      </c>
      <c r="Z29" s="431">
        <v>5097384</v>
      </c>
      <c r="AA29" s="344">
        <f t="shared" si="4"/>
        <v>0.12059170794675685</v>
      </c>
      <c r="AB29" s="431">
        <v>1622584</v>
      </c>
      <c r="AC29" s="345" t="s">
        <v>168</v>
      </c>
    </row>
    <row r="30" spans="1:45" s="40" customFormat="1" ht="70.349999999999994" hidden="1" customHeight="1" thickBot="1" x14ac:dyDescent="0.3">
      <c r="A30" s="56" t="s">
        <v>136</v>
      </c>
      <c r="B30" s="56" t="s">
        <v>137</v>
      </c>
      <c r="C30" s="79">
        <v>2020110010168</v>
      </c>
      <c r="D30" s="56" t="s">
        <v>138</v>
      </c>
      <c r="E30" s="56" t="s">
        <v>538</v>
      </c>
      <c r="F30" s="64" t="s">
        <v>140</v>
      </c>
      <c r="G30" s="151" t="s">
        <v>43</v>
      </c>
      <c r="H30" s="150" t="s">
        <v>44</v>
      </c>
      <c r="I30" s="149" t="s">
        <v>45</v>
      </c>
      <c r="J30" s="148" t="s">
        <v>163</v>
      </c>
      <c r="K30" s="36" t="s">
        <v>43</v>
      </c>
      <c r="L30" s="150" t="s">
        <v>44</v>
      </c>
      <c r="M30" s="149" t="s">
        <v>45</v>
      </c>
      <c r="N30" s="148" t="s">
        <v>163</v>
      </c>
      <c r="O30" s="147" t="s">
        <v>164</v>
      </c>
      <c r="P30" s="146"/>
      <c r="Q30" s="581"/>
      <c r="R30" s="582"/>
      <c r="S30" s="581"/>
      <c r="T30" s="333"/>
      <c r="U30" s="551"/>
      <c r="V30" s="733">
        <v>263707626</v>
      </c>
      <c r="W30" s="610">
        <f>+V30</f>
        <v>263707626</v>
      </c>
      <c r="X30" s="431">
        <f>+V30</f>
        <v>263707626</v>
      </c>
      <c r="Y30" s="431"/>
      <c r="Z30" s="431">
        <v>230823249</v>
      </c>
      <c r="AA30" s="344"/>
      <c r="AB30" s="431"/>
      <c r="AC30" s="345"/>
    </row>
    <row r="31" spans="1:45" s="40" customFormat="1" ht="112.5" hidden="1" customHeight="1" thickBot="1" x14ac:dyDescent="0.3">
      <c r="A31" s="56" t="s">
        <v>136</v>
      </c>
      <c r="B31" s="56" t="s">
        <v>137</v>
      </c>
      <c r="C31" s="79">
        <v>2020110010168</v>
      </c>
      <c r="D31" s="62" t="s">
        <v>138</v>
      </c>
      <c r="E31" s="62" t="s">
        <v>139</v>
      </c>
      <c r="F31" s="64" t="s">
        <v>140</v>
      </c>
      <c r="G31" s="65" t="s">
        <v>53</v>
      </c>
      <c r="H31" s="68" t="s">
        <v>54</v>
      </c>
      <c r="I31" s="69" t="s">
        <v>55</v>
      </c>
      <c r="J31" s="70" t="s">
        <v>116</v>
      </c>
      <c r="K31" s="71" t="s">
        <v>43</v>
      </c>
      <c r="L31" s="36" t="s">
        <v>44</v>
      </c>
      <c r="M31" s="49" t="s">
        <v>45</v>
      </c>
      <c r="N31" s="67" t="s">
        <v>142</v>
      </c>
      <c r="O31" s="73" t="s">
        <v>164</v>
      </c>
      <c r="P31" s="80" t="s">
        <v>169</v>
      </c>
      <c r="Q31" s="762" t="s">
        <v>539</v>
      </c>
      <c r="R31" s="763" t="s">
        <v>540</v>
      </c>
      <c r="S31" s="585" t="s">
        <v>172</v>
      </c>
      <c r="T31" s="333">
        <v>525000000</v>
      </c>
      <c r="U31" s="551">
        <v>525000000</v>
      </c>
      <c r="V31" s="334"/>
      <c r="W31" s="431">
        <v>525000000</v>
      </c>
      <c r="X31" s="431">
        <v>525000000</v>
      </c>
      <c r="Y31" s="431">
        <f t="shared" si="3"/>
        <v>0</v>
      </c>
      <c r="Z31" s="431">
        <v>272931817</v>
      </c>
      <c r="AA31" s="430">
        <f t="shared" si="4"/>
        <v>0.51987012761904761</v>
      </c>
      <c r="AB31" s="431">
        <v>109566612</v>
      </c>
      <c r="AC31" s="787" t="s">
        <v>541</v>
      </c>
    </row>
    <row r="32" spans="1:45" s="40" customFormat="1" ht="69" hidden="1" customHeight="1" thickBot="1" x14ac:dyDescent="0.3">
      <c r="A32" s="56" t="s">
        <v>136</v>
      </c>
      <c r="B32" s="56" t="s">
        <v>137</v>
      </c>
      <c r="C32" s="79">
        <v>2020110010168</v>
      </c>
      <c r="D32" s="62" t="s">
        <v>138</v>
      </c>
      <c r="E32" s="62" t="s">
        <v>139</v>
      </c>
      <c r="F32" s="64" t="s">
        <v>140</v>
      </c>
      <c r="G32" s="65" t="s">
        <v>53</v>
      </c>
      <c r="H32" s="68" t="s">
        <v>54</v>
      </c>
      <c r="I32" s="69" t="s">
        <v>173</v>
      </c>
      <c r="J32" s="70" t="s">
        <v>116</v>
      </c>
      <c r="K32" s="71" t="s">
        <v>43</v>
      </c>
      <c r="L32" s="36" t="s">
        <v>44</v>
      </c>
      <c r="M32" s="49" t="s">
        <v>45</v>
      </c>
      <c r="N32" s="67" t="s">
        <v>142</v>
      </c>
      <c r="O32" s="73" t="s">
        <v>164</v>
      </c>
      <c r="P32" s="81" t="s">
        <v>174</v>
      </c>
      <c r="Q32" s="858" t="s">
        <v>175</v>
      </c>
      <c r="R32" s="859" t="s">
        <v>176</v>
      </c>
      <c r="S32" s="588" t="s">
        <v>542</v>
      </c>
      <c r="T32" s="333">
        <v>309400000</v>
      </c>
      <c r="U32" s="551">
        <v>309400000</v>
      </c>
      <c r="V32" s="334"/>
      <c r="W32" s="431">
        <v>309400000</v>
      </c>
      <c r="X32" s="431">
        <v>105000000</v>
      </c>
      <c r="Y32" s="431">
        <f t="shared" si="3"/>
        <v>204400000</v>
      </c>
      <c r="Z32" s="431">
        <v>105000000</v>
      </c>
      <c r="AA32" s="430">
        <f t="shared" si="4"/>
        <v>0.33936651583710409</v>
      </c>
      <c r="AB32" s="431">
        <f>9045236+10493743</f>
        <v>19538979</v>
      </c>
      <c r="AC32" s="432" t="s">
        <v>177</v>
      </c>
    </row>
    <row r="33" spans="1:29" s="40" customFormat="1" ht="321" hidden="1" customHeight="1" thickBot="1" x14ac:dyDescent="0.3">
      <c r="A33" s="56" t="s">
        <v>136</v>
      </c>
      <c r="B33" s="56" t="s">
        <v>137</v>
      </c>
      <c r="C33" s="79">
        <v>2020110010168</v>
      </c>
      <c r="D33" s="56" t="s">
        <v>138</v>
      </c>
      <c r="E33" s="56" t="s">
        <v>139</v>
      </c>
      <c r="F33" s="64" t="s">
        <v>140</v>
      </c>
      <c r="G33" s="65" t="s">
        <v>60</v>
      </c>
      <c r="H33" s="68" t="s">
        <v>61</v>
      </c>
      <c r="I33" s="69" t="s">
        <v>141</v>
      </c>
      <c r="J33" s="70" t="s">
        <v>116</v>
      </c>
      <c r="K33" s="71" t="s">
        <v>43</v>
      </c>
      <c r="L33" s="36" t="s">
        <v>44</v>
      </c>
      <c r="M33" s="49" t="s">
        <v>45</v>
      </c>
      <c r="N33" s="67" t="s">
        <v>142</v>
      </c>
      <c r="O33" s="73" t="s">
        <v>164</v>
      </c>
      <c r="P33" s="80" t="s">
        <v>178</v>
      </c>
      <c r="Q33" s="764" t="s">
        <v>543</v>
      </c>
      <c r="R33" s="590" t="s">
        <v>544</v>
      </c>
      <c r="S33" s="585"/>
      <c r="T33" s="333">
        <v>3450000000</v>
      </c>
      <c r="U33" s="551">
        <v>3450000000</v>
      </c>
      <c r="V33" s="551"/>
      <c r="W33" s="431">
        <v>3450000000</v>
      </c>
      <c r="X33" s="431">
        <v>2876565951</v>
      </c>
      <c r="Y33" s="431">
        <f t="shared" si="3"/>
        <v>573434049</v>
      </c>
      <c r="Z33" s="431">
        <v>2712246656</v>
      </c>
      <c r="AA33" s="430">
        <f t="shared" si="4"/>
        <v>0.78615845101449278</v>
      </c>
      <c r="AB33" s="431">
        <f>34275718+112477810+138521964+269458670+300815890+320844986+41121718</f>
        <v>1217516756</v>
      </c>
      <c r="AC33" s="432" t="s">
        <v>67</v>
      </c>
    </row>
    <row r="34" spans="1:29" s="40" customFormat="1" ht="202.5" hidden="1" customHeight="1" thickBot="1" x14ac:dyDescent="0.3">
      <c r="A34" s="56" t="s">
        <v>136</v>
      </c>
      <c r="B34" s="56" t="s">
        <v>137</v>
      </c>
      <c r="C34" s="79">
        <v>2020110010168</v>
      </c>
      <c r="D34" s="56" t="s">
        <v>138</v>
      </c>
      <c r="E34" s="144" t="s">
        <v>181</v>
      </c>
      <c r="F34" s="64" t="s">
        <v>140</v>
      </c>
      <c r="G34" s="82" t="s">
        <v>53</v>
      </c>
      <c r="H34" s="83" t="s">
        <v>182</v>
      </c>
      <c r="I34" s="84" t="s">
        <v>183</v>
      </c>
      <c r="J34" s="70" t="s">
        <v>116</v>
      </c>
      <c r="K34" s="71" t="s">
        <v>43</v>
      </c>
      <c r="L34" s="75" t="s">
        <v>149</v>
      </c>
      <c r="M34" s="75" t="s">
        <v>157</v>
      </c>
      <c r="N34" s="76" t="s">
        <v>158</v>
      </c>
      <c r="O34" s="73" t="s">
        <v>184</v>
      </c>
      <c r="P34" s="145" t="s">
        <v>185</v>
      </c>
      <c r="Q34" s="791" t="s">
        <v>545</v>
      </c>
      <c r="R34" s="792" t="s">
        <v>546</v>
      </c>
      <c r="S34" s="593"/>
      <c r="T34" s="333">
        <v>1268888000</v>
      </c>
      <c r="U34" s="551">
        <v>1268888000</v>
      </c>
      <c r="V34" s="856">
        <v>-230940719</v>
      </c>
      <c r="W34" s="431">
        <f>U34+V34</f>
        <v>1037947281</v>
      </c>
      <c r="X34" s="431">
        <v>426682183</v>
      </c>
      <c r="Y34" s="431">
        <f t="shared" si="3"/>
        <v>611265098</v>
      </c>
      <c r="Z34" s="431">
        <v>426682183</v>
      </c>
      <c r="AA34" s="430">
        <f t="shared" si="4"/>
        <v>0.41108271182031259</v>
      </c>
      <c r="AB34" s="431">
        <v>9218907</v>
      </c>
      <c r="AC34" s="345" t="s">
        <v>188</v>
      </c>
    </row>
    <row r="35" spans="1:29" s="40" customFormat="1" ht="84" hidden="1" customHeight="1" thickBot="1" x14ac:dyDescent="0.3">
      <c r="A35" s="56" t="s">
        <v>136</v>
      </c>
      <c r="B35" s="56" t="s">
        <v>137</v>
      </c>
      <c r="C35" s="79">
        <v>2020110010168</v>
      </c>
      <c r="D35" s="62" t="s">
        <v>138</v>
      </c>
      <c r="E35" s="63" t="s">
        <v>181</v>
      </c>
      <c r="F35" s="64" t="s">
        <v>140</v>
      </c>
      <c r="G35" s="82" t="s">
        <v>53</v>
      </c>
      <c r="H35" s="83" t="s">
        <v>155</v>
      </c>
      <c r="I35" s="84" t="s">
        <v>156</v>
      </c>
      <c r="J35" s="70" t="s">
        <v>116</v>
      </c>
      <c r="K35" s="71" t="s">
        <v>43</v>
      </c>
      <c r="L35" s="36" t="s">
        <v>44</v>
      </c>
      <c r="M35" s="49" t="s">
        <v>45</v>
      </c>
      <c r="N35" s="76" t="s">
        <v>189</v>
      </c>
      <c r="O35" s="73" t="s">
        <v>184</v>
      </c>
      <c r="P35" s="80" t="s">
        <v>190</v>
      </c>
      <c r="Q35" s="762" t="s">
        <v>547</v>
      </c>
      <c r="R35" s="763" t="s">
        <v>548</v>
      </c>
      <c r="S35" s="585"/>
      <c r="T35" s="333">
        <v>35000000</v>
      </c>
      <c r="U35" s="551">
        <v>35000000</v>
      </c>
      <c r="V35" s="334"/>
      <c r="W35" s="431">
        <f>U35+V35</f>
        <v>35000000</v>
      </c>
      <c r="X35" s="431">
        <v>35000000</v>
      </c>
      <c r="Y35" s="431">
        <f t="shared" si="3"/>
        <v>0</v>
      </c>
      <c r="Z35" s="334"/>
      <c r="AA35" s="430">
        <f t="shared" si="4"/>
        <v>0</v>
      </c>
      <c r="AB35" s="334"/>
      <c r="AC35" s="334"/>
    </row>
    <row r="36" spans="1:29" s="40" customFormat="1" ht="243" hidden="1" customHeight="1" thickBot="1" x14ac:dyDescent="0.3">
      <c r="A36" s="56" t="s">
        <v>136</v>
      </c>
      <c r="B36" s="56" t="s">
        <v>137</v>
      </c>
      <c r="C36" s="79">
        <v>2020110010168</v>
      </c>
      <c r="D36" s="56" t="s">
        <v>138</v>
      </c>
      <c r="E36" s="144" t="s">
        <v>181</v>
      </c>
      <c r="F36" s="64" t="s">
        <v>140</v>
      </c>
      <c r="G36" s="82" t="s">
        <v>53</v>
      </c>
      <c r="H36" s="83" t="s">
        <v>155</v>
      </c>
      <c r="I36" s="84" t="s">
        <v>193</v>
      </c>
      <c r="J36" s="70" t="s">
        <v>116</v>
      </c>
      <c r="K36" s="71" t="s">
        <v>43</v>
      </c>
      <c r="L36" s="36" t="s">
        <v>44</v>
      </c>
      <c r="M36" s="49" t="s">
        <v>45</v>
      </c>
      <c r="N36" s="61" t="s">
        <v>194</v>
      </c>
      <c r="O36" s="85" t="s">
        <v>184</v>
      </c>
      <c r="P36" s="80" t="s">
        <v>195</v>
      </c>
      <c r="Q36" s="764" t="s">
        <v>549</v>
      </c>
      <c r="R36" s="765" t="s">
        <v>550</v>
      </c>
      <c r="S36" s="585"/>
      <c r="T36" s="333">
        <v>908558000</v>
      </c>
      <c r="U36" s="551">
        <v>908558000</v>
      </c>
      <c r="V36" s="857">
        <v>-16190992</v>
      </c>
      <c r="W36" s="431">
        <f>U36+V36</f>
        <v>892367008</v>
      </c>
      <c r="X36" s="431">
        <v>491682183</v>
      </c>
      <c r="Y36" s="431">
        <f>+W36-X36</f>
        <v>400684825</v>
      </c>
      <c r="Z36" s="431">
        <v>426682183</v>
      </c>
      <c r="AA36" s="430">
        <f t="shared" si="4"/>
        <v>0.47814652399161756</v>
      </c>
      <c r="AB36" s="334"/>
      <c r="AC36" s="336" t="s">
        <v>198</v>
      </c>
    </row>
    <row r="37" spans="1:29" s="40" customFormat="1" ht="184.5" hidden="1" customHeight="1" thickBot="1" x14ac:dyDescent="0.3">
      <c r="A37" s="56" t="s">
        <v>136</v>
      </c>
      <c r="B37" s="56" t="s">
        <v>137</v>
      </c>
      <c r="C37" s="79">
        <v>2020110010168</v>
      </c>
      <c r="D37" s="56" t="s">
        <v>138</v>
      </c>
      <c r="E37" s="144" t="s">
        <v>181</v>
      </c>
      <c r="F37" s="64" t="s">
        <v>140</v>
      </c>
      <c r="G37" s="82" t="s">
        <v>60</v>
      </c>
      <c r="H37" s="83" t="s">
        <v>61</v>
      </c>
      <c r="I37" s="84" t="s">
        <v>141</v>
      </c>
      <c r="J37" s="70" t="s">
        <v>116</v>
      </c>
      <c r="K37" s="823" t="s">
        <v>43</v>
      </c>
      <c r="L37" s="36" t="s">
        <v>44</v>
      </c>
      <c r="M37" s="49" t="s">
        <v>45</v>
      </c>
      <c r="N37" s="67" t="s">
        <v>142</v>
      </c>
      <c r="O37" s="73" t="s">
        <v>184</v>
      </c>
      <c r="P37" s="80" t="s">
        <v>199</v>
      </c>
      <c r="Q37" s="764" t="s">
        <v>551</v>
      </c>
      <c r="R37" s="765" t="s">
        <v>552</v>
      </c>
      <c r="S37" s="585"/>
      <c r="T37" s="333">
        <v>800000000</v>
      </c>
      <c r="U37" s="333">
        <v>800000000</v>
      </c>
      <c r="V37" s="856">
        <v>247131711</v>
      </c>
      <c r="W37" s="431">
        <f>U37+V37</f>
        <v>1047131711</v>
      </c>
      <c r="X37" s="431">
        <v>832550435</v>
      </c>
      <c r="Y37" s="431">
        <f t="shared" si="3"/>
        <v>214581276</v>
      </c>
      <c r="Z37" s="431">
        <v>763550435</v>
      </c>
      <c r="AA37" s="430">
        <f t="shared" si="4"/>
        <v>0.7291828019140183</v>
      </c>
      <c r="AB37" s="431">
        <f>345000+38071202+76761411+96755611+102068111+104022094</f>
        <v>418023429</v>
      </c>
      <c r="AC37" s="432" t="s">
        <v>67</v>
      </c>
    </row>
    <row r="38" spans="1:29" s="40" customFormat="1" ht="70.349999999999994" hidden="1" customHeight="1" thickBot="1" x14ac:dyDescent="0.3">
      <c r="A38" s="56" t="s">
        <v>136</v>
      </c>
      <c r="B38" s="56" t="s">
        <v>137</v>
      </c>
      <c r="C38" s="79">
        <v>2020110010168</v>
      </c>
      <c r="D38" s="56" t="s">
        <v>138</v>
      </c>
      <c r="E38" s="62" t="s">
        <v>202</v>
      </c>
      <c r="F38" s="64" t="s">
        <v>140</v>
      </c>
      <c r="G38" s="65" t="s">
        <v>53</v>
      </c>
      <c r="H38" s="68" t="s">
        <v>155</v>
      </c>
      <c r="I38" s="69" t="s">
        <v>156</v>
      </c>
      <c r="J38" s="70" t="s">
        <v>116</v>
      </c>
      <c r="K38" s="71" t="s">
        <v>43</v>
      </c>
      <c r="L38" s="36" t="s">
        <v>44</v>
      </c>
      <c r="M38" s="49" t="s">
        <v>45</v>
      </c>
      <c r="N38" s="76" t="s">
        <v>189</v>
      </c>
      <c r="O38" s="73" t="s">
        <v>164</v>
      </c>
      <c r="P38" s="80" t="s">
        <v>203</v>
      </c>
      <c r="Q38" s="790" t="s">
        <v>553</v>
      </c>
      <c r="R38" s="794" t="s">
        <v>554</v>
      </c>
      <c r="S38" s="579"/>
      <c r="T38" s="333">
        <v>167160000</v>
      </c>
      <c r="U38" s="551">
        <v>167160000</v>
      </c>
      <c r="V38" s="551">
        <f>-2867398-47200000</f>
        <v>-50067398</v>
      </c>
      <c r="W38" s="431">
        <f>+U38+V38</f>
        <v>117092602</v>
      </c>
      <c r="X38" s="431"/>
      <c r="Y38" s="431">
        <f t="shared" si="3"/>
        <v>117092602</v>
      </c>
      <c r="Z38" s="431"/>
      <c r="AA38" s="430">
        <f t="shared" si="4"/>
        <v>0</v>
      </c>
      <c r="AB38" s="334"/>
      <c r="AC38" s="334"/>
    </row>
    <row r="39" spans="1:29" s="40" customFormat="1" ht="70.349999999999994" hidden="1" customHeight="1" thickBot="1" x14ac:dyDescent="0.3">
      <c r="A39" s="56" t="s">
        <v>136</v>
      </c>
      <c r="B39" s="56" t="s">
        <v>137</v>
      </c>
      <c r="C39" s="79">
        <v>2020110010168</v>
      </c>
      <c r="D39" s="62" t="s">
        <v>138</v>
      </c>
      <c r="E39" s="62" t="s">
        <v>139</v>
      </c>
      <c r="F39" s="64" t="s">
        <v>140</v>
      </c>
      <c r="G39" s="86" t="s">
        <v>60</v>
      </c>
      <c r="H39" s="87" t="s">
        <v>61</v>
      </c>
      <c r="I39" s="88" t="s">
        <v>141</v>
      </c>
      <c r="J39" s="70" t="s">
        <v>116</v>
      </c>
      <c r="K39" s="71" t="s">
        <v>43</v>
      </c>
      <c r="L39" s="36" t="s">
        <v>44</v>
      </c>
      <c r="M39" s="49" t="s">
        <v>45</v>
      </c>
      <c r="N39" s="67" t="s">
        <v>142</v>
      </c>
      <c r="O39" s="73" t="s">
        <v>206</v>
      </c>
      <c r="P39" s="80" t="s">
        <v>207</v>
      </c>
      <c r="Q39" s="797" t="s">
        <v>555</v>
      </c>
      <c r="R39" s="798" t="s">
        <v>556</v>
      </c>
      <c r="S39" s="585"/>
      <c r="T39" s="333">
        <v>125000000</v>
      </c>
      <c r="U39" s="551">
        <v>125000000</v>
      </c>
      <c r="V39" s="334"/>
      <c r="W39" s="431">
        <v>125000000</v>
      </c>
      <c r="X39" s="431">
        <v>114500000</v>
      </c>
      <c r="Y39" s="431">
        <f t="shared" si="3"/>
        <v>10500000</v>
      </c>
      <c r="Z39" s="431">
        <f>60000000+32500000</f>
        <v>92500000</v>
      </c>
      <c r="AA39" s="430">
        <f t="shared" si="4"/>
        <v>0.74</v>
      </c>
      <c r="AB39" s="800">
        <f>18216667+18500000+18500000</f>
        <v>55216667</v>
      </c>
      <c r="AC39" s="334"/>
    </row>
    <row r="40" spans="1:29" s="40" customFormat="1" ht="150" hidden="1" customHeight="1" thickBot="1" x14ac:dyDescent="0.3">
      <c r="A40" s="56" t="s">
        <v>136</v>
      </c>
      <c r="B40" s="56" t="s">
        <v>137</v>
      </c>
      <c r="C40" s="79">
        <v>2020110010168</v>
      </c>
      <c r="D40" s="62" t="s">
        <v>138</v>
      </c>
      <c r="E40" s="62" t="s">
        <v>139</v>
      </c>
      <c r="F40" s="64" t="s">
        <v>140</v>
      </c>
      <c r="G40" s="57" t="s">
        <v>60</v>
      </c>
      <c r="H40" s="89" t="s">
        <v>61</v>
      </c>
      <c r="I40" s="90" t="s">
        <v>141</v>
      </c>
      <c r="J40" s="855" t="s">
        <v>116</v>
      </c>
      <c r="K40" s="56" t="s">
        <v>43</v>
      </c>
      <c r="L40" s="36" t="s">
        <v>44</v>
      </c>
      <c r="M40" s="49" t="s">
        <v>45</v>
      </c>
      <c r="N40" s="67" t="s">
        <v>142</v>
      </c>
      <c r="O40" s="73" t="s">
        <v>210</v>
      </c>
      <c r="P40" s="91" t="s">
        <v>211</v>
      </c>
      <c r="Q40" s="791" t="s">
        <v>557</v>
      </c>
      <c r="R40" s="792" t="s">
        <v>558</v>
      </c>
      <c r="S40" s="601"/>
      <c r="T40" s="333">
        <f>787000000+100000000</f>
        <v>887000000</v>
      </c>
      <c r="U40" s="602">
        <f>+T40</f>
        <v>887000000</v>
      </c>
      <c r="V40" s="603"/>
      <c r="W40" s="346">
        <f>+U40</f>
        <v>887000000</v>
      </c>
      <c r="X40" s="431">
        <v>662277477</v>
      </c>
      <c r="Y40" s="431">
        <f t="shared" si="3"/>
        <v>224722523</v>
      </c>
      <c r="Z40" s="431">
        <v>555884231</v>
      </c>
      <c r="AA40" s="430">
        <f t="shared" si="4"/>
        <v>0.62670150056369789</v>
      </c>
      <c r="AB40" s="431">
        <v>284245801</v>
      </c>
      <c r="AC40" s="432" t="s">
        <v>67</v>
      </c>
    </row>
    <row r="41" spans="1:29" s="40" customFormat="1" ht="192" hidden="1" customHeight="1" thickBot="1" x14ac:dyDescent="0.3">
      <c r="A41" s="56" t="s">
        <v>136</v>
      </c>
      <c r="B41" s="56" t="s">
        <v>137</v>
      </c>
      <c r="C41" s="79">
        <v>2020110010168</v>
      </c>
      <c r="D41" s="56" t="s">
        <v>138</v>
      </c>
      <c r="E41" s="56" t="s">
        <v>139</v>
      </c>
      <c r="F41" s="64" t="s">
        <v>140</v>
      </c>
      <c r="G41" s="92" t="s">
        <v>60</v>
      </c>
      <c r="H41" s="93" t="s">
        <v>61</v>
      </c>
      <c r="I41" s="94" t="s">
        <v>141</v>
      </c>
      <c r="J41" s="70" t="s">
        <v>116</v>
      </c>
      <c r="K41" s="71" t="s">
        <v>43</v>
      </c>
      <c r="L41" s="36" t="s">
        <v>44</v>
      </c>
      <c r="M41" s="49" t="s">
        <v>45</v>
      </c>
      <c r="N41" s="67" t="s">
        <v>142</v>
      </c>
      <c r="O41" s="73" t="s">
        <v>214</v>
      </c>
      <c r="P41" s="143" t="s">
        <v>215</v>
      </c>
      <c r="Q41" s="766" t="s">
        <v>559</v>
      </c>
      <c r="R41" s="766" t="s">
        <v>560</v>
      </c>
      <c r="S41" s="606"/>
      <c r="T41" s="333">
        <v>2300000000</v>
      </c>
      <c r="U41" s="551">
        <v>2300000000</v>
      </c>
      <c r="V41" s="333"/>
      <c r="W41" s="431">
        <v>2300000000</v>
      </c>
      <c r="X41" s="431">
        <v>1963618987</v>
      </c>
      <c r="Y41" s="431">
        <f t="shared" si="3"/>
        <v>336381013</v>
      </c>
      <c r="Z41" s="799">
        <f>212150000+836311070+345235986+54250000+169330000+117200000</f>
        <v>1734477056</v>
      </c>
      <c r="AA41" s="430">
        <f t="shared" si="4"/>
        <v>0.75412045913043479</v>
      </c>
      <c r="AB41" s="793">
        <f>4646667+29933334+40945457+140408710+165239211+173537988</f>
        <v>554711367</v>
      </c>
      <c r="AC41" s="432" t="s">
        <v>67</v>
      </c>
    </row>
    <row r="42" spans="1:29" s="40" customFormat="1" ht="70.349999999999994" hidden="1" customHeight="1" thickBot="1" x14ac:dyDescent="0.3">
      <c r="A42" s="56" t="s">
        <v>136</v>
      </c>
      <c r="B42" s="56" t="s">
        <v>137</v>
      </c>
      <c r="C42" s="79">
        <v>2020110010168</v>
      </c>
      <c r="D42" s="62" t="s">
        <v>138</v>
      </c>
      <c r="E42" s="62" t="s">
        <v>202</v>
      </c>
      <c r="F42" s="64" t="s">
        <v>140</v>
      </c>
      <c r="G42" s="65" t="s">
        <v>53</v>
      </c>
      <c r="H42" s="95" t="s">
        <v>54</v>
      </c>
      <c r="I42" s="96" t="s">
        <v>218</v>
      </c>
      <c r="J42" s="97" t="s">
        <v>116</v>
      </c>
      <c r="K42" s="823" t="s">
        <v>43</v>
      </c>
      <c r="L42" s="36" t="s">
        <v>44</v>
      </c>
      <c r="M42" s="49" t="s">
        <v>45</v>
      </c>
      <c r="N42" s="142" t="s">
        <v>219</v>
      </c>
      <c r="O42" s="98" t="s">
        <v>164</v>
      </c>
      <c r="P42" s="99" t="s">
        <v>220</v>
      </c>
      <c r="Q42" s="821" t="s">
        <v>97</v>
      </c>
      <c r="R42" s="821" t="s">
        <v>97</v>
      </c>
      <c r="S42" s="821" t="s">
        <v>97</v>
      </c>
      <c r="T42" s="333">
        <v>10000000</v>
      </c>
      <c r="U42" s="551">
        <v>10000000</v>
      </c>
      <c r="V42" s="334"/>
      <c r="W42" s="431">
        <v>10000000</v>
      </c>
      <c r="X42" s="431">
        <v>1516185</v>
      </c>
      <c r="Y42" s="431">
        <f t="shared" si="3"/>
        <v>8483815</v>
      </c>
      <c r="Z42" s="431">
        <v>952530</v>
      </c>
      <c r="AA42" s="430">
        <f t="shared" si="4"/>
        <v>9.5253000000000004E-2</v>
      </c>
      <c r="AB42" s="334"/>
      <c r="AC42" s="334"/>
    </row>
    <row r="43" spans="1:29" s="40" customFormat="1" ht="122.25" hidden="1" customHeight="1" x14ac:dyDescent="0.25">
      <c r="A43" s="100" t="s">
        <v>221</v>
      </c>
      <c r="B43" s="21" t="s">
        <v>222</v>
      </c>
      <c r="C43" s="101">
        <v>2020110010206</v>
      </c>
      <c r="D43" s="43" t="s">
        <v>223</v>
      </c>
      <c r="E43" s="43" t="s">
        <v>224</v>
      </c>
      <c r="F43" s="72" t="s">
        <v>225</v>
      </c>
      <c r="G43" s="55" t="s">
        <v>40</v>
      </c>
      <c r="H43" s="55" t="s">
        <v>226</v>
      </c>
      <c r="I43" s="102" t="s">
        <v>227</v>
      </c>
      <c r="J43" s="39" t="s">
        <v>116</v>
      </c>
      <c r="K43" s="39" t="s">
        <v>43</v>
      </c>
      <c r="L43" s="36" t="s">
        <v>44</v>
      </c>
      <c r="M43" s="37" t="s">
        <v>45</v>
      </c>
      <c r="N43" s="38" t="s">
        <v>63</v>
      </c>
      <c r="O43" s="39" t="s">
        <v>228</v>
      </c>
      <c r="P43" s="31" t="s">
        <v>229</v>
      </c>
      <c r="Q43" s="608" t="s">
        <v>561</v>
      </c>
      <c r="R43" s="609" t="s">
        <v>562</v>
      </c>
      <c r="S43" s="899"/>
      <c r="T43" s="333">
        <v>684000000</v>
      </c>
      <c r="U43" s="551">
        <v>684000000</v>
      </c>
      <c r="V43" s="610">
        <f>695695200+817106046+13400000</f>
        <v>1526201246</v>
      </c>
      <c r="W43" s="431">
        <f>+U43+V43</f>
        <v>2210201246</v>
      </c>
      <c r="X43" s="886">
        <f>1763532150</f>
        <v>1763532150</v>
      </c>
      <c r="Y43" s="431">
        <f>+W43-X43</f>
        <v>446669096</v>
      </c>
      <c r="Z43" s="431">
        <v>1284327668</v>
      </c>
      <c r="AA43" s="430">
        <f t="shared" si="4"/>
        <v>0.58109082615185537</v>
      </c>
      <c r="AB43" s="431">
        <v>117269914</v>
      </c>
      <c r="AC43" s="358" t="s">
        <v>232</v>
      </c>
    </row>
    <row r="44" spans="1:29" s="40" customFormat="1" ht="122.25" hidden="1" customHeight="1" x14ac:dyDescent="0.25">
      <c r="A44" s="100" t="s">
        <v>221</v>
      </c>
      <c r="B44" s="21" t="s">
        <v>222</v>
      </c>
      <c r="C44" s="101">
        <v>2020110010206</v>
      </c>
      <c r="D44" s="106" t="s">
        <v>223</v>
      </c>
      <c r="E44" s="43" t="s">
        <v>233</v>
      </c>
      <c r="F44" s="72" t="s">
        <v>225</v>
      </c>
      <c r="G44" s="55"/>
      <c r="H44" s="55"/>
      <c r="I44" s="102"/>
      <c r="J44" s="39"/>
      <c r="K44" s="39" t="s">
        <v>234</v>
      </c>
      <c r="L44" s="36" t="s">
        <v>44</v>
      </c>
      <c r="M44" s="37" t="s">
        <v>45</v>
      </c>
      <c r="N44" s="38" t="s">
        <v>63</v>
      </c>
      <c r="O44" s="39" t="s">
        <v>228</v>
      </c>
      <c r="P44" s="32" t="s">
        <v>235</v>
      </c>
      <c r="Q44" s="608"/>
      <c r="R44" s="609"/>
      <c r="S44" s="866"/>
      <c r="T44" s="333"/>
      <c r="U44" s="551"/>
      <c r="V44" s="610">
        <v>60460372</v>
      </c>
      <c r="W44" s="708">
        <f>+V44</f>
        <v>60460372</v>
      </c>
      <c r="X44" s="348"/>
      <c r="Y44" s="431">
        <f>+W44-X44</f>
        <v>60460372</v>
      </c>
      <c r="Z44" s="431"/>
      <c r="AA44" s="430"/>
      <c r="AB44" s="431"/>
      <c r="AC44" s="358"/>
    </row>
    <row r="45" spans="1:29" s="40" customFormat="1" ht="126" hidden="1" customHeight="1" x14ac:dyDescent="0.25">
      <c r="A45" s="100" t="s">
        <v>221</v>
      </c>
      <c r="B45" s="21" t="s">
        <v>222</v>
      </c>
      <c r="C45" s="103">
        <v>2020110010206</v>
      </c>
      <c r="D45" s="43" t="s">
        <v>223</v>
      </c>
      <c r="E45" s="43" t="s">
        <v>236</v>
      </c>
      <c r="F45" s="72" t="s">
        <v>225</v>
      </c>
      <c r="G45" s="55" t="s">
        <v>40</v>
      </c>
      <c r="H45" s="55" t="s">
        <v>226</v>
      </c>
      <c r="I45" s="102" t="s">
        <v>227</v>
      </c>
      <c r="J45" s="39" t="s">
        <v>116</v>
      </c>
      <c r="K45" s="39" t="s">
        <v>43</v>
      </c>
      <c r="L45" s="36" t="s">
        <v>44</v>
      </c>
      <c r="M45" s="37" t="s">
        <v>45</v>
      </c>
      <c r="N45" s="38" t="s">
        <v>63</v>
      </c>
      <c r="O45" s="39" t="s">
        <v>228</v>
      </c>
      <c r="P45" s="31" t="s">
        <v>237</v>
      </c>
      <c r="Q45" s="611" t="s">
        <v>563</v>
      </c>
      <c r="R45" s="612" t="s">
        <v>564</v>
      </c>
      <c r="S45" s="899"/>
      <c r="T45" s="333">
        <v>756000000</v>
      </c>
      <c r="U45" s="551">
        <v>756000000</v>
      </c>
      <c r="V45" s="614"/>
      <c r="W45" s="431">
        <v>756000000</v>
      </c>
      <c r="X45" s="886">
        <f>234240000</f>
        <v>234240000</v>
      </c>
      <c r="Y45" s="431">
        <f t="shared" si="3"/>
        <v>521760000</v>
      </c>
      <c r="Z45" s="431">
        <v>114240000</v>
      </c>
      <c r="AA45" s="430">
        <f t="shared" si="4"/>
        <v>0.15111111111111111</v>
      </c>
      <c r="AB45" s="334"/>
      <c r="AC45" s="345" t="s">
        <v>240</v>
      </c>
    </row>
    <row r="46" spans="1:29" s="40" customFormat="1" ht="161.25" hidden="1" customHeight="1" x14ac:dyDescent="0.25">
      <c r="A46" s="100" t="s">
        <v>221</v>
      </c>
      <c r="B46" s="21" t="s">
        <v>222</v>
      </c>
      <c r="C46" s="103">
        <v>2020110010206</v>
      </c>
      <c r="D46" s="43" t="s">
        <v>223</v>
      </c>
      <c r="E46" s="43" t="s">
        <v>224</v>
      </c>
      <c r="F46" s="72" t="s">
        <v>225</v>
      </c>
      <c r="G46" s="55" t="s">
        <v>40</v>
      </c>
      <c r="H46" s="104" t="s">
        <v>226</v>
      </c>
      <c r="I46" s="102" t="s">
        <v>227</v>
      </c>
      <c r="J46" s="59" t="s">
        <v>241</v>
      </c>
      <c r="K46" s="59" t="s">
        <v>242</v>
      </c>
      <c r="L46" s="36" t="s">
        <v>44</v>
      </c>
      <c r="M46" s="59" t="s">
        <v>131</v>
      </c>
      <c r="N46" s="60" t="s">
        <v>132</v>
      </c>
      <c r="O46" s="39" t="s">
        <v>228</v>
      </c>
      <c r="P46" s="31" t="s">
        <v>243</v>
      </c>
      <c r="Q46" s="867" t="s">
        <v>565</v>
      </c>
      <c r="R46" s="868" t="s">
        <v>566</v>
      </c>
      <c r="S46" s="866"/>
      <c r="T46" s="333">
        <v>8600000000</v>
      </c>
      <c r="U46" s="551">
        <v>8600000000</v>
      </c>
      <c r="V46" s="614"/>
      <c r="W46" s="708">
        <v>8600000000</v>
      </c>
      <c r="X46" s="431">
        <v>40000000</v>
      </c>
      <c r="Y46" s="431">
        <f t="shared" si="3"/>
        <v>8560000000</v>
      </c>
      <c r="Z46" s="334"/>
      <c r="AA46" s="430">
        <f t="shared" si="4"/>
        <v>0</v>
      </c>
      <c r="AB46" s="334"/>
      <c r="AC46" s="334"/>
    </row>
    <row r="47" spans="1:29" s="40" customFormat="1" ht="70.349999999999994" hidden="1" customHeight="1" x14ac:dyDescent="0.25">
      <c r="A47" s="100" t="s">
        <v>221</v>
      </c>
      <c r="B47" s="21" t="s">
        <v>222</v>
      </c>
      <c r="C47" s="103">
        <v>2020110010206</v>
      </c>
      <c r="D47" s="43" t="s">
        <v>223</v>
      </c>
      <c r="E47" s="43" t="s">
        <v>224</v>
      </c>
      <c r="F47" s="72" t="s">
        <v>225</v>
      </c>
      <c r="G47" s="54" t="s">
        <v>68</v>
      </c>
      <c r="H47" s="104" t="s">
        <v>246</v>
      </c>
      <c r="I47" s="105" t="s">
        <v>247</v>
      </c>
      <c r="J47" s="59" t="s">
        <v>241</v>
      </c>
      <c r="K47" s="59" t="s">
        <v>242</v>
      </c>
      <c r="L47" s="36" t="s">
        <v>44</v>
      </c>
      <c r="M47" s="59" t="s">
        <v>131</v>
      </c>
      <c r="N47" s="60" t="s">
        <v>132</v>
      </c>
      <c r="O47" s="39" t="s">
        <v>228</v>
      </c>
      <c r="P47" s="31" t="s">
        <v>248</v>
      </c>
      <c r="Q47" s="866"/>
      <c r="R47" s="866"/>
      <c r="S47" s="866"/>
      <c r="T47" s="333">
        <v>7108000000</v>
      </c>
      <c r="U47" s="551">
        <v>7108000000</v>
      </c>
      <c r="V47" s="614"/>
      <c r="W47" s="708">
        <v>7108000000</v>
      </c>
      <c r="X47" s="431">
        <v>4054230820</v>
      </c>
      <c r="Y47" s="431">
        <f t="shared" si="3"/>
        <v>3053769180</v>
      </c>
      <c r="Z47" s="334"/>
      <c r="AA47" s="430">
        <f t="shared" si="4"/>
        <v>0</v>
      </c>
      <c r="AB47" s="334"/>
      <c r="AC47" s="334"/>
    </row>
    <row r="48" spans="1:29" s="40" customFormat="1" ht="70.349999999999994" hidden="1" customHeight="1" x14ac:dyDescent="0.25">
      <c r="A48" s="100" t="s">
        <v>221</v>
      </c>
      <c r="B48" s="21" t="s">
        <v>222</v>
      </c>
      <c r="C48" s="103">
        <v>2020110010206</v>
      </c>
      <c r="D48" s="43" t="s">
        <v>223</v>
      </c>
      <c r="E48" s="43" t="s">
        <v>224</v>
      </c>
      <c r="F48" s="100" t="s">
        <v>225</v>
      </c>
      <c r="G48" s="111" t="s">
        <v>68</v>
      </c>
      <c r="H48" s="112" t="s">
        <v>246</v>
      </c>
      <c r="I48" s="105" t="s">
        <v>247</v>
      </c>
      <c r="J48" s="21" t="s">
        <v>116</v>
      </c>
      <c r="K48" s="39" t="s">
        <v>43</v>
      </c>
      <c r="L48" s="56" t="s">
        <v>44</v>
      </c>
      <c r="M48" s="21" t="s">
        <v>131</v>
      </c>
      <c r="N48" s="100" t="s">
        <v>132</v>
      </c>
      <c r="O48" s="21" t="s">
        <v>228</v>
      </c>
      <c r="P48" s="100" t="s">
        <v>249</v>
      </c>
      <c r="Q48" s="869"/>
      <c r="R48" s="869"/>
      <c r="S48" s="899"/>
      <c r="T48" s="333">
        <v>1150000000</v>
      </c>
      <c r="U48" s="551">
        <v>1150000000</v>
      </c>
      <c r="V48" s="617">
        <f>-292893954-817106046</f>
        <v>-1110000000</v>
      </c>
      <c r="W48" s="708">
        <f>+U48+V48</f>
        <v>40000000</v>
      </c>
      <c r="X48" s="431">
        <v>29527095</v>
      </c>
      <c r="Y48" s="431">
        <f t="shared" si="3"/>
        <v>10472905</v>
      </c>
      <c r="Z48" s="431">
        <v>27755500</v>
      </c>
      <c r="AA48" s="430">
        <f t="shared" si="4"/>
        <v>0.69388749999999999</v>
      </c>
      <c r="AB48" s="334"/>
      <c r="AC48" s="334"/>
    </row>
    <row r="49" spans="1:29" s="40" customFormat="1" ht="70.349999999999994" hidden="1" customHeight="1" x14ac:dyDescent="0.25">
      <c r="A49" s="100" t="s">
        <v>221</v>
      </c>
      <c r="B49" s="21" t="s">
        <v>222</v>
      </c>
      <c r="C49" s="103">
        <v>2020110010206</v>
      </c>
      <c r="D49" s="43" t="s">
        <v>223</v>
      </c>
      <c r="E49" s="43" t="s">
        <v>224</v>
      </c>
      <c r="F49" s="72" t="s">
        <v>225</v>
      </c>
      <c r="G49" s="55" t="s">
        <v>40</v>
      </c>
      <c r="H49" s="104" t="s">
        <v>250</v>
      </c>
      <c r="I49" s="102" t="s">
        <v>227</v>
      </c>
      <c r="J49" s="39" t="s">
        <v>116</v>
      </c>
      <c r="K49" s="39" t="s">
        <v>43</v>
      </c>
      <c r="L49" s="39" t="s">
        <v>149</v>
      </c>
      <c r="M49" s="39" t="s">
        <v>150</v>
      </c>
      <c r="N49" s="72" t="s">
        <v>251</v>
      </c>
      <c r="O49" s="39" t="s">
        <v>228</v>
      </c>
      <c r="P49" s="61" t="s">
        <v>252</v>
      </c>
      <c r="Q49" s="870" t="s">
        <v>97</v>
      </c>
      <c r="R49" s="870" t="s">
        <v>97</v>
      </c>
      <c r="S49" s="899"/>
      <c r="T49" s="333">
        <v>108000000</v>
      </c>
      <c r="U49" s="551">
        <v>108000000</v>
      </c>
      <c r="V49" s="617">
        <v>-13400000</v>
      </c>
      <c r="W49" s="708">
        <f>+U49+V49</f>
        <v>94600000</v>
      </c>
      <c r="X49" s="431">
        <v>94600000</v>
      </c>
      <c r="Y49" s="431">
        <f t="shared" si="3"/>
        <v>0</v>
      </c>
      <c r="Z49" s="431">
        <v>94600000</v>
      </c>
      <c r="AA49" s="430">
        <f t="shared" si="4"/>
        <v>1</v>
      </c>
      <c r="AB49" s="431">
        <v>47343768</v>
      </c>
      <c r="AC49" s="347" t="s">
        <v>253</v>
      </c>
    </row>
    <row r="50" spans="1:29" s="40" customFormat="1" ht="70.349999999999994" hidden="1" customHeight="1" x14ac:dyDescent="0.25">
      <c r="A50" s="100" t="s">
        <v>221</v>
      </c>
      <c r="B50" s="21" t="s">
        <v>222</v>
      </c>
      <c r="C50" s="103">
        <v>2020110010206</v>
      </c>
      <c r="D50" s="43" t="s">
        <v>223</v>
      </c>
      <c r="E50" s="43" t="s">
        <v>254</v>
      </c>
      <c r="F50" s="72" t="s">
        <v>225</v>
      </c>
      <c r="G50" s="55" t="s">
        <v>40</v>
      </c>
      <c r="H50" s="104" t="s">
        <v>250</v>
      </c>
      <c r="I50" s="102" t="s">
        <v>227</v>
      </c>
      <c r="J50" s="39" t="s">
        <v>116</v>
      </c>
      <c r="K50" s="39" t="s">
        <v>43</v>
      </c>
      <c r="L50" s="36" t="s">
        <v>44</v>
      </c>
      <c r="M50" s="59" t="s">
        <v>131</v>
      </c>
      <c r="N50" s="72" t="s">
        <v>255</v>
      </c>
      <c r="O50" s="39" t="s">
        <v>228</v>
      </c>
      <c r="P50" s="67" t="s">
        <v>256</v>
      </c>
      <c r="Q50" s="200"/>
      <c r="R50" s="200"/>
      <c r="S50" s="200"/>
      <c r="T50" s="333">
        <v>168000000</v>
      </c>
      <c r="U50" s="551">
        <v>168000000</v>
      </c>
      <c r="V50" s="551">
        <v>-110000000</v>
      </c>
      <c r="W50" s="708">
        <f>+U50+V50</f>
        <v>58000000</v>
      </c>
      <c r="X50" s="431"/>
      <c r="Y50" s="431">
        <f t="shared" si="3"/>
        <v>58000000</v>
      </c>
      <c r="Z50" s="334"/>
      <c r="AA50" s="430">
        <f>+Z50/W50</f>
        <v>0</v>
      </c>
      <c r="AB50" s="334"/>
      <c r="AC50" s="334"/>
    </row>
    <row r="51" spans="1:29" s="40" customFormat="1" ht="92.25" hidden="1" customHeight="1" x14ac:dyDescent="0.25">
      <c r="A51" s="100" t="s">
        <v>221</v>
      </c>
      <c r="B51" s="21" t="s">
        <v>222</v>
      </c>
      <c r="C51" s="103">
        <v>2020110010206</v>
      </c>
      <c r="D51" s="106" t="s">
        <v>223</v>
      </c>
      <c r="E51" s="43" t="s">
        <v>257</v>
      </c>
      <c r="F51" s="72" t="s">
        <v>225</v>
      </c>
      <c r="G51" s="54" t="s">
        <v>53</v>
      </c>
      <c r="H51" s="104" t="s">
        <v>258</v>
      </c>
      <c r="I51" s="107" t="s">
        <v>259</v>
      </c>
      <c r="J51" s="39" t="s">
        <v>116</v>
      </c>
      <c r="K51" s="39" t="s">
        <v>43</v>
      </c>
      <c r="L51" s="298" t="s">
        <v>44</v>
      </c>
      <c r="M51" s="299" t="s">
        <v>131</v>
      </c>
      <c r="N51" s="110" t="s">
        <v>255</v>
      </c>
      <c r="O51" s="39" t="s">
        <v>228</v>
      </c>
      <c r="P51" s="31" t="s">
        <v>260</v>
      </c>
      <c r="Q51" s="871" t="s">
        <v>567</v>
      </c>
      <c r="R51" s="872" t="s">
        <v>568</v>
      </c>
      <c r="S51" s="873"/>
      <c r="T51" s="333">
        <v>480000000</v>
      </c>
      <c r="U51" s="551">
        <v>480000000</v>
      </c>
      <c r="V51" s="551">
        <f>-370000000-110000000</f>
        <v>-480000000</v>
      </c>
      <c r="W51" s="708">
        <f>+U51+V51</f>
        <v>0</v>
      </c>
      <c r="X51" s="431"/>
      <c r="Y51" s="348">
        <f t="shared" si="3"/>
        <v>0</v>
      </c>
      <c r="Z51" s="334"/>
      <c r="AA51" s="430" t="e">
        <f>+Z51/W51</f>
        <v>#DIV/0!</v>
      </c>
      <c r="AB51" s="334"/>
      <c r="AC51" s="336" t="s">
        <v>263</v>
      </c>
    </row>
    <row r="52" spans="1:29" s="40" customFormat="1" ht="80.25" hidden="1" customHeight="1" x14ac:dyDescent="0.25">
      <c r="A52" s="100" t="s">
        <v>221</v>
      </c>
      <c r="B52" s="21" t="s">
        <v>222</v>
      </c>
      <c r="C52" s="103">
        <v>2020110010206</v>
      </c>
      <c r="D52" s="43" t="s">
        <v>223</v>
      </c>
      <c r="E52" s="43" t="s">
        <v>236</v>
      </c>
      <c r="F52" s="72" t="s">
        <v>225</v>
      </c>
      <c r="G52" s="54" t="s">
        <v>53</v>
      </c>
      <c r="H52" s="104" t="s">
        <v>264</v>
      </c>
      <c r="I52" s="107" t="s">
        <v>218</v>
      </c>
      <c r="J52" s="39" t="s">
        <v>116</v>
      </c>
      <c r="K52" s="39" t="s">
        <v>43</v>
      </c>
      <c r="L52" s="36" t="s">
        <v>44</v>
      </c>
      <c r="M52" s="37" t="s">
        <v>45</v>
      </c>
      <c r="N52" s="72" t="s">
        <v>265</v>
      </c>
      <c r="O52" s="39" t="s">
        <v>228</v>
      </c>
      <c r="P52" s="31" t="s">
        <v>266</v>
      </c>
      <c r="Q52" s="619" t="s">
        <v>267</v>
      </c>
      <c r="R52" s="620">
        <v>460700000</v>
      </c>
      <c r="S52" s="899"/>
      <c r="T52" s="333">
        <f>825000000-114229680</f>
        <v>710770320</v>
      </c>
      <c r="U52" s="551">
        <v>710770320</v>
      </c>
      <c r="V52" s="705">
        <v>150000000</v>
      </c>
      <c r="W52" s="708">
        <f>710770320+150000000</f>
        <v>860770320</v>
      </c>
      <c r="X52" s="431">
        <v>460700000</v>
      </c>
      <c r="Y52" s="431">
        <f t="shared" si="3"/>
        <v>400070320</v>
      </c>
      <c r="Z52" s="431">
        <v>251850622</v>
      </c>
      <c r="AA52" s="430">
        <f>+Z52/W52</f>
        <v>0.29258748373201343</v>
      </c>
      <c r="AB52" s="334"/>
      <c r="AC52" s="334"/>
    </row>
    <row r="53" spans="1:29" s="40" customFormat="1" ht="70.349999999999994" hidden="1" customHeight="1" x14ac:dyDescent="0.25">
      <c r="A53" s="100" t="s">
        <v>221</v>
      </c>
      <c r="B53" s="21" t="s">
        <v>222</v>
      </c>
      <c r="C53" s="103">
        <v>2020110010206</v>
      </c>
      <c r="D53" s="43" t="s">
        <v>223</v>
      </c>
      <c r="E53" s="43" t="s">
        <v>224</v>
      </c>
      <c r="F53" s="72" t="s">
        <v>225</v>
      </c>
      <c r="G53" s="54" t="s">
        <v>53</v>
      </c>
      <c r="H53" s="104" t="s">
        <v>264</v>
      </c>
      <c r="I53" s="107" t="s">
        <v>218</v>
      </c>
      <c r="J53" s="39" t="s">
        <v>116</v>
      </c>
      <c r="K53" s="39" t="s">
        <v>43</v>
      </c>
      <c r="L53" s="36" t="s">
        <v>44</v>
      </c>
      <c r="M53" s="37" t="s">
        <v>45</v>
      </c>
      <c r="N53" s="72" t="s">
        <v>265</v>
      </c>
      <c r="O53" s="39" t="s">
        <v>228</v>
      </c>
      <c r="P53" s="31" t="s">
        <v>266</v>
      </c>
      <c r="Q53" s="873"/>
      <c r="R53" s="873"/>
      <c r="S53" s="873"/>
      <c r="T53" s="333">
        <v>114229680</v>
      </c>
      <c r="U53" s="551">
        <v>114229680</v>
      </c>
      <c r="V53" s="614"/>
      <c r="W53" s="708">
        <v>114229680</v>
      </c>
      <c r="X53" s="431">
        <v>114229680</v>
      </c>
      <c r="Y53" s="431"/>
      <c r="Z53" s="431">
        <v>114229680</v>
      </c>
      <c r="AA53" s="430">
        <f t="shared" ref="AA53:AA102" si="5">+Z53/W53</f>
        <v>1</v>
      </c>
      <c r="AB53" s="431">
        <f>47482639+43291343</f>
        <v>90773982</v>
      </c>
      <c r="AC53" s="334"/>
    </row>
    <row r="54" spans="1:29" s="40" customFormat="1" ht="110.25" hidden="1" customHeight="1" x14ac:dyDescent="0.25">
      <c r="A54" s="100" t="s">
        <v>221</v>
      </c>
      <c r="B54" s="21" t="s">
        <v>222</v>
      </c>
      <c r="C54" s="103">
        <v>2020110010206</v>
      </c>
      <c r="D54" s="106" t="s">
        <v>223</v>
      </c>
      <c r="E54" s="43" t="s">
        <v>269</v>
      </c>
      <c r="F54" s="72" t="s">
        <v>225</v>
      </c>
      <c r="G54" s="54" t="s">
        <v>60</v>
      </c>
      <c r="H54" s="104" t="s">
        <v>270</v>
      </c>
      <c r="I54" s="107" t="s">
        <v>141</v>
      </c>
      <c r="J54" s="39" t="s">
        <v>116</v>
      </c>
      <c r="K54" s="39" t="s">
        <v>43</v>
      </c>
      <c r="L54" s="36" t="s">
        <v>44</v>
      </c>
      <c r="M54" s="37" t="s">
        <v>45</v>
      </c>
      <c r="N54" s="38" t="s">
        <v>63</v>
      </c>
      <c r="O54" s="39" t="s">
        <v>228</v>
      </c>
      <c r="P54" s="108" t="s">
        <v>271</v>
      </c>
      <c r="Q54" s="623" t="s">
        <v>569</v>
      </c>
      <c r="R54" s="623" t="s">
        <v>570</v>
      </c>
      <c r="S54" s="200"/>
      <c r="T54" s="333">
        <v>569088000</v>
      </c>
      <c r="U54" s="551">
        <v>569088000</v>
      </c>
      <c r="V54" s="614"/>
      <c r="W54" s="431">
        <v>569088000</v>
      </c>
      <c r="X54" s="431">
        <v>544600000</v>
      </c>
      <c r="Y54" s="431">
        <f t="shared" ref="Y54:Y84" si="6">+W54-X54</f>
        <v>24488000</v>
      </c>
      <c r="Z54" s="431">
        <f>88000000+426000000+30600000-1166667</f>
        <v>543433333</v>
      </c>
      <c r="AA54" s="430">
        <f t="shared" si="5"/>
        <v>0.95491968377474135</v>
      </c>
      <c r="AB54" s="431">
        <f>2666666+30010000+52266667+51840000+54000000+46000000</f>
        <v>236783333</v>
      </c>
      <c r="AC54" s="347" t="s">
        <v>274</v>
      </c>
    </row>
    <row r="55" spans="1:29" s="40" customFormat="1" ht="110.25" hidden="1" customHeight="1" x14ac:dyDescent="0.25">
      <c r="A55" s="100" t="s">
        <v>221</v>
      </c>
      <c r="B55" s="21" t="s">
        <v>222</v>
      </c>
      <c r="C55" s="103">
        <v>2020110010206</v>
      </c>
      <c r="D55" s="43" t="s">
        <v>223</v>
      </c>
      <c r="E55" s="43" t="s">
        <v>254</v>
      </c>
      <c r="F55" s="72" t="s">
        <v>225</v>
      </c>
      <c r="G55" s="54" t="s">
        <v>60</v>
      </c>
      <c r="H55" s="104" t="s">
        <v>270</v>
      </c>
      <c r="I55" s="107" t="s">
        <v>141</v>
      </c>
      <c r="J55" s="39" t="s">
        <v>116</v>
      </c>
      <c r="K55" s="39" t="s">
        <v>43</v>
      </c>
      <c r="L55" s="36" t="s">
        <v>44</v>
      </c>
      <c r="M55" s="37" t="s">
        <v>45</v>
      </c>
      <c r="N55" s="38" t="s">
        <v>63</v>
      </c>
      <c r="O55" s="39" t="s">
        <v>228</v>
      </c>
      <c r="P55" s="108" t="s">
        <v>275</v>
      </c>
      <c r="Q55" s="624" t="s">
        <v>276</v>
      </c>
      <c r="R55" s="625" t="s">
        <v>277</v>
      </c>
      <c r="S55" s="200"/>
      <c r="T55" s="333">
        <v>624000000</v>
      </c>
      <c r="U55" s="551">
        <v>624000000</v>
      </c>
      <c r="V55" s="614"/>
      <c r="W55" s="708">
        <v>624000000</v>
      </c>
      <c r="X55" s="431">
        <v>590533333</v>
      </c>
      <c r="Y55" s="431">
        <f t="shared" si="6"/>
        <v>33466667</v>
      </c>
      <c r="Z55" s="431">
        <v>590533333</v>
      </c>
      <c r="AA55" s="430">
        <f t="shared" si="5"/>
        <v>0.94636752083333331</v>
      </c>
      <c r="AB55" s="431">
        <f>15103333+30953333+46966667+51433333+60630000</f>
        <v>205086666</v>
      </c>
      <c r="AC55" s="349" t="s">
        <v>278</v>
      </c>
    </row>
    <row r="56" spans="1:29" s="40" customFormat="1" ht="110.25" hidden="1" customHeight="1" x14ac:dyDescent="0.25">
      <c r="A56" s="100" t="s">
        <v>221</v>
      </c>
      <c r="B56" s="21" t="s">
        <v>222</v>
      </c>
      <c r="C56" s="103">
        <v>2020110010206</v>
      </c>
      <c r="D56" s="106" t="s">
        <v>223</v>
      </c>
      <c r="E56" s="43" t="s">
        <v>233</v>
      </c>
      <c r="F56" s="72" t="s">
        <v>225</v>
      </c>
      <c r="G56" s="54" t="s">
        <v>60</v>
      </c>
      <c r="H56" s="104" t="s">
        <v>270</v>
      </c>
      <c r="I56" s="107" t="s">
        <v>141</v>
      </c>
      <c r="J56" s="39" t="s">
        <v>116</v>
      </c>
      <c r="K56" s="39" t="s">
        <v>43</v>
      </c>
      <c r="L56" s="36" t="s">
        <v>44</v>
      </c>
      <c r="M56" s="37" t="s">
        <v>45</v>
      </c>
      <c r="N56" s="38" t="s">
        <v>63</v>
      </c>
      <c r="O56" s="39" t="s">
        <v>228</v>
      </c>
      <c r="P56" s="108" t="s">
        <v>279</v>
      </c>
      <c r="Q56" s="627" t="s">
        <v>571</v>
      </c>
      <c r="R56" s="628" t="s">
        <v>572</v>
      </c>
      <c r="S56" s="200"/>
      <c r="T56" s="333">
        <v>900000000</v>
      </c>
      <c r="U56" s="551">
        <v>900000000</v>
      </c>
      <c r="V56" s="551">
        <v>-60460372</v>
      </c>
      <c r="W56" s="431">
        <f>+U56+V56</f>
        <v>839539628</v>
      </c>
      <c r="X56" s="431">
        <f>774550372+4290000</f>
        <v>778840372</v>
      </c>
      <c r="Y56" s="431">
        <f t="shared" si="6"/>
        <v>60699256</v>
      </c>
      <c r="Z56" s="431">
        <f>297880000+216600000+112100000+41650000+88620372</f>
        <v>756850372</v>
      </c>
      <c r="AA56" s="430">
        <f t="shared" si="5"/>
        <v>0.90150642894965283</v>
      </c>
      <c r="AB56" s="431">
        <f>42366666+60373333+61286667+64880000+117983705</f>
        <v>346890371</v>
      </c>
      <c r="AC56" s="347" t="s">
        <v>282</v>
      </c>
    </row>
    <row r="57" spans="1:29" s="40" customFormat="1" ht="110.25" hidden="1" customHeight="1" x14ac:dyDescent="0.25">
      <c r="A57" s="100" t="s">
        <v>221</v>
      </c>
      <c r="B57" s="21" t="s">
        <v>222</v>
      </c>
      <c r="C57" s="103">
        <v>2020110010206</v>
      </c>
      <c r="D57" s="106" t="s">
        <v>223</v>
      </c>
      <c r="E57" s="43" t="s">
        <v>283</v>
      </c>
      <c r="F57" s="72" t="s">
        <v>225</v>
      </c>
      <c r="G57" s="54" t="s">
        <v>60</v>
      </c>
      <c r="H57" s="104" t="s">
        <v>270</v>
      </c>
      <c r="I57" s="107" t="s">
        <v>141</v>
      </c>
      <c r="J57" s="39" t="s">
        <v>116</v>
      </c>
      <c r="K57" s="39" t="s">
        <v>43</v>
      </c>
      <c r="L57" s="36" t="s">
        <v>44</v>
      </c>
      <c r="M57" s="37" t="s">
        <v>45</v>
      </c>
      <c r="N57" s="38" t="s">
        <v>63</v>
      </c>
      <c r="O57" s="39" t="s">
        <v>228</v>
      </c>
      <c r="P57" s="108" t="s">
        <v>284</v>
      </c>
      <c r="Q57" s="623" t="s">
        <v>573</v>
      </c>
      <c r="R57" s="623" t="s">
        <v>574</v>
      </c>
      <c r="S57" s="200"/>
      <c r="T57" s="333">
        <v>500000000</v>
      </c>
      <c r="U57" s="551">
        <v>500000000</v>
      </c>
      <c r="V57" s="614"/>
      <c r="W57" s="431">
        <v>500000000</v>
      </c>
      <c r="X57" s="431">
        <v>485111333</v>
      </c>
      <c r="Y57" s="431">
        <f>+W57-X57</f>
        <v>14888667</v>
      </c>
      <c r="Z57" s="437">
        <v>485111333</v>
      </c>
      <c r="AA57" s="430">
        <f t="shared" si="5"/>
        <v>0.97022266599999996</v>
      </c>
      <c r="AB57" s="437">
        <f>4585267+19011333+17821333+24501333+27181333+47188000</f>
        <v>140288599</v>
      </c>
      <c r="AC57" s="351" t="s">
        <v>287</v>
      </c>
    </row>
    <row r="58" spans="1:29" s="40" customFormat="1" ht="126" hidden="1" customHeight="1" x14ac:dyDescent="0.25">
      <c r="A58" s="100" t="s">
        <v>221</v>
      </c>
      <c r="B58" s="21" t="s">
        <v>222</v>
      </c>
      <c r="C58" s="103">
        <v>2020110010206</v>
      </c>
      <c r="D58" s="106" t="s">
        <v>288</v>
      </c>
      <c r="E58" s="106" t="s">
        <v>289</v>
      </c>
      <c r="F58" s="72" t="s">
        <v>225</v>
      </c>
      <c r="G58" s="54" t="s">
        <v>60</v>
      </c>
      <c r="H58" s="104" t="s">
        <v>270</v>
      </c>
      <c r="I58" s="107" t="s">
        <v>141</v>
      </c>
      <c r="J58" s="39" t="s">
        <v>116</v>
      </c>
      <c r="K58" s="39" t="s">
        <v>43</v>
      </c>
      <c r="L58" s="36" t="s">
        <v>44</v>
      </c>
      <c r="M58" s="37" t="s">
        <v>45</v>
      </c>
      <c r="N58" s="38" t="s">
        <v>63</v>
      </c>
      <c r="O58" s="39" t="s">
        <v>228</v>
      </c>
      <c r="P58" s="108" t="s">
        <v>290</v>
      </c>
      <c r="Q58" s="624" t="s">
        <v>575</v>
      </c>
      <c r="R58" s="625" t="s">
        <v>576</v>
      </c>
      <c r="S58" s="900"/>
      <c r="T58" s="333">
        <v>1000000000</v>
      </c>
      <c r="U58" s="551">
        <v>1000000000</v>
      </c>
      <c r="V58" s="614"/>
      <c r="W58" s="431">
        <v>1000000000</v>
      </c>
      <c r="X58" s="431">
        <v>746380000</v>
      </c>
      <c r="Y58" s="431">
        <f t="shared" si="6"/>
        <v>253620000</v>
      </c>
      <c r="Z58" s="431">
        <f>294300000+355180000+72750000</f>
        <v>722230000</v>
      </c>
      <c r="AA58" s="430">
        <f t="shared" si="5"/>
        <v>0.72223000000000004</v>
      </c>
      <c r="AB58" s="431">
        <v>238806667</v>
      </c>
      <c r="AC58" s="301" t="s">
        <v>293</v>
      </c>
    </row>
    <row r="59" spans="1:29" s="40" customFormat="1" ht="126" hidden="1" customHeight="1" x14ac:dyDescent="0.25">
      <c r="A59" s="100" t="s">
        <v>221</v>
      </c>
      <c r="B59" s="21" t="s">
        <v>222</v>
      </c>
      <c r="C59" s="103">
        <v>2020110010206</v>
      </c>
      <c r="D59" s="106" t="s">
        <v>288</v>
      </c>
      <c r="E59" s="106" t="s">
        <v>294</v>
      </c>
      <c r="F59" s="72" t="s">
        <v>225</v>
      </c>
      <c r="G59" s="54" t="s">
        <v>60</v>
      </c>
      <c r="H59" s="104" t="s">
        <v>270</v>
      </c>
      <c r="I59" s="107" t="s">
        <v>141</v>
      </c>
      <c r="J59" s="39" t="s">
        <v>116</v>
      </c>
      <c r="K59" s="39" t="s">
        <v>43</v>
      </c>
      <c r="L59" s="36" t="s">
        <v>44</v>
      </c>
      <c r="M59" s="37" t="s">
        <v>45</v>
      </c>
      <c r="N59" s="38" t="s">
        <v>63</v>
      </c>
      <c r="O59" s="39" t="s">
        <v>228</v>
      </c>
      <c r="P59" s="108" t="s">
        <v>295</v>
      </c>
      <c r="Q59" s="781" t="s">
        <v>577</v>
      </c>
      <c r="R59" s="630" t="s">
        <v>578</v>
      </c>
      <c r="S59" s="200"/>
      <c r="T59" s="333">
        <v>200000000</v>
      </c>
      <c r="U59" s="551">
        <v>200000000</v>
      </c>
      <c r="V59" s="614"/>
      <c r="W59" s="431">
        <v>200000000</v>
      </c>
      <c r="X59" s="431">
        <v>168120000</v>
      </c>
      <c r="Y59" s="431">
        <f t="shared" si="6"/>
        <v>31880000</v>
      </c>
      <c r="Z59" s="431">
        <f>48300000+119820000</f>
        <v>168120000</v>
      </c>
      <c r="AA59" s="430">
        <f t="shared" si="5"/>
        <v>0.84060000000000001</v>
      </c>
      <c r="AB59" s="431">
        <f>13191867+20342000+19942000+14642000+14642000</f>
        <v>82759867</v>
      </c>
      <c r="AC59" s="301" t="s">
        <v>298</v>
      </c>
    </row>
    <row r="60" spans="1:29" s="40" customFormat="1" ht="70.349999999999994" hidden="1" customHeight="1" x14ac:dyDescent="0.25">
      <c r="A60" s="100" t="s">
        <v>221</v>
      </c>
      <c r="B60" s="21" t="s">
        <v>222</v>
      </c>
      <c r="C60" s="103">
        <v>2020110010206</v>
      </c>
      <c r="D60" s="106" t="s">
        <v>288</v>
      </c>
      <c r="E60" s="106" t="s">
        <v>289</v>
      </c>
      <c r="F60" s="72" t="s">
        <v>225</v>
      </c>
      <c r="G60" s="54" t="s">
        <v>60</v>
      </c>
      <c r="H60" s="104" t="s">
        <v>299</v>
      </c>
      <c r="I60" s="107" t="s">
        <v>148</v>
      </c>
      <c r="J60" s="39" t="s">
        <v>116</v>
      </c>
      <c r="K60" s="39" t="s">
        <v>43</v>
      </c>
      <c r="L60" s="39" t="s">
        <v>149</v>
      </c>
      <c r="M60" s="39" t="s">
        <v>150</v>
      </c>
      <c r="N60" s="72" t="s">
        <v>251</v>
      </c>
      <c r="O60" s="39" t="s">
        <v>300</v>
      </c>
      <c r="P60" s="109" t="s">
        <v>301</v>
      </c>
      <c r="Q60" s="890" t="s">
        <v>579</v>
      </c>
      <c r="R60" s="891" t="s">
        <v>580</v>
      </c>
      <c r="S60" s="901"/>
      <c r="T60" s="333">
        <v>400000000</v>
      </c>
      <c r="U60" s="551">
        <v>400000000</v>
      </c>
      <c r="V60" s="614"/>
      <c r="W60" s="708">
        <v>400000000</v>
      </c>
      <c r="X60" s="431"/>
      <c r="Y60" s="431">
        <f t="shared" si="6"/>
        <v>400000000</v>
      </c>
      <c r="Z60" s="334"/>
      <c r="AA60" s="430">
        <f t="shared" si="5"/>
        <v>0</v>
      </c>
      <c r="AB60" s="334"/>
      <c r="AC60" s="334"/>
    </row>
    <row r="61" spans="1:29" s="40" customFormat="1" ht="96.75" hidden="1" customHeight="1" x14ac:dyDescent="0.25">
      <c r="A61" s="100" t="s">
        <v>221</v>
      </c>
      <c r="B61" s="21" t="s">
        <v>222</v>
      </c>
      <c r="C61" s="103">
        <v>2020110010206</v>
      </c>
      <c r="D61" s="106" t="s">
        <v>288</v>
      </c>
      <c r="E61" s="106" t="s">
        <v>289</v>
      </c>
      <c r="F61" s="72" t="s">
        <v>225</v>
      </c>
      <c r="G61" s="54" t="s">
        <v>60</v>
      </c>
      <c r="H61" s="104" t="s">
        <v>299</v>
      </c>
      <c r="I61" s="107" t="s">
        <v>148</v>
      </c>
      <c r="J61" s="39" t="s">
        <v>116</v>
      </c>
      <c r="K61" s="39" t="s">
        <v>43</v>
      </c>
      <c r="L61" s="39" t="s">
        <v>149</v>
      </c>
      <c r="M61" s="39" t="s">
        <v>150</v>
      </c>
      <c r="N61" s="72" t="s">
        <v>251</v>
      </c>
      <c r="O61" s="39" t="s">
        <v>228</v>
      </c>
      <c r="P61" s="31" t="s">
        <v>302</v>
      </c>
      <c r="Q61" s="874" t="s">
        <v>303</v>
      </c>
      <c r="R61" s="875" t="s">
        <v>304</v>
      </c>
      <c r="S61" s="866"/>
      <c r="T61" s="333">
        <v>300000000</v>
      </c>
      <c r="U61" s="551">
        <v>300000000</v>
      </c>
      <c r="V61" s="614"/>
      <c r="W61" s="708">
        <v>300000000</v>
      </c>
      <c r="X61" s="431"/>
      <c r="Y61" s="431">
        <f t="shared" si="6"/>
        <v>300000000</v>
      </c>
      <c r="Z61" s="334"/>
      <c r="AA61" s="430">
        <f t="shared" si="5"/>
        <v>0</v>
      </c>
      <c r="AB61" s="334"/>
      <c r="AC61" s="334"/>
    </row>
    <row r="62" spans="1:29" s="40" customFormat="1" ht="70.349999999999994" hidden="1" customHeight="1" x14ac:dyDescent="0.25">
      <c r="A62" s="100" t="s">
        <v>221</v>
      </c>
      <c r="B62" s="21" t="s">
        <v>222</v>
      </c>
      <c r="C62" s="103">
        <v>2020110010206</v>
      </c>
      <c r="D62" s="43" t="s">
        <v>223</v>
      </c>
      <c r="E62" s="43" t="s">
        <v>257</v>
      </c>
      <c r="F62" s="72" t="s">
        <v>225</v>
      </c>
      <c r="G62" s="55" t="s">
        <v>40</v>
      </c>
      <c r="H62" s="104" t="s">
        <v>226</v>
      </c>
      <c r="I62" s="102" t="s">
        <v>227</v>
      </c>
      <c r="J62" s="59" t="s">
        <v>241</v>
      </c>
      <c r="K62" s="59" t="s">
        <v>242</v>
      </c>
      <c r="L62" s="36" t="s">
        <v>44</v>
      </c>
      <c r="M62" s="59" t="s">
        <v>131</v>
      </c>
      <c r="N62" s="60" t="s">
        <v>132</v>
      </c>
      <c r="O62" s="39" t="s">
        <v>228</v>
      </c>
      <c r="P62" s="72" t="s">
        <v>305</v>
      </c>
      <c r="Q62" s="887" t="s">
        <v>581</v>
      </c>
      <c r="R62" s="888" t="s">
        <v>580</v>
      </c>
      <c r="S62" s="873"/>
      <c r="T62" s="333">
        <v>1500000000</v>
      </c>
      <c r="U62" s="551">
        <v>1500000000</v>
      </c>
      <c r="V62" s="614"/>
      <c r="W62" s="708">
        <v>1500000000</v>
      </c>
      <c r="X62" s="431"/>
      <c r="Y62" s="431">
        <f t="shared" si="6"/>
        <v>1500000000</v>
      </c>
      <c r="Z62" s="334"/>
      <c r="AA62" s="430">
        <f t="shared" si="5"/>
        <v>0</v>
      </c>
      <c r="AB62" s="334"/>
      <c r="AC62" s="334"/>
    </row>
    <row r="63" spans="1:29" s="40" customFormat="1" ht="70.349999999999994" hidden="1" customHeight="1" x14ac:dyDescent="0.25">
      <c r="A63" s="100" t="s">
        <v>221</v>
      </c>
      <c r="B63" s="21" t="s">
        <v>222</v>
      </c>
      <c r="C63" s="103">
        <v>2020110010206</v>
      </c>
      <c r="D63" s="43" t="s">
        <v>223</v>
      </c>
      <c r="E63" s="43" t="s">
        <v>224</v>
      </c>
      <c r="F63" s="72" t="s">
        <v>225</v>
      </c>
      <c r="G63" s="55"/>
      <c r="H63" s="104"/>
      <c r="I63" s="102"/>
      <c r="J63" s="59"/>
      <c r="K63" s="59" t="s">
        <v>234</v>
      </c>
      <c r="L63" s="36" t="s">
        <v>44</v>
      </c>
      <c r="M63" s="59" t="s">
        <v>131</v>
      </c>
      <c r="N63" s="60" t="s">
        <v>132</v>
      </c>
      <c r="O63" s="39" t="s">
        <v>228</v>
      </c>
      <c r="P63" s="72" t="s">
        <v>308</v>
      </c>
      <c r="Q63" s="870" t="s">
        <v>97</v>
      </c>
      <c r="R63" s="870" t="s">
        <v>97</v>
      </c>
      <c r="S63" s="866"/>
      <c r="T63" s="333"/>
      <c r="U63" s="551"/>
      <c r="V63" s="551">
        <v>292893954</v>
      </c>
      <c r="W63" s="708">
        <f>+V63</f>
        <v>292893954</v>
      </c>
      <c r="X63" s="431">
        <v>292893954</v>
      </c>
      <c r="Y63" s="431"/>
      <c r="Z63" s="334"/>
      <c r="AA63" s="430"/>
      <c r="AB63" s="334"/>
      <c r="AC63" s="334"/>
    </row>
    <row r="64" spans="1:29" s="40" customFormat="1" ht="98.25" hidden="1" customHeight="1" x14ac:dyDescent="0.25">
      <c r="A64" s="100" t="s">
        <v>221</v>
      </c>
      <c r="B64" s="21" t="s">
        <v>222</v>
      </c>
      <c r="C64" s="103">
        <v>2020110010206</v>
      </c>
      <c r="D64" s="106" t="s">
        <v>223</v>
      </c>
      <c r="E64" s="43" t="s">
        <v>257</v>
      </c>
      <c r="F64" s="72" t="s">
        <v>225</v>
      </c>
      <c r="G64" s="54" t="s">
        <v>68</v>
      </c>
      <c r="H64" s="104" t="s">
        <v>69</v>
      </c>
      <c r="I64" s="107" t="s">
        <v>309</v>
      </c>
      <c r="J64" s="59" t="s">
        <v>241</v>
      </c>
      <c r="K64" s="59" t="s">
        <v>242</v>
      </c>
      <c r="L64" s="36" t="s">
        <v>44</v>
      </c>
      <c r="M64" s="37" t="s">
        <v>45</v>
      </c>
      <c r="N64" s="60" t="s">
        <v>310</v>
      </c>
      <c r="O64" s="39" t="s">
        <v>228</v>
      </c>
      <c r="P64" s="72" t="s">
        <v>311</v>
      </c>
      <c r="Q64" s="876" t="s">
        <v>582</v>
      </c>
      <c r="R64" s="877" t="s">
        <v>583</v>
      </c>
      <c r="S64" s="899"/>
      <c r="T64" s="333">
        <v>7800000000</v>
      </c>
      <c r="U64" s="551">
        <v>7800000000</v>
      </c>
      <c r="V64" s="614"/>
      <c r="W64" s="708">
        <v>7800000000</v>
      </c>
      <c r="X64" s="431">
        <f>2500000000+80782875</f>
        <v>2580782875</v>
      </c>
      <c r="Y64" s="431">
        <f t="shared" si="6"/>
        <v>5219217125</v>
      </c>
      <c r="Z64" s="431">
        <v>2243355967</v>
      </c>
      <c r="AA64" s="430">
        <f t="shared" si="5"/>
        <v>0.28760973935897438</v>
      </c>
      <c r="AB64" s="334"/>
      <c r="AC64" s="334"/>
    </row>
    <row r="65" spans="1:29" s="40" customFormat="1" ht="70.349999999999994" hidden="1" customHeight="1" x14ac:dyDescent="0.25">
      <c r="A65" s="100" t="s">
        <v>221</v>
      </c>
      <c r="B65" s="21" t="s">
        <v>222</v>
      </c>
      <c r="C65" s="103">
        <v>2020110010206</v>
      </c>
      <c r="D65" s="106" t="s">
        <v>223</v>
      </c>
      <c r="E65" s="43" t="s">
        <v>257</v>
      </c>
      <c r="F65" s="72" t="s">
        <v>225</v>
      </c>
      <c r="G65" s="55" t="s">
        <v>315</v>
      </c>
      <c r="H65" s="55" t="s">
        <v>316</v>
      </c>
      <c r="I65" s="102" t="s">
        <v>317</v>
      </c>
      <c r="J65" s="39" t="s">
        <v>116</v>
      </c>
      <c r="K65" s="39" t="s">
        <v>43</v>
      </c>
      <c r="L65" s="36" t="s">
        <v>44</v>
      </c>
      <c r="M65" s="37" t="s">
        <v>45</v>
      </c>
      <c r="N65" s="38" t="s">
        <v>46</v>
      </c>
      <c r="O65" s="39" t="s">
        <v>228</v>
      </c>
      <c r="P65" s="72" t="s">
        <v>318</v>
      </c>
      <c r="Q65" s="878" t="s">
        <v>319</v>
      </c>
      <c r="R65" s="879" t="s">
        <v>320</v>
      </c>
      <c r="S65" s="866"/>
      <c r="T65" s="333">
        <v>1000000000</v>
      </c>
      <c r="U65" s="333">
        <v>1000000000</v>
      </c>
      <c r="V65" s="674">
        <f>-695695200-86352000</f>
        <v>-782047200</v>
      </c>
      <c r="W65" s="333">
        <f>+U65+V65</f>
        <v>217952800</v>
      </c>
      <c r="X65" s="431">
        <f>9000000</f>
        <v>9000000</v>
      </c>
      <c r="Y65" s="431">
        <f t="shared" si="6"/>
        <v>208952800</v>
      </c>
      <c r="Z65" s="431">
        <v>9000000</v>
      </c>
      <c r="AA65" s="430">
        <f t="shared" si="5"/>
        <v>4.1293344247011282E-2</v>
      </c>
      <c r="AB65" s="431">
        <v>8374800</v>
      </c>
      <c r="AC65" s="336" t="s">
        <v>321</v>
      </c>
    </row>
    <row r="66" spans="1:29" s="40" customFormat="1" ht="195.75" hidden="1" customHeight="1" x14ac:dyDescent="0.25">
      <c r="A66" s="100" t="s">
        <v>221</v>
      </c>
      <c r="B66" s="21" t="s">
        <v>222</v>
      </c>
      <c r="C66" s="103">
        <v>2020110010206</v>
      </c>
      <c r="D66" s="106" t="s">
        <v>223</v>
      </c>
      <c r="E66" s="43" t="s">
        <v>257</v>
      </c>
      <c r="F66" s="72" t="s">
        <v>225</v>
      </c>
      <c r="G66" s="55" t="s">
        <v>315</v>
      </c>
      <c r="H66" s="55" t="s">
        <v>316</v>
      </c>
      <c r="I66" s="102" t="s">
        <v>317</v>
      </c>
      <c r="J66" s="39" t="s">
        <v>116</v>
      </c>
      <c r="K66" s="39" t="s">
        <v>43</v>
      </c>
      <c r="L66" s="36" t="s">
        <v>44</v>
      </c>
      <c r="M66" s="37" t="s">
        <v>45</v>
      </c>
      <c r="N66" s="38" t="s">
        <v>46</v>
      </c>
      <c r="O66" s="39" t="s">
        <v>228</v>
      </c>
      <c r="P66" s="72" t="s">
        <v>322</v>
      </c>
      <c r="Q66" s="638" t="s">
        <v>584</v>
      </c>
      <c r="R66" s="639" t="s">
        <v>585</v>
      </c>
      <c r="S66" s="899"/>
      <c r="T66" s="333">
        <v>135000000</v>
      </c>
      <c r="U66" s="551">
        <v>135000000</v>
      </c>
      <c r="V66" s="614"/>
      <c r="W66" s="431">
        <v>135000000</v>
      </c>
      <c r="X66" s="431">
        <f>59000000+17064600+47699960</f>
        <v>123764560</v>
      </c>
      <c r="Y66" s="431">
        <f t="shared" si="6"/>
        <v>11235440</v>
      </c>
      <c r="Z66" s="350">
        <v>123740960</v>
      </c>
      <c r="AA66" s="430">
        <f t="shared" si="5"/>
        <v>0.91659970370370369</v>
      </c>
      <c r="AB66" s="350">
        <v>64764560</v>
      </c>
      <c r="AC66" s="432" t="s">
        <v>325</v>
      </c>
    </row>
    <row r="67" spans="1:29" s="40" customFormat="1" ht="148.5" hidden="1" customHeight="1" x14ac:dyDescent="0.25">
      <c r="A67" s="100" t="s">
        <v>221</v>
      </c>
      <c r="B67" s="21" t="s">
        <v>222</v>
      </c>
      <c r="C67" s="103">
        <v>2020110010206</v>
      </c>
      <c r="D67" s="43" t="s">
        <v>223</v>
      </c>
      <c r="E67" s="43" t="s">
        <v>236</v>
      </c>
      <c r="F67" s="72" t="s">
        <v>225</v>
      </c>
      <c r="G67" s="55" t="s">
        <v>315</v>
      </c>
      <c r="H67" s="55" t="s">
        <v>316</v>
      </c>
      <c r="I67" s="107" t="s">
        <v>141</v>
      </c>
      <c r="J67" s="39" t="s">
        <v>116</v>
      </c>
      <c r="K67" s="39" t="s">
        <v>43</v>
      </c>
      <c r="L67" s="36" t="s">
        <v>44</v>
      </c>
      <c r="M67" s="37" t="s">
        <v>45</v>
      </c>
      <c r="N67" s="706" t="s">
        <v>63</v>
      </c>
      <c r="O67" s="302" t="s">
        <v>228</v>
      </c>
      <c r="P67" s="303" t="s">
        <v>326</v>
      </c>
      <c r="Q67" s="623" t="s">
        <v>586</v>
      </c>
      <c r="R67" s="623" t="s">
        <v>587</v>
      </c>
      <c r="S67" s="200"/>
      <c r="T67" s="333">
        <v>1200000000</v>
      </c>
      <c r="U67" s="551">
        <v>1200000000</v>
      </c>
      <c r="V67" s="614"/>
      <c r="W67" s="431">
        <v>1200000000</v>
      </c>
      <c r="X67" s="431">
        <v>1019520000</v>
      </c>
      <c r="Y67" s="431">
        <f t="shared" si="6"/>
        <v>180480000</v>
      </c>
      <c r="Z67" s="431">
        <v>924928594</v>
      </c>
      <c r="AA67" s="430">
        <f t="shared" si="5"/>
        <v>0.7707738283333333</v>
      </c>
      <c r="AB67" s="431">
        <f>33476667+54220000+72599999+84200000+101006666</f>
        <v>345503332</v>
      </c>
      <c r="AC67" s="345" t="s">
        <v>329</v>
      </c>
    </row>
    <row r="68" spans="1:29" s="40" customFormat="1" ht="87" hidden="1" customHeight="1" x14ac:dyDescent="0.25">
      <c r="A68" s="100" t="s">
        <v>221</v>
      </c>
      <c r="B68" s="21" t="s">
        <v>222</v>
      </c>
      <c r="C68" s="103">
        <v>2020110010206</v>
      </c>
      <c r="D68" s="106" t="s">
        <v>223</v>
      </c>
      <c r="E68" s="43" t="s">
        <v>257</v>
      </c>
      <c r="F68" s="72" t="s">
        <v>225</v>
      </c>
      <c r="G68" s="55"/>
      <c r="H68" s="55"/>
      <c r="I68" s="107"/>
      <c r="J68" s="39" t="s">
        <v>116</v>
      </c>
      <c r="K68" s="39" t="s">
        <v>43</v>
      </c>
      <c r="L68" s="36" t="s">
        <v>44</v>
      </c>
      <c r="M68" s="37" t="s">
        <v>45</v>
      </c>
      <c r="N68" s="38" t="s">
        <v>63</v>
      </c>
      <c r="O68" s="39" t="s">
        <v>228</v>
      </c>
      <c r="P68" s="31" t="s">
        <v>260</v>
      </c>
      <c r="Q68" s="880" t="s">
        <v>588</v>
      </c>
      <c r="R68" s="881" t="s">
        <v>589</v>
      </c>
      <c r="S68" s="899"/>
      <c r="T68" s="352"/>
      <c r="U68" s="551"/>
      <c r="V68" s="551">
        <f>480000000+86352000+110000000</f>
        <v>676352000</v>
      </c>
      <c r="W68" s="431">
        <f>+V68</f>
        <v>676352000</v>
      </c>
      <c r="X68" s="431">
        <f>566352000+80000000</f>
        <v>646352000</v>
      </c>
      <c r="Y68" s="437">
        <f t="shared" si="6"/>
        <v>30000000</v>
      </c>
      <c r="Z68" s="431">
        <v>201552000</v>
      </c>
      <c r="AA68" s="430"/>
      <c r="AB68" s="334"/>
      <c r="AC68" s="345"/>
    </row>
    <row r="69" spans="1:29" s="40" customFormat="1" ht="70.349999999999994" hidden="1" customHeight="1" x14ac:dyDescent="0.25">
      <c r="A69" s="100" t="s">
        <v>221</v>
      </c>
      <c r="B69" s="21" t="s">
        <v>222</v>
      </c>
      <c r="C69" s="103">
        <v>2020110010206</v>
      </c>
      <c r="D69" s="43" t="s">
        <v>223</v>
      </c>
      <c r="E69" s="43" t="s">
        <v>269</v>
      </c>
      <c r="F69" s="72" t="s">
        <v>225</v>
      </c>
      <c r="G69" s="54" t="s">
        <v>53</v>
      </c>
      <c r="H69" s="55" t="s">
        <v>332</v>
      </c>
      <c r="I69" s="102" t="s">
        <v>333</v>
      </c>
      <c r="J69" s="39" t="s">
        <v>116</v>
      </c>
      <c r="K69" s="39" t="s">
        <v>43</v>
      </c>
      <c r="L69" s="36" t="s">
        <v>44</v>
      </c>
      <c r="M69" s="59" t="s">
        <v>131</v>
      </c>
      <c r="N69" s="39" t="s">
        <v>255</v>
      </c>
      <c r="O69" s="39" t="s">
        <v>228</v>
      </c>
      <c r="P69" s="72" t="s">
        <v>334</v>
      </c>
      <c r="Q69" s="889" t="s">
        <v>590</v>
      </c>
      <c r="R69" s="882" t="s">
        <v>591</v>
      </c>
      <c r="S69" s="899"/>
      <c r="T69" s="333">
        <v>540000000</v>
      </c>
      <c r="U69" s="551">
        <v>540000000</v>
      </c>
      <c r="V69" s="614"/>
      <c r="W69" s="708">
        <v>540000000</v>
      </c>
      <c r="X69" s="431">
        <v>301405000</v>
      </c>
      <c r="Y69" s="431">
        <f t="shared" si="6"/>
        <v>238595000</v>
      </c>
      <c r="Z69" s="334"/>
      <c r="AA69" s="430">
        <f t="shared" si="5"/>
        <v>0</v>
      </c>
      <c r="AB69" s="334"/>
      <c r="AC69" s="336" t="s">
        <v>337</v>
      </c>
    </row>
    <row r="70" spans="1:29" s="40" customFormat="1" ht="70.349999999999994" hidden="1" customHeight="1" x14ac:dyDescent="0.25">
      <c r="A70" s="100" t="s">
        <v>221</v>
      </c>
      <c r="B70" s="21" t="s">
        <v>222</v>
      </c>
      <c r="C70" s="103">
        <v>2020110010206</v>
      </c>
      <c r="D70" s="106" t="s">
        <v>223</v>
      </c>
      <c r="E70" s="43" t="s">
        <v>224</v>
      </c>
      <c r="F70" s="72" t="s">
        <v>225</v>
      </c>
      <c r="G70" s="54" t="s">
        <v>53</v>
      </c>
      <c r="H70" s="55" t="s">
        <v>264</v>
      </c>
      <c r="I70" s="102" t="s">
        <v>338</v>
      </c>
      <c r="J70" s="39" t="s">
        <v>116</v>
      </c>
      <c r="K70" s="39" t="s">
        <v>43</v>
      </c>
      <c r="L70" s="36" t="s">
        <v>44</v>
      </c>
      <c r="M70" s="37" t="s">
        <v>45</v>
      </c>
      <c r="N70" s="38" t="s">
        <v>46</v>
      </c>
      <c r="O70" s="39" t="s">
        <v>228</v>
      </c>
      <c r="P70" s="72" t="s">
        <v>339</v>
      </c>
      <c r="Q70" s="883"/>
      <c r="R70" s="884"/>
      <c r="S70" s="899"/>
      <c r="T70" s="333">
        <v>206400000</v>
      </c>
      <c r="U70" s="551">
        <v>206400000</v>
      </c>
      <c r="V70" s="614"/>
      <c r="W70" s="431">
        <v>206400000</v>
      </c>
      <c r="X70" s="431">
        <v>206400000</v>
      </c>
      <c r="Y70" s="431">
        <f t="shared" si="6"/>
        <v>0</v>
      </c>
      <c r="Z70" s="431">
        <v>206400000</v>
      </c>
      <c r="AA70" s="430">
        <f t="shared" si="5"/>
        <v>1</v>
      </c>
      <c r="AB70" s="334"/>
      <c r="AC70" s="334"/>
    </row>
    <row r="71" spans="1:29" s="40" customFormat="1" ht="87.75" hidden="1" customHeight="1" x14ac:dyDescent="0.25">
      <c r="A71" s="100" t="s">
        <v>221</v>
      </c>
      <c r="B71" s="21" t="s">
        <v>222</v>
      </c>
      <c r="C71" s="103">
        <v>2020110010206</v>
      </c>
      <c r="D71" s="113" t="s">
        <v>342</v>
      </c>
      <c r="E71" s="113" t="s">
        <v>343</v>
      </c>
      <c r="F71" s="332" t="s">
        <v>225</v>
      </c>
      <c r="G71" s="54" t="s">
        <v>68</v>
      </c>
      <c r="H71" s="55" t="s">
        <v>69</v>
      </c>
      <c r="I71" s="102" t="s">
        <v>309</v>
      </c>
      <c r="J71" s="39" t="s">
        <v>43</v>
      </c>
      <c r="K71" s="39" t="s">
        <v>43</v>
      </c>
      <c r="L71" s="36" t="s">
        <v>44</v>
      </c>
      <c r="M71" s="37" t="s">
        <v>45</v>
      </c>
      <c r="N71" s="60" t="s">
        <v>310</v>
      </c>
      <c r="O71" s="39" t="s">
        <v>344</v>
      </c>
      <c r="P71" s="72" t="s">
        <v>345</v>
      </c>
      <c r="Q71" s="786" t="s">
        <v>97</v>
      </c>
      <c r="R71" s="786" t="s">
        <v>97</v>
      </c>
      <c r="S71" s="902" t="s">
        <v>97</v>
      </c>
      <c r="T71" s="333">
        <v>990856000</v>
      </c>
      <c r="U71" s="551">
        <v>990856000</v>
      </c>
      <c r="V71" s="617">
        <v>-690856000</v>
      </c>
      <c r="W71" s="708">
        <f>+U71+V71</f>
        <v>300000000</v>
      </c>
      <c r="X71" s="431">
        <v>371493000</v>
      </c>
      <c r="Y71" s="431">
        <f t="shared" si="6"/>
        <v>-71493000</v>
      </c>
      <c r="Z71" s="431">
        <v>339031000</v>
      </c>
      <c r="AA71" s="430">
        <f t="shared" si="5"/>
        <v>1.1301033333333332</v>
      </c>
      <c r="AB71" s="350">
        <v>244249000</v>
      </c>
      <c r="AC71" s="215" t="s">
        <v>346</v>
      </c>
    </row>
    <row r="72" spans="1:29" s="40" customFormat="1" ht="70.349999999999994" hidden="1" customHeight="1" x14ac:dyDescent="0.25">
      <c r="A72" s="100" t="s">
        <v>221</v>
      </c>
      <c r="B72" s="21" t="s">
        <v>222</v>
      </c>
      <c r="C72" s="103">
        <v>2020110010206</v>
      </c>
      <c r="D72" s="113" t="s">
        <v>342</v>
      </c>
      <c r="E72" s="113" t="s">
        <v>343</v>
      </c>
      <c r="F72" s="332" t="s">
        <v>225</v>
      </c>
      <c r="G72" s="54" t="s">
        <v>68</v>
      </c>
      <c r="H72" s="55" t="s">
        <v>69</v>
      </c>
      <c r="I72" s="102" t="s">
        <v>309</v>
      </c>
      <c r="J72" s="39" t="s">
        <v>43</v>
      </c>
      <c r="K72" s="39" t="s">
        <v>43</v>
      </c>
      <c r="L72" s="36" t="s">
        <v>44</v>
      </c>
      <c r="M72" s="37" t="s">
        <v>45</v>
      </c>
      <c r="N72" s="60" t="s">
        <v>310</v>
      </c>
      <c r="O72" s="39" t="s">
        <v>344</v>
      </c>
      <c r="P72" s="72" t="s">
        <v>592</v>
      </c>
      <c r="Q72" s="767" t="s">
        <v>593</v>
      </c>
      <c r="R72" s="768">
        <v>6300000000</v>
      </c>
      <c r="S72" s="71"/>
      <c r="T72" s="333"/>
      <c r="U72" s="551"/>
      <c r="V72" s="617">
        <v>8000000000</v>
      </c>
      <c r="W72" s="708">
        <f>+V72</f>
        <v>8000000000</v>
      </c>
      <c r="X72" s="431">
        <v>6050251719</v>
      </c>
      <c r="Y72" s="431"/>
      <c r="Z72" s="431">
        <v>6050251719</v>
      </c>
      <c r="AA72" s="430"/>
      <c r="AB72" s="350"/>
      <c r="AC72" s="215"/>
    </row>
    <row r="73" spans="1:29" s="40" customFormat="1" ht="93" hidden="1" customHeight="1" x14ac:dyDescent="0.25">
      <c r="A73" s="100" t="s">
        <v>221</v>
      </c>
      <c r="B73" s="21" t="s">
        <v>222</v>
      </c>
      <c r="C73" s="103">
        <v>2020110010206</v>
      </c>
      <c r="D73" s="113" t="s">
        <v>342</v>
      </c>
      <c r="E73" s="113" t="s">
        <v>343</v>
      </c>
      <c r="F73" s="332" t="s">
        <v>225</v>
      </c>
      <c r="G73" s="54" t="s">
        <v>68</v>
      </c>
      <c r="H73" s="55" t="s">
        <v>69</v>
      </c>
      <c r="I73" s="102" t="s">
        <v>309</v>
      </c>
      <c r="J73" s="39" t="s">
        <v>43</v>
      </c>
      <c r="K73" s="39" t="s">
        <v>43</v>
      </c>
      <c r="L73" s="36" t="s">
        <v>44</v>
      </c>
      <c r="M73" s="37" t="s">
        <v>45</v>
      </c>
      <c r="N73" s="60" t="s">
        <v>310</v>
      </c>
      <c r="O73" s="39" t="s">
        <v>344</v>
      </c>
      <c r="P73" s="114" t="s">
        <v>347</v>
      </c>
      <c r="Q73" s="784" t="s">
        <v>594</v>
      </c>
      <c r="R73" s="813" t="s">
        <v>595</v>
      </c>
      <c r="S73" s="849"/>
      <c r="T73" s="333">
        <v>1500000000</v>
      </c>
      <c r="U73" s="551">
        <v>1500000000</v>
      </c>
      <c r="V73" s="614"/>
      <c r="W73" s="708">
        <v>1500000000</v>
      </c>
      <c r="X73" s="437">
        <f>563008205+241278049</f>
        <v>804286254</v>
      </c>
      <c r="Y73" s="431">
        <f t="shared" si="6"/>
        <v>695713746</v>
      </c>
      <c r="Z73" s="431">
        <v>563008205</v>
      </c>
      <c r="AA73" s="430">
        <f t="shared" si="5"/>
        <v>0.37533880333333336</v>
      </c>
      <c r="AB73" s="348">
        <f>225203282+3590142</f>
        <v>228793424</v>
      </c>
      <c r="AC73" s="215" t="s">
        <v>596</v>
      </c>
    </row>
    <row r="74" spans="1:29" s="40" customFormat="1" ht="137.25" hidden="1" customHeight="1" x14ac:dyDescent="0.25">
      <c r="A74" s="100" t="s">
        <v>221</v>
      </c>
      <c r="B74" s="21" t="s">
        <v>222</v>
      </c>
      <c r="C74" s="103">
        <v>2020110010206</v>
      </c>
      <c r="D74" s="113" t="s">
        <v>342</v>
      </c>
      <c r="E74" s="113" t="s">
        <v>351</v>
      </c>
      <c r="F74" s="72" t="s">
        <v>225</v>
      </c>
      <c r="G74" s="54" t="s">
        <v>60</v>
      </c>
      <c r="H74" s="55" t="s">
        <v>352</v>
      </c>
      <c r="I74" s="102" t="s">
        <v>353</v>
      </c>
      <c r="J74" s="39" t="s">
        <v>43</v>
      </c>
      <c r="K74" s="39" t="s">
        <v>43</v>
      </c>
      <c r="L74" s="36" t="s">
        <v>44</v>
      </c>
      <c r="M74" s="37" t="s">
        <v>45</v>
      </c>
      <c r="N74" s="108" t="s">
        <v>63</v>
      </c>
      <c r="O74" s="39" t="s">
        <v>344</v>
      </c>
      <c r="P74" s="72" t="s">
        <v>354</v>
      </c>
      <c r="Q74" s="776" t="s">
        <v>597</v>
      </c>
      <c r="R74" s="777" t="s">
        <v>598</v>
      </c>
      <c r="S74" s="613"/>
      <c r="T74" s="333">
        <v>1250000000</v>
      </c>
      <c r="U74" s="551">
        <v>1250000000</v>
      </c>
      <c r="V74" s="614"/>
      <c r="W74" s="431">
        <v>1250000000</v>
      </c>
      <c r="X74" s="431">
        <v>1219522528</v>
      </c>
      <c r="Y74" s="431">
        <f t="shared" si="6"/>
        <v>30477472</v>
      </c>
      <c r="Z74" s="431">
        <v>1219522528</v>
      </c>
      <c r="AA74" s="430">
        <f t="shared" si="5"/>
        <v>0.97561802239999995</v>
      </c>
      <c r="AB74" s="431"/>
      <c r="AC74" s="301" t="s">
        <v>599</v>
      </c>
    </row>
    <row r="75" spans="1:29" s="40" customFormat="1" ht="70.349999999999994" hidden="1" customHeight="1" x14ac:dyDescent="0.25">
      <c r="A75" s="100" t="s">
        <v>221</v>
      </c>
      <c r="B75" s="21" t="s">
        <v>222</v>
      </c>
      <c r="C75" s="103">
        <v>2020110010206</v>
      </c>
      <c r="D75" s="113" t="s">
        <v>358</v>
      </c>
      <c r="E75" s="113" t="s">
        <v>359</v>
      </c>
      <c r="F75" s="72" t="s">
        <v>225</v>
      </c>
      <c r="G75" s="54" t="s">
        <v>60</v>
      </c>
      <c r="H75" s="55" t="s">
        <v>61</v>
      </c>
      <c r="I75" s="102" t="s">
        <v>141</v>
      </c>
      <c r="J75" s="39" t="s">
        <v>43</v>
      </c>
      <c r="K75" s="39" t="s">
        <v>43</v>
      </c>
      <c r="L75" s="36" t="s">
        <v>44</v>
      </c>
      <c r="M75" s="37" t="s">
        <v>45</v>
      </c>
      <c r="N75" s="38" t="s">
        <v>63</v>
      </c>
      <c r="O75" s="39" t="s">
        <v>344</v>
      </c>
      <c r="P75" s="818" t="s">
        <v>360</v>
      </c>
      <c r="Q75" s="819" t="s">
        <v>361</v>
      </c>
      <c r="R75" s="820" t="s">
        <v>362</v>
      </c>
      <c r="S75" s="903"/>
      <c r="T75" s="333">
        <v>1261170350</v>
      </c>
      <c r="U75" s="704">
        <v>1261170350</v>
      </c>
      <c r="V75" s="614"/>
      <c r="W75" s="431">
        <f>+U75</f>
        <v>1261170350</v>
      </c>
      <c r="X75" s="431">
        <v>1256227574</v>
      </c>
      <c r="Y75" s="431">
        <f t="shared" si="6"/>
        <v>4942776</v>
      </c>
      <c r="Z75" s="460">
        <f>57000000+909355910+221545664+68326000</f>
        <v>1256227574</v>
      </c>
      <c r="AA75" s="464">
        <f t="shared" si="5"/>
        <v>0.99608080224848294</v>
      </c>
      <c r="AB75" s="460">
        <f>24180000+77460675+135769784+143735889+144654355+139905511</f>
        <v>665706214</v>
      </c>
      <c r="AC75" s="432" t="s">
        <v>364</v>
      </c>
    </row>
    <row r="76" spans="1:29" s="40" customFormat="1" ht="70.349999999999994" hidden="1" customHeight="1" x14ac:dyDescent="0.25">
      <c r="A76" s="100" t="s">
        <v>221</v>
      </c>
      <c r="B76" s="21" t="s">
        <v>222</v>
      </c>
      <c r="C76" s="103">
        <v>2020110010206</v>
      </c>
      <c r="D76" s="113" t="s">
        <v>342</v>
      </c>
      <c r="E76" s="113" t="s">
        <v>351</v>
      </c>
      <c r="F76" s="72" t="s">
        <v>225</v>
      </c>
      <c r="G76" s="55" t="s">
        <v>40</v>
      </c>
      <c r="H76" s="55" t="s">
        <v>365</v>
      </c>
      <c r="I76" s="102" t="s">
        <v>227</v>
      </c>
      <c r="J76" s="39" t="s">
        <v>43</v>
      </c>
      <c r="K76" s="39" t="s">
        <v>43</v>
      </c>
      <c r="L76" s="39" t="s">
        <v>149</v>
      </c>
      <c r="M76" s="39" t="s">
        <v>150</v>
      </c>
      <c r="N76" s="72" t="s">
        <v>251</v>
      </c>
      <c r="O76" s="39" t="s">
        <v>344</v>
      </c>
      <c r="P76" s="72" t="s">
        <v>366</v>
      </c>
      <c r="Q76" s="785" t="s">
        <v>97</v>
      </c>
      <c r="R76" s="785" t="s">
        <v>97</v>
      </c>
      <c r="S76" s="821" t="s">
        <v>97</v>
      </c>
      <c r="T76" s="333">
        <v>3000000</v>
      </c>
      <c r="U76" s="704">
        <v>3000000</v>
      </c>
      <c r="V76" s="614"/>
      <c r="W76" s="708">
        <v>3000000</v>
      </c>
      <c r="X76" s="431">
        <v>2000000</v>
      </c>
      <c r="Y76" s="431">
        <f t="shared" si="6"/>
        <v>1000000</v>
      </c>
      <c r="Z76" s="460">
        <f>196142-35446</f>
        <v>160696</v>
      </c>
      <c r="AA76" s="430">
        <f>+Z76/W76</f>
        <v>5.3565333333333333E-2</v>
      </c>
      <c r="AB76" s="460">
        <f>108350+16900+70892-35446</f>
        <v>160696</v>
      </c>
      <c r="AC76" s="432" t="s">
        <v>367</v>
      </c>
    </row>
    <row r="77" spans="1:29" s="40" customFormat="1" ht="70.349999999999994" hidden="1" customHeight="1" x14ac:dyDescent="0.25">
      <c r="A77" s="100" t="s">
        <v>221</v>
      </c>
      <c r="B77" s="21" t="s">
        <v>222</v>
      </c>
      <c r="C77" s="103">
        <v>2020110010206</v>
      </c>
      <c r="D77" s="113" t="s">
        <v>342</v>
      </c>
      <c r="E77" s="113" t="s">
        <v>351</v>
      </c>
      <c r="F77" s="72" t="s">
        <v>225</v>
      </c>
      <c r="G77" s="54" t="s">
        <v>68</v>
      </c>
      <c r="H77" s="55" t="s">
        <v>69</v>
      </c>
      <c r="I77" s="107" t="s">
        <v>309</v>
      </c>
      <c r="J77" s="39" t="s">
        <v>43</v>
      </c>
      <c r="K77" s="39" t="s">
        <v>43</v>
      </c>
      <c r="L77" s="36" t="s">
        <v>44</v>
      </c>
      <c r="M77" s="37" t="s">
        <v>45</v>
      </c>
      <c r="N77" s="60" t="s">
        <v>310</v>
      </c>
      <c r="O77" s="39" t="s">
        <v>344</v>
      </c>
      <c r="P77" s="710" t="s">
        <v>368</v>
      </c>
      <c r="Q77" s="769" t="s">
        <v>600</v>
      </c>
      <c r="R77" s="770" t="s">
        <v>601</v>
      </c>
      <c r="S77" s="61"/>
      <c r="T77" s="333">
        <v>1911553000</v>
      </c>
      <c r="U77" s="551">
        <v>1911553000</v>
      </c>
      <c r="V77" s="733">
        <v>-972291880</v>
      </c>
      <c r="W77" s="708">
        <f>+U77+V77</f>
        <v>939261120</v>
      </c>
      <c r="X77" s="431">
        <v>37527095</v>
      </c>
      <c r="Y77" s="431">
        <f t="shared" si="6"/>
        <v>901734025</v>
      </c>
      <c r="Z77" s="334"/>
      <c r="AA77" s="430">
        <f t="shared" si="5"/>
        <v>0</v>
      </c>
      <c r="AB77" s="334"/>
      <c r="AC77" s="334"/>
    </row>
    <row r="78" spans="1:29" s="40" customFormat="1" ht="70.349999999999994" hidden="1" customHeight="1" x14ac:dyDescent="0.25">
      <c r="A78" s="100" t="s">
        <v>221</v>
      </c>
      <c r="B78" s="21" t="s">
        <v>222</v>
      </c>
      <c r="C78" s="103">
        <v>2020110010206</v>
      </c>
      <c r="D78" s="113" t="s">
        <v>342</v>
      </c>
      <c r="E78" s="113" t="s">
        <v>351</v>
      </c>
      <c r="F78" s="72" t="s">
        <v>225</v>
      </c>
      <c r="G78" s="39" t="s">
        <v>43</v>
      </c>
      <c r="H78" s="36" t="s">
        <v>44</v>
      </c>
      <c r="I78" s="37" t="s">
        <v>45</v>
      </c>
      <c r="J78" s="108" t="s">
        <v>63</v>
      </c>
      <c r="K78" s="36" t="s">
        <v>43</v>
      </c>
      <c r="L78" s="36" t="s">
        <v>44</v>
      </c>
      <c r="M78" s="37" t="s">
        <v>45</v>
      </c>
      <c r="N78" s="108" t="s">
        <v>63</v>
      </c>
      <c r="O78" s="39" t="s">
        <v>344</v>
      </c>
      <c r="P78" s="710" t="s">
        <v>602</v>
      </c>
      <c r="Q78" s="649"/>
      <c r="R78" s="734"/>
      <c r="S78" s="613"/>
      <c r="T78" s="333"/>
      <c r="U78" s="551"/>
      <c r="V78" s="733">
        <v>972291880</v>
      </c>
      <c r="W78" s="708">
        <f>+V78</f>
        <v>972291880</v>
      </c>
      <c r="X78" s="431">
        <v>972291880</v>
      </c>
      <c r="Y78" s="431"/>
      <c r="Z78" s="431">
        <v>972291880</v>
      </c>
      <c r="AA78" s="430"/>
      <c r="AB78" s="334"/>
      <c r="AC78" s="334"/>
    </row>
    <row r="79" spans="1:29" s="40" customFormat="1" ht="133.5" hidden="1" customHeight="1" x14ac:dyDescent="0.25">
      <c r="A79" s="100" t="s">
        <v>221</v>
      </c>
      <c r="B79" s="21" t="s">
        <v>222</v>
      </c>
      <c r="C79" s="103">
        <v>2020110010206</v>
      </c>
      <c r="D79" s="113" t="s">
        <v>342</v>
      </c>
      <c r="E79" s="113" t="s">
        <v>351</v>
      </c>
      <c r="F79" s="72" t="s">
        <v>225</v>
      </c>
      <c r="G79" s="54" t="s">
        <v>60</v>
      </c>
      <c r="H79" s="55" t="s">
        <v>61</v>
      </c>
      <c r="I79" s="102" t="s">
        <v>141</v>
      </c>
      <c r="J79" s="39" t="s">
        <v>43</v>
      </c>
      <c r="K79" s="39" t="s">
        <v>43</v>
      </c>
      <c r="L79" s="36" t="s">
        <v>44</v>
      </c>
      <c r="M79" s="37" t="s">
        <v>45</v>
      </c>
      <c r="N79" s="108" t="s">
        <v>63</v>
      </c>
      <c r="O79" s="39" t="s">
        <v>344</v>
      </c>
      <c r="P79" s="114" t="s">
        <v>360</v>
      </c>
      <c r="Q79" s="771" t="s">
        <v>603</v>
      </c>
      <c r="R79" s="772" t="s">
        <v>604</v>
      </c>
      <c r="S79" s="632"/>
      <c r="T79" s="333">
        <v>1120174650</v>
      </c>
      <c r="U79" s="333">
        <v>1120174650</v>
      </c>
      <c r="V79" s="350">
        <v>690856000</v>
      </c>
      <c r="W79" s="333">
        <f>+U79+V79</f>
        <v>1811030650</v>
      </c>
      <c r="X79" s="431">
        <v>1354527911</v>
      </c>
      <c r="Y79" s="431">
        <f>+W79-X79</f>
        <v>456502739</v>
      </c>
      <c r="Z79" s="431">
        <v>1328503610</v>
      </c>
      <c r="AA79" s="464">
        <f>+Z79/W79</f>
        <v>0.73356219012637913</v>
      </c>
      <c r="AB79" s="431">
        <f>12988491+90417581+135288838+165626447</f>
        <v>404321357</v>
      </c>
      <c r="AC79" s="336" t="s">
        <v>373</v>
      </c>
    </row>
    <row r="80" spans="1:29" s="40" customFormat="1" ht="100.5" hidden="1" customHeight="1" x14ac:dyDescent="0.25">
      <c r="A80" s="100" t="s">
        <v>221</v>
      </c>
      <c r="B80" s="21" t="s">
        <v>222</v>
      </c>
      <c r="C80" s="103">
        <v>2020110010206</v>
      </c>
      <c r="D80" s="113" t="s">
        <v>358</v>
      </c>
      <c r="E80" s="113" t="s">
        <v>374</v>
      </c>
      <c r="F80" s="72" t="s">
        <v>225</v>
      </c>
      <c r="G80" s="54" t="s">
        <v>68</v>
      </c>
      <c r="H80" s="55" t="s">
        <v>69</v>
      </c>
      <c r="I80" s="102" t="s">
        <v>309</v>
      </c>
      <c r="J80" s="39" t="s">
        <v>43</v>
      </c>
      <c r="K80" s="39" t="s">
        <v>43</v>
      </c>
      <c r="L80" s="36" t="s">
        <v>44</v>
      </c>
      <c r="M80" s="37" t="s">
        <v>45</v>
      </c>
      <c r="N80" s="60" t="s">
        <v>310</v>
      </c>
      <c r="O80" s="39" t="s">
        <v>344</v>
      </c>
      <c r="P80" s="141" t="s">
        <v>375</v>
      </c>
      <c r="Q80" s="779" t="s">
        <v>605</v>
      </c>
      <c r="R80" s="780" t="s">
        <v>606</v>
      </c>
      <c r="S80" s="61"/>
      <c r="T80" s="333">
        <v>450000000</v>
      </c>
      <c r="U80" s="551">
        <v>450000000</v>
      </c>
      <c r="V80" s="614"/>
      <c r="W80" s="708">
        <v>450000000</v>
      </c>
      <c r="X80" s="708">
        <v>134553468</v>
      </c>
      <c r="Y80" s="431">
        <f t="shared" si="6"/>
        <v>315446532</v>
      </c>
      <c r="Z80" s="431">
        <f>16353468+118200000</f>
        <v>134553468</v>
      </c>
      <c r="AA80" s="430">
        <f t="shared" si="5"/>
        <v>0.29900770666666665</v>
      </c>
      <c r="AB80" s="431">
        <v>2725578</v>
      </c>
      <c r="AC80" s="334"/>
    </row>
    <row r="81" spans="1:45" s="40" customFormat="1" ht="70.349999999999994" hidden="1" customHeight="1" x14ac:dyDescent="0.25">
      <c r="A81" s="100" t="s">
        <v>221</v>
      </c>
      <c r="B81" s="21" t="s">
        <v>222</v>
      </c>
      <c r="C81" s="103">
        <v>2020110010206</v>
      </c>
      <c r="D81" s="113" t="s">
        <v>378</v>
      </c>
      <c r="E81" s="140" t="s">
        <v>379</v>
      </c>
      <c r="F81" s="72" t="s">
        <v>225</v>
      </c>
      <c r="G81" s="54" t="s">
        <v>68</v>
      </c>
      <c r="H81" s="55" t="s">
        <v>69</v>
      </c>
      <c r="I81" s="102" t="s">
        <v>309</v>
      </c>
      <c r="J81" s="39" t="s">
        <v>43</v>
      </c>
      <c r="K81" s="39" t="s">
        <v>43</v>
      </c>
      <c r="L81" s="36" t="s">
        <v>44</v>
      </c>
      <c r="M81" s="37" t="s">
        <v>45</v>
      </c>
      <c r="N81" s="60" t="s">
        <v>310</v>
      </c>
      <c r="O81" s="39" t="s">
        <v>344</v>
      </c>
      <c r="P81" s="39" t="s">
        <v>380</v>
      </c>
      <c r="Q81" s="892" t="s">
        <v>607</v>
      </c>
      <c r="R81" s="893" t="s">
        <v>382</v>
      </c>
      <c r="S81" s="56"/>
      <c r="T81" s="333">
        <v>300000000</v>
      </c>
      <c r="U81" s="551">
        <v>300000000</v>
      </c>
      <c r="V81" s="614"/>
      <c r="W81" s="708">
        <v>300000000</v>
      </c>
      <c r="X81" s="431"/>
      <c r="Y81" s="431">
        <f t="shared" si="6"/>
        <v>300000000</v>
      </c>
      <c r="Z81" s="334"/>
      <c r="AA81" s="430">
        <f t="shared" si="5"/>
        <v>0</v>
      </c>
      <c r="AB81" s="334"/>
      <c r="AC81" s="334"/>
    </row>
    <row r="82" spans="1:45" s="40" customFormat="1" ht="70.349999999999994" hidden="1" customHeight="1" x14ac:dyDescent="0.25">
      <c r="A82" s="61" t="s">
        <v>221</v>
      </c>
      <c r="B82" s="56" t="s">
        <v>222</v>
      </c>
      <c r="C82" s="845">
        <v>2020110010206</v>
      </c>
      <c r="D82" s="846" t="s">
        <v>342</v>
      </c>
      <c r="E82" s="846" t="s">
        <v>351</v>
      </c>
      <c r="F82" s="31" t="s">
        <v>225</v>
      </c>
      <c r="G82" s="716" t="s">
        <v>68</v>
      </c>
      <c r="H82" s="717" t="s">
        <v>69</v>
      </c>
      <c r="I82" s="718" t="s">
        <v>309</v>
      </c>
      <c r="J82" s="717" t="s">
        <v>43</v>
      </c>
      <c r="K82" s="36" t="s">
        <v>43</v>
      </c>
      <c r="L82" s="36" t="s">
        <v>44</v>
      </c>
      <c r="M82" s="37" t="s">
        <v>45</v>
      </c>
      <c r="N82" s="32" t="s">
        <v>310</v>
      </c>
      <c r="O82" s="36" t="s">
        <v>344</v>
      </c>
      <c r="P82" s="109" t="s">
        <v>383</v>
      </c>
      <c r="Q82" s="847" t="s">
        <v>384</v>
      </c>
      <c r="R82" s="848" t="s">
        <v>385</v>
      </c>
      <c r="S82" s="849"/>
      <c r="T82" s="333">
        <v>8000000000</v>
      </c>
      <c r="U82" s="551">
        <v>8000000000</v>
      </c>
      <c r="V82" s="617">
        <v>-8000000000</v>
      </c>
      <c r="W82" s="431">
        <f>+U82+V82</f>
        <v>0</v>
      </c>
      <c r="X82" s="334"/>
      <c r="Y82" s="334">
        <f t="shared" si="6"/>
        <v>0</v>
      </c>
      <c r="Z82" s="334"/>
      <c r="AA82" s="334" t="e">
        <f t="shared" si="5"/>
        <v>#DIV/0!</v>
      </c>
      <c r="AB82" s="334"/>
      <c r="AC82" s="334"/>
    </row>
    <row r="83" spans="1:45" s="40" customFormat="1" ht="70.349999999999994" hidden="1" customHeight="1" x14ac:dyDescent="0.25">
      <c r="A83" s="100" t="s">
        <v>221</v>
      </c>
      <c r="B83" s="21" t="s">
        <v>222</v>
      </c>
      <c r="C83" s="103">
        <v>2020110010206</v>
      </c>
      <c r="D83" s="113" t="s">
        <v>342</v>
      </c>
      <c r="E83" s="113" t="s">
        <v>351</v>
      </c>
      <c r="F83" s="72" t="s">
        <v>225</v>
      </c>
      <c r="G83" s="54" t="s">
        <v>60</v>
      </c>
      <c r="H83" s="55" t="s">
        <v>352</v>
      </c>
      <c r="I83" s="102" t="s">
        <v>353</v>
      </c>
      <c r="J83" s="32" t="s">
        <v>86</v>
      </c>
      <c r="K83" s="32" t="s">
        <v>386</v>
      </c>
      <c r="L83" s="36" t="s">
        <v>44</v>
      </c>
      <c r="M83" s="37" t="s">
        <v>45</v>
      </c>
      <c r="N83" s="108" t="s">
        <v>63</v>
      </c>
      <c r="O83" s="39" t="s">
        <v>344</v>
      </c>
      <c r="P83" s="818" t="s">
        <v>387</v>
      </c>
      <c r="Q83" s="850" t="s">
        <v>388</v>
      </c>
      <c r="R83" s="851" t="s">
        <v>304</v>
      </c>
      <c r="S83" s="849"/>
      <c r="T83" s="355">
        <v>459795000</v>
      </c>
      <c r="U83" s="551">
        <v>459795000</v>
      </c>
      <c r="V83" s="614"/>
      <c r="W83" s="431">
        <v>459795000</v>
      </c>
      <c r="X83" s="431">
        <v>200000000</v>
      </c>
      <c r="Y83" s="431">
        <f t="shared" si="6"/>
        <v>259795000</v>
      </c>
      <c r="Z83" s="334"/>
      <c r="AA83" s="430">
        <f t="shared" si="5"/>
        <v>0</v>
      </c>
      <c r="AB83" s="334"/>
      <c r="AC83" s="334"/>
    </row>
    <row r="84" spans="1:45" s="40" customFormat="1" ht="260.25" hidden="1" customHeight="1" x14ac:dyDescent="0.25">
      <c r="A84" s="100" t="s">
        <v>221</v>
      </c>
      <c r="B84" s="21" t="s">
        <v>222</v>
      </c>
      <c r="C84" s="103">
        <v>2020110010206</v>
      </c>
      <c r="D84" s="100" t="s">
        <v>389</v>
      </c>
      <c r="E84" s="43" t="s">
        <v>390</v>
      </c>
      <c r="F84" s="72" t="s">
        <v>225</v>
      </c>
      <c r="G84" s="54" t="s">
        <v>60</v>
      </c>
      <c r="H84" s="55" t="s">
        <v>61</v>
      </c>
      <c r="I84" s="102" t="s">
        <v>141</v>
      </c>
      <c r="J84" s="39" t="s">
        <v>116</v>
      </c>
      <c r="K84" s="39" t="s">
        <v>43</v>
      </c>
      <c r="L84" s="36" t="s">
        <v>44</v>
      </c>
      <c r="M84" s="37" t="s">
        <v>45</v>
      </c>
      <c r="N84" s="38" t="s">
        <v>63</v>
      </c>
      <c r="O84" s="39" t="s">
        <v>391</v>
      </c>
      <c r="P84" s="100" t="s">
        <v>392</v>
      </c>
      <c r="Q84" s="624" t="s">
        <v>608</v>
      </c>
      <c r="R84" s="625" t="s">
        <v>609</v>
      </c>
      <c r="S84" s="61"/>
      <c r="T84" s="333">
        <v>3810540000</v>
      </c>
      <c r="U84" s="551">
        <v>3810540000</v>
      </c>
      <c r="V84" s="551">
        <f>1028930701-150000000</f>
        <v>878930701</v>
      </c>
      <c r="W84" s="431">
        <f>+U84+V84</f>
        <v>4689470701</v>
      </c>
      <c r="X84" s="431">
        <v>3401197350</v>
      </c>
      <c r="Y84" s="431">
        <f t="shared" si="6"/>
        <v>1288273351</v>
      </c>
      <c r="Z84" s="431">
        <f>1550730760+611827500+350316090+255356000+94060000+98353000+193136833</f>
        <v>3153780183</v>
      </c>
      <c r="AA84" s="430">
        <f t="shared" si="5"/>
        <v>0.6725236991730168</v>
      </c>
      <c r="AB84" s="431">
        <f>54291606+195164568+234156729+304060967+343269387</f>
        <v>1130943257</v>
      </c>
      <c r="AC84" s="432" t="s">
        <v>395</v>
      </c>
    </row>
    <row r="85" spans="1:45" s="40" customFormat="1" ht="70.349999999999994" hidden="1" customHeight="1" x14ac:dyDescent="0.25">
      <c r="A85" s="100" t="s">
        <v>221</v>
      </c>
      <c r="B85" s="21" t="s">
        <v>222</v>
      </c>
      <c r="C85" s="103">
        <v>2020110010206</v>
      </c>
      <c r="D85" s="100" t="s">
        <v>396</v>
      </c>
      <c r="E85" s="43" t="s">
        <v>397</v>
      </c>
      <c r="F85" s="72" t="s">
        <v>225</v>
      </c>
      <c r="G85" s="54" t="s">
        <v>60</v>
      </c>
      <c r="H85" s="55" t="s">
        <v>61</v>
      </c>
      <c r="I85" s="102" t="s">
        <v>141</v>
      </c>
      <c r="J85" s="39" t="s">
        <v>116</v>
      </c>
      <c r="K85" s="39" t="s">
        <v>43</v>
      </c>
      <c r="L85" s="36" t="s">
        <v>44</v>
      </c>
      <c r="M85" s="37" t="s">
        <v>45</v>
      </c>
      <c r="N85" s="38" t="s">
        <v>63</v>
      </c>
      <c r="O85" s="39" t="s">
        <v>391</v>
      </c>
      <c r="P85" s="100" t="s">
        <v>398</v>
      </c>
      <c r="Q85" s="624" t="s">
        <v>610</v>
      </c>
      <c r="R85" s="625" t="s">
        <v>400</v>
      </c>
      <c r="S85" s="61"/>
      <c r="T85" s="333">
        <v>294780000</v>
      </c>
      <c r="U85" s="350">
        <v>294780000</v>
      </c>
      <c r="V85" s="614"/>
      <c r="W85" s="431">
        <v>294780000</v>
      </c>
      <c r="X85" s="431">
        <v>273870000</v>
      </c>
      <c r="Y85" s="431">
        <f>+U85-X85</f>
        <v>20910000</v>
      </c>
      <c r="Z85" s="431">
        <f>28050000+167280000+22950000</f>
        <v>218280000</v>
      </c>
      <c r="AA85" s="430">
        <f t="shared" si="5"/>
        <v>0.74048442906574397</v>
      </c>
      <c r="AB85" s="431">
        <f>16685000+29688000+30300000</f>
        <v>76673000</v>
      </c>
      <c r="AC85" s="778" t="s">
        <v>401</v>
      </c>
    </row>
    <row r="86" spans="1:45" s="40" customFormat="1" ht="91.5" hidden="1" customHeight="1" x14ac:dyDescent="0.25">
      <c r="A86" s="100" t="s">
        <v>221</v>
      </c>
      <c r="B86" s="21" t="s">
        <v>222</v>
      </c>
      <c r="C86" s="103">
        <v>2020110010206</v>
      </c>
      <c r="D86" s="21" t="s">
        <v>342</v>
      </c>
      <c r="E86" s="113" t="s">
        <v>351</v>
      </c>
      <c r="F86" s="72" t="s">
        <v>225</v>
      </c>
      <c r="G86" s="54" t="s">
        <v>60</v>
      </c>
      <c r="H86" s="55" t="s">
        <v>352</v>
      </c>
      <c r="I86" s="102" t="s">
        <v>353</v>
      </c>
      <c r="J86" s="60" t="s">
        <v>83</v>
      </c>
      <c r="K86" s="60" t="s">
        <v>84</v>
      </c>
      <c r="L86" s="36" t="s">
        <v>44</v>
      </c>
      <c r="M86" s="37" t="s">
        <v>45</v>
      </c>
      <c r="N86" s="108" t="s">
        <v>63</v>
      </c>
      <c r="O86" s="39" t="s">
        <v>344</v>
      </c>
      <c r="P86" s="100" t="s">
        <v>402</v>
      </c>
      <c r="Q86" s="773" t="s">
        <v>611</v>
      </c>
      <c r="R86" s="774" t="s">
        <v>612</v>
      </c>
      <c r="S86" s="61"/>
      <c r="T86" s="355">
        <v>190160000</v>
      </c>
      <c r="U86" s="551">
        <v>190160000</v>
      </c>
      <c r="V86" s="614"/>
      <c r="W86" s="708">
        <v>190160000</v>
      </c>
      <c r="X86" s="431">
        <v>120000000</v>
      </c>
      <c r="Y86" s="431">
        <f t="shared" ref="Y86:Y101" si="7">+W86-X86</f>
        <v>70160000</v>
      </c>
      <c r="Z86" s="431">
        <f>7871182+4674716+2810644</f>
        <v>15356542</v>
      </c>
      <c r="AA86" s="430">
        <f t="shared" si="5"/>
        <v>8.0755900294488855E-2</v>
      </c>
      <c r="AB86" s="334"/>
      <c r="AC86" s="334"/>
    </row>
    <row r="87" spans="1:45" s="40" customFormat="1" ht="96" hidden="1" customHeight="1" x14ac:dyDescent="0.25">
      <c r="A87" s="100" t="s">
        <v>221</v>
      </c>
      <c r="B87" s="21" t="s">
        <v>222</v>
      </c>
      <c r="C87" s="103">
        <v>2020110010206</v>
      </c>
      <c r="D87" s="21" t="s">
        <v>342</v>
      </c>
      <c r="E87" s="113" t="s">
        <v>351</v>
      </c>
      <c r="F87" s="72" t="s">
        <v>225</v>
      </c>
      <c r="G87" s="54"/>
      <c r="H87" s="55"/>
      <c r="I87" s="102"/>
      <c r="J87" s="39" t="s">
        <v>116</v>
      </c>
      <c r="K87" s="39" t="s">
        <v>43</v>
      </c>
      <c r="L87" s="36" t="s">
        <v>44</v>
      </c>
      <c r="M87" s="37" t="s">
        <v>45</v>
      </c>
      <c r="N87" s="38" t="s">
        <v>46</v>
      </c>
      <c r="O87" s="39" t="s">
        <v>344</v>
      </c>
      <c r="P87" s="100" t="s">
        <v>405</v>
      </c>
      <c r="Q87" s="814" t="s">
        <v>97</v>
      </c>
      <c r="R87" s="814" t="s">
        <v>97</v>
      </c>
      <c r="S87" s="904" t="s">
        <v>97</v>
      </c>
      <c r="T87" s="355"/>
      <c r="U87" s="334"/>
      <c r="V87" s="551">
        <v>2000000000</v>
      </c>
      <c r="W87" s="431">
        <f>+V87</f>
        <v>2000000000</v>
      </c>
      <c r="X87" s="431">
        <v>2000000000</v>
      </c>
      <c r="Y87" s="431"/>
      <c r="Z87" s="334"/>
      <c r="AA87" s="430"/>
      <c r="AB87" s="334"/>
      <c r="AC87" s="334"/>
    </row>
    <row r="88" spans="1:45" s="40" customFormat="1" ht="70.349999999999994" hidden="1" customHeight="1" x14ac:dyDescent="0.25">
      <c r="A88" s="100" t="s">
        <v>221</v>
      </c>
      <c r="B88" s="21" t="s">
        <v>222</v>
      </c>
      <c r="C88" s="103">
        <v>2020110010206</v>
      </c>
      <c r="D88" s="21" t="s">
        <v>342</v>
      </c>
      <c r="E88" s="113" t="s">
        <v>351</v>
      </c>
      <c r="F88" s="72" t="s">
        <v>225</v>
      </c>
      <c r="G88" s="54" t="s">
        <v>60</v>
      </c>
      <c r="H88" s="55" t="s">
        <v>352</v>
      </c>
      <c r="I88" s="102" t="s">
        <v>353</v>
      </c>
      <c r="J88" s="43" t="s">
        <v>76</v>
      </c>
      <c r="K88" s="44" t="s">
        <v>77</v>
      </c>
      <c r="L88" s="36" t="s">
        <v>44</v>
      </c>
      <c r="M88" s="37" t="s">
        <v>45</v>
      </c>
      <c r="N88" s="108" t="s">
        <v>63</v>
      </c>
      <c r="O88" s="39" t="s">
        <v>344</v>
      </c>
      <c r="P88" s="100" t="s">
        <v>402</v>
      </c>
      <c r="Q88" s="100"/>
      <c r="R88" s="100"/>
      <c r="S88" s="61"/>
      <c r="T88" s="355">
        <v>131579000</v>
      </c>
      <c r="U88" s="551">
        <v>131579000</v>
      </c>
      <c r="V88" s="614"/>
      <c r="W88" s="708">
        <v>131579000</v>
      </c>
      <c r="X88" s="334"/>
      <c r="Y88" s="431">
        <f t="shared" si="7"/>
        <v>131579000</v>
      </c>
      <c r="Z88" s="334"/>
      <c r="AA88" s="430">
        <f t="shared" si="5"/>
        <v>0</v>
      </c>
      <c r="AB88" s="334"/>
      <c r="AC88" s="334"/>
    </row>
    <row r="89" spans="1:45" s="40" customFormat="1" ht="153.75" hidden="1" customHeight="1" x14ac:dyDescent="0.25">
      <c r="A89" s="100" t="s">
        <v>221</v>
      </c>
      <c r="B89" s="21" t="s">
        <v>222</v>
      </c>
      <c r="C89" s="103">
        <v>2020110010206</v>
      </c>
      <c r="D89" s="21" t="s">
        <v>342</v>
      </c>
      <c r="E89" s="113" t="s">
        <v>351</v>
      </c>
      <c r="F89" s="72" t="s">
        <v>225</v>
      </c>
      <c r="G89" s="54" t="s">
        <v>60</v>
      </c>
      <c r="H89" s="55" t="s">
        <v>352</v>
      </c>
      <c r="I89" s="102" t="s">
        <v>353</v>
      </c>
      <c r="J89" s="139" t="s">
        <v>406</v>
      </c>
      <c r="K89" s="60" t="s">
        <v>407</v>
      </c>
      <c r="L89" s="36" t="s">
        <v>44</v>
      </c>
      <c r="M89" s="37" t="s">
        <v>45</v>
      </c>
      <c r="N89" s="108" t="s">
        <v>63</v>
      </c>
      <c r="O89" s="39" t="s">
        <v>344</v>
      </c>
      <c r="P89" s="100" t="s">
        <v>402</v>
      </c>
      <c r="Q89" s="776" t="s">
        <v>613</v>
      </c>
      <c r="R89" s="862" t="s">
        <v>614</v>
      </c>
      <c r="S89" s="61"/>
      <c r="T89" s="355">
        <v>2641000000</v>
      </c>
      <c r="U89" s="551">
        <v>2641000000</v>
      </c>
      <c r="V89" s="614"/>
      <c r="W89" s="708">
        <v>2641000000</v>
      </c>
      <c r="X89" s="431">
        <v>920382978</v>
      </c>
      <c r="Y89" s="431">
        <f>+W89-X90</f>
        <v>-13918101846</v>
      </c>
      <c r="Z89" s="431">
        <v>430801758</v>
      </c>
      <c r="AA89" s="430">
        <f t="shared" si="5"/>
        <v>0.16312069594850434</v>
      </c>
      <c r="AB89" s="334"/>
      <c r="AC89" s="334"/>
    </row>
    <row r="90" spans="1:45" s="40" customFormat="1" ht="70.349999999999994" hidden="1" customHeight="1" x14ac:dyDescent="0.25">
      <c r="A90" s="100" t="s">
        <v>221</v>
      </c>
      <c r="B90" s="21" t="s">
        <v>222</v>
      </c>
      <c r="C90" s="103">
        <v>2020110010206</v>
      </c>
      <c r="D90" s="100" t="s">
        <v>389</v>
      </c>
      <c r="E90" s="100" t="s">
        <v>410</v>
      </c>
      <c r="F90" s="72" t="s">
        <v>225</v>
      </c>
      <c r="G90" s="54" t="s">
        <v>68</v>
      </c>
      <c r="H90" s="104" t="s">
        <v>411</v>
      </c>
      <c r="I90" s="102" t="s">
        <v>412</v>
      </c>
      <c r="J90" s="32" t="s">
        <v>86</v>
      </c>
      <c r="K90" s="32" t="s">
        <v>386</v>
      </c>
      <c r="L90" s="36" t="s">
        <v>44</v>
      </c>
      <c r="M90" s="59" t="s">
        <v>131</v>
      </c>
      <c r="N90" s="60" t="s">
        <v>413</v>
      </c>
      <c r="O90" s="39" t="s">
        <v>391</v>
      </c>
      <c r="P90" s="100" t="s">
        <v>414</v>
      </c>
      <c r="Q90" s="785" t="s">
        <v>97</v>
      </c>
      <c r="R90" s="785" t="s">
        <v>97</v>
      </c>
      <c r="S90" s="821" t="s">
        <v>97</v>
      </c>
      <c r="T90" s="333">
        <v>17836621000</v>
      </c>
      <c r="U90" s="551">
        <v>17836621000</v>
      </c>
      <c r="V90" s="614"/>
      <c r="W90" s="431">
        <v>17836621000</v>
      </c>
      <c r="X90" s="333">
        <v>16559101846</v>
      </c>
      <c r="Y90" s="431">
        <f t="shared" si="7"/>
        <v>1277519154</v>
      </c>
      <c r="Z90" s="333">
        <v>11148602099</v>
      </c>
      <c r="AA90" s="430">
        <f t="shared" si="5"/>
        <v>0.62504002854576546</v>
      </c>
      <c r="AB90" s="334"/>
      <c r="AC90" s="334"/>
    </row>
    <row r="91" spans="1:45" s="40" customFormat="1" ht="70.349999999999994" hidden="1" customHeight="1" x14ac:dyDescent="0.25">
      <c r="A91" s="100" t="s">
        <v>221</v>
      </c>
      <c r="B91" s="21" t="s">
        <v>222</v>
      </c>
      <c r="C91" s="103">
        <v>2020110010206</v>
      </c>
      <c r="D91" s="100" t="s">
        <v>389</v>
      </c>
      <c r="E91" s="100" t="s">
        <v>410</v>
      </c>
      <c r="F91" s="72" t="s">
        <v>225</v>
      </c>
      <c r="G91" s="54" t="s">
        <v>53</v>
      </c>
      <c r="H91" s="55" t="s">
        <v>155</v>
      </c>
      <c r="I91" s="102" t="s">
        <v>415</v>
      </c>
      <c r="J91" s="78" t="s">
        <v>86</v>
      </c>
      <c r="K91" s="78" t="s">
        <v>386</v>
      </c>
      <c r="L91" s="36" t="s">
        <v>44</v>
      </c>
      <c r="M91" s="60" t="s">
        <v>131</v>
      </c>
      <c r="N91" s="39" t="s">
        <v>416</v>
      </c>
      <c r="O91" s="39" t="s">
        <v>391</v>
      </c>
      <c r="P91" s="100" t="s">
        <v>417</v>
      </c>
      <c r="Q91" s="785" t="s">
        <v>97</v>
      </c>
      <c r="R91" s="785" t="s">
        <v>97</v>
      </c>
      <c r="S91" s="821" t="s">
        <v>97</v>
      </c>
      <c r="T91" s="333">
        <v>4000000000</v>
      </c>
      <c r="U91" s="551">
        <v>4000000000</v>
      </c>
      <c r="V91" s="614"/>
      <c r="W91" s="431">
        <v>4000000000</v>
      </c>
      <c r="X91" s="431"/>
      <c r="Y91" s="431">
        <f t="shared" si="7"/>
        <v>4000000000</v>
      </c>
      <c r="Z91" s="334"/>
      <c r="AA91" s="430">
        <f t="shared" si="5"/>
        <v>0</v>
      </c>
      <c r="AB91" s="334"/>
      <c r="AC91" s="334"/>
    </row>
    <row r="92" spans="1:45" s="40" customFormat="1" ht="70.349999999999994" hidden="1" customHeight="1" x14ac:dyDescent="0.25">
      <c r="A92" s="100" t="s">
        <v>221</v>
      </c>
      <c r="B92" s="21" t="s">
        <v>222</v>
      </c>
      <c r="C92" s="103">
        <v>2020110010206</v>
      </c>
      <c r="D92" s="100" t="s">
        <v>389</v>
      </c>
      <c r="E92" s="100" t="s">
        <v>410</v>
      </c>
      <c r="F92" s="72" t="s">
        <v>225</v>
      </c>
      <c r="G92" s="55" t="s">
        <v>40</v>
      </c>
      <c r="H92" s="55" t="s">
        <v>41</v>
      </c>
      <c r="I92" s="102" t="s">
        <v>418</v>
      </c>
      <c r="J92" s="78" t="s">
        <v>86</v>
      </c>
      <c r="K92" s="32" t="s">
        <v>386</v>
      </c>
      <c r="L92" s="36" t="s">
        <v>44</v>
      </c>
      <c r="M92" s="37" t="s">
        <v>45</v>
      </c>
      <c r="N92" s="38" t="s">
        <v>419</v>
      </c>
      <c r="O92" s="39" t="s">
        <v>391</v>
      </c>
      <c r="P92" s="100" t="s">
        <v>420</v>
      </c>
      <c r="Q92" s="785" t="s">
        <v>97</v>
      </c>
      <c r="R92" s="785" t="s">
        <v>97</v>
      </c>
      <c r="S92" s="821" t="s">
        <v>97</v>
      </c>
      <c r="T92" s="333">
        <v>500000000</v>
      </c>
      <c r="U92" s="551">
        <v>500000000</v>
      </c>
      <c r="V92" s="614"/>
      <c r="W92" s="431">
        <v>500000000</v>
      </c>
      <c r="X92" s="431"/>
      <c r="Y92" s="431">
        <f t="shared" si="7"/>
        <v>500000000</v>
      </c>
      <c r="Z92" s="334"/>
      <c r="AA92" s="430">
        <f t="shared" si="5"/>
        <v>0</v>
      </c>
      <c r="AB92" s="334"/>
      <c r="AC92" s="334"/>
    </row>
    <row r="93" spans="1:45" s="40" customFormat="1" ht="70.349999999999994" hidden="1" customHeight="1" x14ac:dyDescent="0.25">
      <c r="A93" s="100" t="s">
        <v>221</v>
      </c>
      <c r="B93" s="21" t="s">
        <v>222</v>
      </c>
      <c r="C93" s="103">
        <v>2020110010206</v>
      </c>
      <c r="D93" s="100" t="s">
        <v>389</v>
      </c>
      <c r="E93" s="100" t="s">
        <v>410</v>
      </c>
      <c r="F93" s="72" t="s">
        <v>225</v>
      </c>
      <c r="G93" s="55" t="s">
        <v>40</v>
      </c>
      <c r="H93" s="55" t="s">
        <v>41</v>
      </c>
      <c r="I93" s="102" t="s">
        <v>418</v>
      </c>
      <c r="J93" s="59" t="s">
        <v>83</v>
      </c>
      <c r="K93" s="60" t="s">
        <v>84</v>
      </c>
      <c r="L93" s="36" t="s">
        <v>44</v>
      </c>
      <c r="M93" s="37" t="s">
        <v>45</v>
      </c>
      <c r="N93" s="38" t="s">
        <v>419</v>
      </c>
      <c r="O93" s="39" t="s">
        <v>391</v>
      </c>
      <c r="P93" s="100" t="s">
        <v>420</v>
      </c>
      <c r="Q93" s="785" t="s">
        <v>97</v>
      </c>
      <c r="R93" s="785" t="s">
        <v>97</v>
      </c>
      <c r="S93" s="821" t="s">
        <v>97</v>
      </c>
      <c r="T93" s="333">
        <v>3500000000</v>
      </c>
      <c r="U93" s="551">
        <v>3500000000</v>
      </c>
      <c r="V93" s="614"/>
      <c r="W93" s="431">
        <v>3500000000</v>
      </c>
      <c r="X93" s="431">
        <v>1779853681</v>
      </c>
      <c r="Y93" s="431">
        <f t="shared" si="7"/>
        <v>1720146319</v>
      </c>
      <c r="Z93" s="431">
        <v>1779853681</v>
      </c>
      <c r="AA93" s="430">
        <f t="shared" si="5"/>
        <v>0.5085296231428571</v>
      </c>
      <c r="AB93" s="334"/>
      <c r="AC93" s="334"/>
    </row>
    <row r="94" spans="1:45" s="40" customFormat="1" ht="70.349999999999994" hidden="1" customHeight="1" x14ac:dyDescent="0.25">
      <c r="A94" s="100" t="s">
        <v>221</v>
      </c>
      <c r="B94" s="21" t="s">
        <v>222</v>
      </c>
      <c r="C94" s="103">
        <v>2020110010206</v>
      </c>
      <c r="D94" s="100" t="s">
        <v>389</v>
      </c>
      <c r="E94" s="100" t="s">
        <v>421</v>
      </c>
      <c r="F94" s="72" t="s">
        <v>225</v>
      </c>
      <c r="G94" s="55" t="s">
        <v>40</v>
      </c>
      <c r="H94" s="55" t="s">
        <v>41</v>
      </c>
      <c r="I94" s="102" t="s">
        <v>422</v>
      </c>
      <c r="J94" s="39" t="s">
        <v>116</v>
      </c>
      <c r="K94" s="39" t="s">
        <v>43</v>
      </c>
      <c r="L94" s="36" t="s">
        <v>44</v>
      </c>
      <c r="M94" s="37" t="s">
        <v>45</v>
      </c>
      <c r="N94" s="38" t="s">
        <v>46</v>
      </c>
      <c r="O94" s="39" t="s">
        <v>391</v>
      </c>
      <c r="P94" s="100" t="s">
        <v>423</v>
      </c>
      <c r="Q94" s="860" t="s">
        <v>615</v>
      </c>
      <c r="R94" s="861">
        <v>3333584000</v>
      </c>
      <c r="S94" s="61"/>
      <c r="T94" s="333">
        <v>3333584000.3999996</v>
      </c>
      <c r="U94" s="551">
        <v>3333584000.3999996</v>
      </c>
      <c r="V94" s="617">
        <v>-1028930701</v>
      </c>
      <c r="W94" s="431">
        <f>+U94+V94</f>
        <v>2304653299.3999996</v>
      </c>
      <c r="X94" s="431">
        <v>2304653299</v>
      </c>
      <c r="Y94" s="431">
        <f t="shared" si="7"/>
        <v>0.39999961853027344</v>
      </c>
      <c r="Z94" s="431">
        <v>2304653299</v>
      </c>
      <c r="AA94" s="430">
        <f t="shared" si="5"/>
        <v>0.99999999982643828</v>
      </c>
      <c r="AB94" s="431"/>
      <c r="AC94" s="432" t="s">
        <v>425</v>
      </c>
    </row>
    <row r="95" spans="1:45" s="40" customFormat="1" ht="42.75" hidden="1" customHeight="1" x14ac:dyDescent="0.25">
      <c r="A95" s="100" t="s">
        <v>221</v>
      </c>
      <c r="B95" s="21" t="s">
        <v>222</v>
      </c>
      <c r="C95" s="103">
        <v>2020110010206</v>
      </c>
      <c r="D95" s="100" t="s">
        <v>426</v>
      </c>
      <c r="E95" s="100" t="s">
        <v>427</v>
      </c>
      <c r="F95" s="72" t="s">
        <v>225</v>
      </c>
      <c r="G95" s="55" t="s">
        <v>40</v>
      </c>
      <c r="H95" s="55" t="s">
        <v>41</v>
      </c>
      <c r="I95" s="102"/>
      <c r="J95" s="39" t="s">
        <v>116</v>
      </c>
      <c r="K95" s="39" t="s">
        <v>43</v>
      </c>
      <c r="L95" s="36" t="s">
        <v>44</v>
      </c>
      <c r="M95" s="37" t="s">
        <v>45</v>
      </c>
      <c r="N95" s="38" t="s">
        <v>63</v>
      </c>
      <c r="O95" s="39" t="s">
        <v>391</v>
      </c>
      <c r="P95" s="100" t="s">
        <v>428</v>
      </c>
      <c r="Q95" s="785" t="s">
        <v>97</v>
      </c>
      <c r="R95" s="785" t="s">
        <v>97</v>
      </c>
      <c r="S95" s="821" t="s">
        <v>97</v>
      </c>
      <c r="T95" s="333">
        <f>1722000000+17608562000</f>
        <v>19330562000</v>
      </c>
      <c r="U95" s="551">
        <v>19330562000</v>
      </c>
      <c r="V95" s="617">
        <f>-2000000000-400000000</f>
        <v>-2400000000</v>
      </c>
      <c r="W95" s="431">
        <f>+U95+V95</f>
        <v>16930562000</v>
      </c>
      <c r="X95" s="431">
        <v>16556586625</v>
      </c>
      <c r="Y95" s="431">
        <f>+W95-X95</f>
        <v>373975375</v>
      </c>
      <c r="Z95" s="431">
        <v>15024232799</v>
      </c>
      <c r="AA95" s="430">
        <f>+Z95/W95</f>
        <v>0.88740307610580205</v>
      </c>
      <c r="AB95" s="431">
        <v>1831410603</v>
      </c>
      <c r="AC95" s="336" t="s">
        <v>429</v>
      </c>
    </row>
    <row r="96" spans="1:45" s="40" customFormat="1" ht="70.349999999999994" customHeight="1" x14ac:dyDescent="0.25">
      <c r="A96" s="100" t="s">
        <v>221</v>
      </c>
      <c r="B96" s="21" t="s">
        <v>222</v>
      </c>
      <c r="C96" s="103">
        <v>2020110010206</v>
      </c>
      <c r="D96" s="113" t="s">
        <v>342</v>
      </c>
      <c r="E96" s="113" t="s">
        <v>351</v>
      </c>
      <c r="F96" s="72" t="s">
        <v>225</v>
      </c>
      <c r="G96" s="116"/>
      <c r="H96" s="117"/>
      <c r="I96" s="117"/>
      <c r="J96" s="47" t="s">
        <v>430</v>
      </c>
      <c r="K96" s="48" t="s">
        <v>431</v>
      </c>
      <c r="L96" s="36" t="s">
        <v>44</v>
      </c>
      <c r="M96" s="53" t="s">
        <v>131</v>
      </c>
      <c r="N96" s="72" t="s">
        <v>255</v>
      </c>
      <c r="O96" s="118" t="s">
        <v>432</v>
      </c>
      <c r="P96" s="115" t="s">
        <v>433</v>
      </c>
      <c r="Q96" s="785" t="s">
        <v>97</v>
      </c>
      <c r="R96" s="785" t="s">
        <v>97</v>
      </c>
      <c r="S96" s="821" t="s">
        <v>97</v>
      </c>
      <c r="T96" s="333">
        <v>1416000</v>
      </c>
      <c r="U96" s="551">
        <v>1416000</v>
      </c>
      <c r="V96" s="614"/>
      <c r="W96" s="708">
        <v>1416000</v>
      </c>
      <c r="X96" s="431">
        <v>1416000</v>
      </c>
      <c r="Y96" s="431">
        <f t="shared" si="7"/>
        <v>0</v>
      </c>
      <c r="Z96" s="431">
        <v>1416000</v>
      </c>
      <c r="AA96" s="430">
        <f t="shared" si="5"/>
        <v>1</v>
      </c>
      <c r="AB96" s="431">
        <v>1416000</v>
      </c>
      <c r="AC96" s="357" t="s">
        <v>434</v>
      </c>
      <c r="AQ96" s="50"/>
      <c r="AR96" s="50"/>
      <c r="AS96" s="50"/>
    </row>
    <row r="97" spans="1:45" s="40" customFormat="1" ht="70.349999999999994" customHeight="1" x14ac:dyDescent="0.25">
      <c r="A97" s="100" t="s">
        <v>221</v>
      </c>
      <c r="B97" s="21" t="s">
        <v>222</v>
      </c>
      <c r="C97" s="103">
        <v>2020110010206</v>
      </c>
      <c r="D97" s="113" t="s">
        <v>342</v>
      </c>
      <c r="E97" s="113" t="s">
        <v>351</v>
      </c>
      <c r="F97" s="72" t="s">
        <v>225</v>
      </c>
      <c r="G97" s="116"/>
      <c r="H97" s="117"/>
      <c r="I97" s="117"/>
      <c r="J97" s="119" t="s">
        <v>435</v>
      </c>
      <c r="K97" s="120" t="s">
        <v>436</v>
      </c>
      <c r="L97" s="36" t="s">
        <v>44</v>
      </c>
      <c r="M97" s="53" t="s">
        <v>131</v>
      </c>
      <c r="N97" s="72" t="s">
        <v>255</v>
      </c>
      <c r="O97" s="118" t="s">
        <v>432</v>
      </c>
      <c r="P97" s="115" t="s">
        <v>437</v>
      </c>
      <c r="Q97" s="785" t="s">
        <v>97</v>
      </c>
      <c r="R97" s="785" t="s">
        <v>97</v>
      </c>
      <c r="S97" s="821" t="s">
        <v>97</v>
      </c>
      <c r="T97" s="333">
        <v>90888000</v>
      </c>
      <c r="U97" s="551">
        <v>90888000</v>
      </c>
      <c r="V97" s="614"/>
      <c r="W97" s="708">
        <v>90888000</v>
      </c>
      <c r="X97" s="431">
        <v>90888000</v>
      </c>
      <c r="Y97" s="431">
        <f t="shared" si="7"/>
        <v>0</v>
      </c>
      <c r="Z97" s="431">
        <v>90888000</v>
      </c>
      <c r="AA97" s="430">
        <f t="shared" si="5"/>
        <v>1</v>
      </c>
      <c r="AB97" s="431">
        <v>90888000</v>
      </c>
      <c r="AC97" s="357" t="s">
        <v>434</v>
      </c>
      <c r="AQ97" s="50"/>
      <c r="AR97" s="50"/>
      <c r="AS97" s="50"/>
    </row>
    <row r="98" spans="1:45" s="40" customFormat="1" ht="140.25" customHeight="1" x14ac:dyDescent="0.25">
      <c r="A98" s="100" t="s">
        <v>221</v>
      </c>
      <c r="B98" s="21" t="s">
        <v>222</v>
      </c>
      <c r="C98" s="103">
        <v>2020110010206</v>
      </c>
      <c r="D98" s="100" t="s">
        <v>389</v>
      </c>
      <c r="E98" s="100" t="s">
        <v>410</v>
      </c>
      <c r="F98" s="72" t="s">
        <v>225</v>
      </c>
      <c r="G98" s="121"/>
      <c r="H98" s="121"/>
      <c r="I98" s="105"/>
      <c r="J98" s="119" t="s">
        <v>435</v>
      </c>
      <c r="K98" s="47" t="s">
        <v>436</v>
      </c>
      <c r="L98" s="36" t="s">
        <v>44</v>
      </c>
      <c r="M98" s="53" t="s">
        <v>131</v>
      </c>
      <c r="N98" s="39" t="s">
        <v>416</v>
      </c>
      <c r="O98" s="39" t="s">
        <v>391</v>
      </c>
      <c r="P98" s="115" t="s">
        <v>96</v>
      </c>
      <c r="Q98" s="785" t="s">
        <v>97</v>
      </c>
      <c r="R98" s="785" t="s">
        <v>97</v>
      </c>
      <c r="S98" s="821" t="s">
        <v>97</v>
      </c>
      <c r="T98" s="333">
        <v>8496804000</v>
      </c>
      <c r="U98" s="551">
        <v>8496804000</v>
      </c>
      <c r="V98" s="614"/>
      <c r="W98" s="708">
        <v>8496804000</v>
      </c>
      <c r="X98" s="431">
        <f>490454490+28966366+921121770+12092439</f>
        <v>1452635065</v>
      </c>
      <c r="Y98" s="431">
        <f t="shared" si="7"/>
        <v>7044168935</v>
      </c>
      <c r="Z98" s="431">
        <f>490454490+41058805</f>
        <v>531513295</v>
      </c>
      <c r="AA98" s="430">
        <f t="shared" si="5"/>
        <v>6.2554496372989182E-2</v>
      </c>
      <c r="AB98" s="431">
        <v>490454490</v>
      </c>
      <c r="AC98" s="336" t="s">
        <v>438</v>
      </c>
      <c r="AQ98" s="50"/>
      <c r="AR98" s="50"/>
      <c r="AS98" s="50"/>
    </row>
    <row r="99" spans="1:45" s="40" customFormat="1" ht="70.349999999999994" customHeight="1" x14ac:dyDescent="0.25">
      <c r="A99" s="100" t="s">
        <v>221</v>
      </c>
      <c r="B99" s="21" t="s">
        <v>222</v>
      </c>
      <c r="C99" s="103">
        <v>2020110010206</v>
      </c>
      <c r="D99" s="100" t="s">
        <v>389</v>
      </c>
      <c r="E99" s="100" t="s">
        <v>410</v>
      </c>
      <c r="F99" s="100" t="s">
        <v>225</v>
      </c>
      <c r="G99" s="122"/>
      <c r="H99" s="122"/>
      <c r="I99" s="123"/>
      <c r="J99" s="124" t="s">
        <v>439</v>
      </c>
      <c r="K99" s="815" t="s">
        <v>440</v>
      </c>
      <c r="L99" s="816" t="s">
        <v>44</v>
      </c>
      <c r="M99" s="53" t="s">
        <v>131</v>
      </c>
      <c r="N99" s="817" t="s">
        <v>416</v>
      </c>
      <c r="O99" s="817" t="s">
        <v>391</v>
      </c>
      <c r="P99" s="115" t="s">
        <v>96</v>
      </c>
      <c r="Q99" s="785" t="s">
        <v>97</v>
      </c>
      <c r="R99" s="785" t="s">
        <v>97</v>
      </c>
      <c r="S99" s="821" t="s">
        <v>97</v>
      </c>
      <c r="T99" s="333">
        <v>1383905000</v>
      </c>
      <c r="U99" s="551">
        <v>1383905000</v>
      </c>
      <c r="V99" s="614"/>
      <c r="W99" s="708">
        <v>1383905000</v>
      </c>
      <c r="X99" s="431"/>
      <c r="Y99" s="431">
        <f t="shared" si="7"/>
        <v>1383905000</v>
      </c>
      <c r="Z99" s="334"/>
      <c r="AA99" s="430">
        <f t="shared" si="5"/>
        <v>0</v>
      </c>
      <c r="AB99" s="334"/>
      <c r="AC99" s="334"/>
    </row>
    <row r="100" spans="1:45" s="40" customFormat="1" ht="70.349999999999994" customHeight="1" x14ac:dyDescent="0.25">
      <c r="A100" s="100" t="s">
        <v>221</v>
      </c>
      <c r="B100" s="21" t="s">
        <v>222</v>
      </c>
      <c r="C100" s="103">
        <v>2020110010206</v>
      </c>
      <c r="D100" s="106" t="s">
        <v>288</v>
      </c>
      <c r="E100" s="106" t="s">
        <v>289</v>
      </c>
      <c r="F100" s="72" t="s">
        <v>225</v>
      </c>
      <c r="G100" s="121"/>
      <c r="H100" s="121"/>
      <c r="I100" s="105"/>
      <c r="J100" s="119" t="s">
        <v>441</v>
      </c>
      <c r="K100" s="119" t="s">
        <v>99</v>
      </c>
      <c r="L100" s="36" t="s">
        <v>44</v>
      </c>
      <c r="M100" s="53" t="s">
        <v>131</v>
      </c>
      <c r="N100" s="39" t="s">
        <v>255</v>
      </c>
      <c r="O100" s="138" t="s">
        <v>442</v>
      </c>
      <c r="P100" s="115" t="s">
        <v>96</v>
      </c>
      <c r="Q100" s="785" t="s">
        <v>97</v>
      </c>
      <c r="R100" s="785" t="s">
        <v>97</v>
      </c>
      <c r="S100" s="821" t="s">
        <v>97</v>
      </c>
      <c r="T100" s="333">
        <v>25838000</v>
      </c>
      <c r="U100" s="551">
        <v>25838000</v>
      </c>
      <c r="V100" s="614"/>
      <c r="W100" s="708">
        <v>25838000</v>
      </c>
      <c r="X100" s="431"/>
      <c r="Y100" s="431">
        <f t="shared" si="7"/>
        <v>25838000</v>
      </c>
      <c r="Z100" s="334"/>
      <c r="AA100" s="430">
        <f t="shared" si="5"/>
        <v>0</v>
      </c>
      <c r="AB100" s="431"/>
      <c r="AC100" s="334"/>
    </row>
    <row r="101" spans="1:45" s="40" customFormat="1" ht="70.349999999999994" customHeight="1" x14ac:dyDescent="0.25">
      <c r="A101" s="100" t="s">
        <v>221</v>
      </c>
      <c r="B101" s="21" t="s">
        <v>222</v>
      </c>
      <c r="C101" s="103">
        <v>2020110010206</v>
      </c>
      <c r="D101" s="113" t="s">
        <v>342</v>
      </c>
      <c r="E101" s="113" t="s">
        <v>351</v>
      </c>
      <c r="F101" s="72" t="s">
        <v>225</v>
      </c>
      <c r="G101" s="121"/>
      <c r="H101" s="121"/>
      <c r="I101" s="105"/>
      <c r="J101" s="119" t="s">
        <v>441</v>
      </c>
      <c r="K101" s="119" t="s">
        <v>99</v>
      </c>
      <c r="L101" s="36" t="s">
        <v>44</v>
      </c>
      <c r="M101" s="53" t="s">
        <v>131</v>
      </c>
      <c r="N101" s="72" t="s">
        <v>255</v>
      </c>
      <c r="O101" s="118" t="s">
        <v>432</v>
      </c>
      <c r="P101" s="115" t="s">
        <v>443</v>
      </c>
      <c r="Q101" s="785" t="s">
        <v>97</v>
      </c>
      <c r="R101" s="785" t="s">
        <v>97</v>
      </c>
      <c r="S101" s="821" t="s">
        <v>97</v>
      </c>
      <c r="T101" s="333">
        <v>37074000</v>
      </c>
      <c r="U101" s="551">
        <v>37074000</v>
      </c>
      <c r="V101" s="614"/>
      <c r="W101" s="708">
        <v>37074000</v>
      </c>
      <c r="X101" s="431">
        <v>23964000</v>
      </c>
      <c r="Y101" s="431">
        <f t="shared" si="7"/>
        <v>13110000</v>
      </c>
      <c r="Z101" s="431">
        <v>23964000</v>
      </c>
      <c r="AA101" s="430">
        <f t="shared" si="5"/>
        <v>0.64638290985596369</v>
      </c>
      <c r="AB101" s="431">
        <v>23964000</v>
      </c>
      <c r="AC101" s="357" t="s">
        <v>434</v>
      </c>
    </row>
    <row r="102" spans="1:45" ht="15.75" hidden="1" customHeight="1" x14ac:dyDescent="0.25">
      <c r="D102"/>
      <c r="E102"/>
      <c r="Q102"/>
      <c r="R102"/>
      <c r="S102"/>
      <c r="T102" s="137">
        <f t="shared" ref="T102:Y102" si="8">SUM(T6:T101)</f>
        <v>147117947000.39999</v>
      </c>
      <c r="U102" s="137">
        <f t="shared" si="8"/>
        <v>147117947000.39999</v>
      </c>
      <c r="V102" s="137">
        <f t="shared" si="8"/>
        <v>0</v>
      </c>
      <c r="W102" s="137">
        <f t="shared" si="8"/>
        <v>147117947000.39999</v>
      </c>
      <c r="X102" s="685">
        <f>SUM(X6:X101)</f>
        <v>92405263690</v>
      </c>
      <c r="Y102" s="136">
        <f t="shared" si="8"/>
        <v>36437871034.400002</v>
      </c>
      <c r="Z102" s="136">
        <f>SUM(Z6:Z101)</f>
        <v>72478916366</v>
      </c>
      <c r="AA102" s="135">
        <f t="shared" si="5"/>
        <v>0.49265856303584049</v>
      </c>
      <c r="AB102" s="134">
        <f>SUM(AB6:AB101)</f>
        <v>12298961632</v>
      </c>
      <c r="AC102" s="133"/>
    </row>
    <row r="103" spans="1:45" s="128" customFormat="1" ht="70.349999999999994" customHeight="1" x14ac:dyDescent="0.25">
      <c r="A103"/>
      <c r="B103"/>
      <c r="C103"/>
      <c r="D103" s="331"/>
      <c r="E103" s="331"/>
      <c r="F103"/>
      <c r="G103"/>
      <c r="H103"/>
      <c r="I103"/>
      <c r="J103"/>
      <c r="K103"/>
      <c r="L103"/>
      <c r="M103"/>
      <c r="N103"/>
      <c r="O103"/>
      <c r="P103"/>
      <c r="Q103" s="885"/>
      <c r="R103" s="885"/>
      <c r="S103" s="885"/>
      <c r="T103" s="4"/>
      <c r="U103"/>
      <c r="W103" s="4"/>
      <c r="X103" s="214"/>
      <c r="Y103" s="4"/>
      <c r="Z103" s="4"/>
      <c r="AA103" s="4"/>
      <c r="AB103" s="4"/>
      <c r="AC103" s="129"/>
      <c r="AD103"/>
      <c r="AE103" s="131"/>
      <c r="AG103"/>
      <c r="AH103"/>
      <c r="AI103"/>
      <c r="AJ103"/>
      <c r="AK103"/>
      <c r="AL103"/>
      <c r="AM103"/>
      <c r="AN103"/>
      <c r="AO103"/>
      <c r="AP103"/>
      <c r="AQ103"/>
      <c r="AR103"/>
      <c r="AS103"/>
    </row>
    <row r="104" spans="1:45" s="128" customFormat="1" x14ac:dyDescent="0.25">
      <c r="A104"/>
      <c r="B104"/>
      <c r="C104"/>
      <c r="D104" s="331"/>
      <c r="E104" s="331"/>
      <c r="F104"/>
      <c r="G104"/>
      <c r="H104"/>
      <c r="I104"/>
      <c r="J104"/>
      <c r="K104"/>
      <c r="L104"/>
      <c r="M104"/>
      <c r="N104"/>
      <c r="O104"/>
      <c r="P104"/>
      <c r="Q104" s="885"/>
      <c r="R104" s="885"/>
      <c r="S104" s="885"/>
      <c r="T104"/>
      <c r="U104"/>
      <c r="V104"/>
      <c r="W104" s="4"/>
      <c r="X104" s="214"/>
      <c r="Z104" s="6"/>
      <c r="AA104" s="129"/>
      <c r="AB104" s="4"/>
      <c r="AC104" s="131"/>
      <c r="AD104"/>
      <c r="AE104"/>
      <c r="AF104"/>
      <c r="AG104"/>
      <c r="AH104"/>
      <c r="AI104"/>
      <c r="AJ104"/>
      <c r="AK104"/>
      <c r="AL104"/>
      <c r="AM104"/>
      <c r="AN104"/>
      <c r="AO104"/>
      <c r="AP104"/>
      <c r="AQ104"/>
      <c r="AR104"/>
      <c r="AS104"/>
    </row>
    <row r="105" spans="1:45" s="128" customFormat="1" x14ac:dyDescent="0.25">
      <c r="A105"/>
      <c r="B105"/>
      <c r="C105"/>
      <c r="D105" s="331"/>
      <c r="E105" s="331"/>
      <c r="F105"/>
      <c r="G105"/>
      <c r="H105"/>
      <c r="I105"/>
      <c r="J105"/>
      <c r="K105"/>
      <c r="L105"/>
      <c r="M105"/>
      <c r="N105"/>
      <c r="O105"/>
      <c r="P105"/>
      <c r="Q105" s="885"/>
      <c r="R105" s="885"/>
      <c r="S105" s="885"/>
      <c r="T105" s="4"/>
      <c r="U105"/>
      <c r="V105" s="5"/>
      <c r="W105" s="4"/>
      <c r="X105" s="214"/>
      <c r="Y105" s="4"/>
      <c r="Z105"/>
      <c r="AA105" s="129"/>
      <c r="AB105"/>
      <c r="AC105" s="131"/>
      <c r="AD105"/>
      <c r="AE105"/>
      <c r="AF105"/>
      <c r="AG105"/>
      <c r="AH105"/>
      <c r="AI105"/>
      <c r="AJ105"/>
      <c r="AK105"/>
      <c r="AL105"/>
      <c r="AM105"/>
      <c r="AN105"/>
      <c r="AO105"/>
      <c r="AP105"/>
      <c r="AQ105"/>
      <c r="AR105"/>
      <c r="AS105"/>
    </row>
    <row r="106" spans="1:45" s="128" customFormat="1" x14ac:dyDescent="0.25">
      <c r="A106"/>
      <c r="B106"/>
      <c r="C106"/>
      <c r="D106" s="331"/>
      <c r="E106" s="331"/>
      <c r="F106"/>
      <c r="G106"/>
      <c r="H106"/>
      <c r="I106"/>
      <c r="J106"/>
      <c r="K106"/>
      <c r="L106"/>
      <c r="M106"/>
      <c r="N106"/>
      <c r="O106"/>
      <c r="P106"/>
      <c r="Q106" s="885"/>
      <c r="R106" s="885"/>
      <c r="S106" s="885"/>
      <c r="T106"/>
      <c r="U106"/>
      <c r="V106" s="5"/>
      <c r="W106" s="4"/>
      <c r="X106" s="441"/>
      <c r="Z106"/>
      <c r="AA106" s="129"/>
      <c r="AB106"/>
      <c r="AC106" s="131"/>
      <c r="AD106"/>
      <c r="AE106"/>
      <c r="AF106"/>
      <c r="AG106"/>
      <c r="AH106"/>
      <c r="AI106"/>
      <c r="AJ106"/>
      <c r="AK106"/>
      <c r="AL106"/>
      <c r="AM106"/>
      <c r="AN106"/>
      <c r="AO106"/>
      <c r="AP106"/>
      <c r="AQ106"/>
      <c r="AR106"/>
      <c r="AS106"/>
    </row>
    <row r="107" spans="1:45" s="128" customFormat="1" ht="15.75" customHeight="1" x14ac:dyDescent="0.25">
      <c r="A107"/>
      <c r="B107"/>
      <c r="C107"/>
      <c r="D107" s="331"/>
      <c r="E107" s="331"/>
      <c r="F107"/>
      <c r="G107"/>
      <c r="H107"/>
      <c r="I107"/>
      <c r="J107"/>
      <c r="K107"/>
      <c r="L107"/>
      <c r="M107"/>
      <c r="N107"/>
      <c r="O107"/>
      <c r="P107"/>
      <c r="Q107" s="885"/>
      <c r="R107" s="885"/>
      <c r="S107" s="885"/>
      <c r="T107" s="6"/>
      <c r="U107"/>
      <c r="V107"/>
      <c r="W107" s="4"/>
      <c r="X107" s="441"/>
      <c r="Z107"/>
      <c r="AA107" s="129"/>
      <c r="AB107"/>
      <c r="AC107" s="131"/>
      <c r="AD107"/>
      <c r="AE107"/>
      <c r="AF107"/>
      <c r="AG107"/>
      <c r="AH107"/>
      <c r="AI107"/>
      <c r="AJ107"/>
      <c r="AK107"/>
      <c r="AL107"/>
      <c r="AM107"/>
      <c r="AN107"/>
      <c r="AO107"/>
      <c r="AP107"/>
      <c r="AQ107"/>
      <c r="AR107"/>
      <c r="AS107"/>
    </row>
    <row r="108" spans="1:45" s="128" customFormat="1" x14ac:dyDescent="0.25">
      <c r="A108"/>
      <c r="B108"/>
      <c r="C108"/>
      <c r="D108" s="331"/>
      <c r="E108" s="331"/>
      <c r="F108"/>
      <c r="G108"/>
      <c r="H108"/>
      <c r="I108"/>
      <c r="J108"/>
      <c r="K108"/>
      <c r="L108"/>
      <c r="M108"/>
      <c r="N108"/>
      <c r="O108"/>
      <c r="P108"/>
      <c r="Q108" s="885"/>
      <c r="R108" s="885"/>
      <c r="S108" s="885"/>
      <c r="T108"/>
      <c r="U108"/>
      <c r="V108" s="5"/>
      <c r="W108" s="4"/>
      <c r="X108" s="441"/>
      <c r="Z108" s="214"/>
      <c r="AA108" s="129"/>
      <c r="AB108"/>
      <c r="AC108" s="131"/>
      <c r="AD108"/>
      <c r="AE108"/>
      <c r="AF108"/>
      <c r="AG108"/>
      <c r="AH108"/>
      <c r="AI108"/>
      <c r="AJ108"/>
      <c r="AK108"/>
      <c r="AL108"/>
      <c r="AM108"/>
      <c r="AN108"/>
      <c r="AO108"/>
      <c r="AP108"/>
      <c r="AQ108"/>
      <c r="AR108"/>
      <c r="AS108"/>
    </row>
    <row r="109" spans="1:45" s="128" customFormat="1" x14ac:dyDescent="0.25">
      <c r="A109"/>
      <c r="B109"/>
      <c r="C109"/>
      <c r="D109" s="331"/>
      <c r="E109" s="331"/>
      <c r="F109"/>
      <c r="G109"/>
      <c r="H109"/>
      <c r="I109"/>
      <c r="J109"/>
      <c r="K109"/>
      <c r="L109"/>
      <c r="M109"/>
      <c r="N109"/>
      <c r="O109"/>
      <c r="P109"/>
      <c r="Q109" s="885"/>
      <c r="R109" s="885"/>
      <c r="S109" s="885"/>
      <c r="T109"/>
      <c r="U109"/>
      <c r="V109" s="5"/>
      <c r="W109" s="4"/>
      <c r="X109" s="441"/>
      <c r="Z109" s="442"/>
      <c r="AA109" s="129"/>
      <c r="AB109"/>
      <c r="AC109" s="131"/>
      <c r="AD109"/>
      <c r="AE109"/>
      <c r="AF109"/>
      <c r="AG109"/>
      <c r="AH109"/>
      <c r="AI109"/>
      <c r="AJ109"/>
      <c r="AK109"/>
      <c r="AL109"/>
      <c r="AM109"/>
      <c r="AN109"/>
      <c r="AO109"/>
      <c r="AP109"/>
      <c r="AQ109"/>
      <c r="AR109"/>
      <c r="AS109"/>
    </row>
    <row r="110" spans="1:45" s="128" customFormat="1" x14ac:dyDescent="0.25">
      <c r="A110"/>
      <c r="B110"/>
      <c r="C110"/>
      <c r="D110" s="331"/>
      <c r="E110" s="331"/>
      <c r="F110"/>
      <c r="G110"/>
      <c r="H110"/>
      <c r="I110"/>
      <c r="J110"/>
      <c r="K110"/>
      <c r="L110"/>
      <c r="M110"/>
      <c r="N110"/>
      <c r="O110"/>
      <c r="P110"/>
      <c r="Q110" s="885"/>
      <c r="R110" s="885"/>
      <c r="S110" s="885"/>
      <c r="T110"/>
      <c r="U110"/>
      <c r="V110"/>
      <c r="W110" s="4"/>
      <c r="X110" s="441"/>
      <c r="Z110" s="442"/>
      <c r="AA110" s="129"/>
      <c r="AB110"/>
      <c r="AC110" s="131"/>
      <c r="AD110"/>
      <c r="AE110"/>
      <c r="AF110"/>
      <c r="AG110"/>
      <c r="AH110"/>
      <c r="AI110"/>
      <c r="AJ110"/>
      <c r="AK110"/>
      <c r="AL110"/>
      <c r="AM110"/>
      <c r="AN110"/>
      <c r="AO110"/>
      <c r="AP110"/>
      <c r="AQ110"/>
      <c r="AR110"/>
      <c r="AS110"/>
    </row>
    <row r="111" spans="1:45" x14ac:dyDescent="0.25">
      <c r="O111"/>
      <c r="X111" s="441"/>
      <c r="Z111" s="442"/>
      <c r="AB111" s="4"/>
    </row>
    <row r="112" spans="1:45" x14ac:dyDescent="0.25">
      <c r="O112"/>
      <c r="X112" s="441"/>
      <c r="Z112" s="442"/>
      <c r="AB112" s="4"/>
    </row>
    <row r="113" spans="1:45" s="128" customFormat="1" x14ac:dyDescent="0.25">
      <c r="A113"/>
      <c r="B113"/>
      <c r="C113"/>
      <c r="D113" s="331"/>
      <c r="E113" s="331"/>
      <c r="F113"/>
      <c r="G113"/>
      <c r="H113"/>
      <c r="I113"/>
      <c r="J113"/>
      <c r="K113"/>
      <c r="L113"/>
      <c r="M113"/>
      <c r="N113"/>
      <c r="O113"/>
      <c r="P113"/>
      <c r="Q113" s="885"/>
      <c r="R113" s="885"/>
      <c r="S113" s="885"/>
      <c r="T113"/>
      <c r="U113"/>
      <c r="V113"/>
      <c r="W113" s="6"/>
      <c r="X113" s="441"/>
      <c r="Z113" s="442"/>
      <c r="AA113" s="129"/>
      <c r="AB113" s="6"/>
      <c r="AC113" s="131"/>
      <c r="AD113"/>
      <c r="AE113"/>
      <c r="AF113"/>
      <c r="AG113"/>
      <c r="AH113"/>
      <c r="AI113"/>
      <c r="AJ113"/>
      <c r="AK113"/>
      <c r="AL113"/>
      <c r="AM113"/>
      <c r="AN113"/>
      <c r="AO113"/>
      <c r="AP113"/>
      <c r="AQ113"/>
      <c r="AR113"/>
      <c r="AS113"/>
    </row>
    <row r="114" spans="1:45" x14ac:dyDescent="0.25">
      <c r="O114"/>
      <c r="X114" s="441"/>
      <c r="Z114" s="442"/>
    </row>
    <row r="115" spans="1:45" x14ac:dyDescent="0.25">
      <c r="O115"/>
      <c r="X115" s="441"/>
      <c r="Z115" s="442"/>
    </row>
    <row r="116" spans="1:45" x14ac:dyDescent="0.25">
      <c r="O116"/>
      <c r="X116" s="441"/>
      <c r="Z116" s="442"/>
    </row>
    <row r="117" spans="1:45" x14ac:dyDescent="0.25">
      <c r="O117"/>
      <c r="X117" s="441"/>
      <c r="Z117" s="442"/>
    </row>
    <row r="118" spans="1:45" x14ac:dyDescent="0.25">
      <c r="O118"/>
      <c r="X118" s="441"/>
      <c r="Z118" s="442"/>
    </row>
    <row r="119" spans="1:45" x14ac:dyDescent="0.25">
      <c r="O119"/>
      <c r="X119" s="441"/>
      <c r="Z119" s="442"/>
    </row>
    <row r="120" spans="1:45" x14ac:dyDescent="0.25">
      <c r="O120"/>
      <c r="X120" s="441"/>
      <c r="Z120" s="442"/>
    </row>
    <row r="121" spans="1:45" x14ac:dyDescent="0.25">
      <c r="O121"/>
      <c r="X121" s="441"/>
      <c r="Z121" s="442"/>
    </row>
    <row r="122" spans="1:45" x14ac:dyDescent="0.25">
      <c r="O122"/>
      <c r="X122" s="441"/>
      <c r="Z122" s="442"/>
    </row>
    <row r="123" spans="1:45" x14ac:dyDescent="0.25">
      <c r="O123"/>
      <c r="X123" s="441"/>
      <c r="Z123" s="442"/>
    </row>
    <row r="124" spans="1:45" x14ac:dyDescent="0.25">
      <c r="O124"/>
      <c r="X124" s="441"/>
    </row>
    <row r="125" spans="1:45" x14ac:dyDescent="0.25">
      <c r="O125"/>
      <c r="X125" s="441"/>
    </row>
    <row r="126" spans="1:45" x14ac:dyDescent="0.25">
      <c r="O126"/>
      <c r="X126" s="441"/>
    </row>
    <row r="127" spans="1:45" x14ac:dyDescent="0.25">
      <c r="O127"/>
      <c r="X127" s="441"/>
    </row>
    <row r="128" spans="1:45" x14ac:dyDescent="0.25">
      <c r="O128"/>
      <c r="X128" s="441"/>
    </row>
    <row r="129" spans="15:24" x14ac:dyDescent="0.25">
      <c r="O129"/>
      <c r="X129" s="441"/>
    </row>
    <row r="130" spans="15:24" x14ac:dyDescent="0.25">
      <c r="O130"/>
      <c r="X130" s="441"/>
    </row>
    <row r="131" spans="15:24" x14ac:dyDescent="0.25">
      <c r="O131"/>
      <c r="X131" s="441"/>
    </row>
    <row r="132" spans="15:24" x14ac:dyDescent="0.25">
      <c r="O132"/>
      <c r="X132" s="441"/>
    </row>
    <row r="133" spans="15:24" x14ac:dyDescent="0.25">
      <c r="O133"/>
      <c r="X133" s="441"/>
    </row>
    <row r="134" spans="15:24" x14ac:dyDescent="0.25">
      <c r="O134"/>
      <c r="X134" s="441"/>
    </row>
    <row r="135" spans="15:24" x14ac:dyDescent="0.25">
      <c r="O135"/>
      <c r="X135" s="441"/>
    </row>
    <row r="136" spans="15:24" x14ac:dyDescent="0.25">
      <c r="O136"/>
      <c r="X136" s="441"/>
    </row>
    <row r="137" spans="15:24" x14ac:dyDescent="0.25">
      <c r="O137"/>
      <c r="X137" s="441"/>
    </row>
    <row r="138" spans="15:24" x14ac:dyDescent="0.25">
      <c r="O138"/>
      <c r="X138" s="441"/>
    </row>
    <row r="139" spans="15:24" x14ac:dyDescent="0.25">
      <c r="O139"/>
      <c r="X139" s="441"/>
    </row>
    <row r="140" spans="15:24" x14ac:dyDescent="0.25">
      <c r="O140"/>
      <c r="X140" s="441"/>
    </row>
    <row r="141" spans="15:24" x14ac:dyDescent="0.25">
      <c r="O141"/>
      <c r="X141" s="441"/>
    </row>
    <row r="142" spans="15:24" x14ac:dyDescent="0.25">
      <c r="O142"/>
      <c r="X142" s="441"/>
    </row>
    <row r="143" spans="15:24" x14ac:dyDescent="0.25">
      <c r="O143"/>
      <c r="X143" s="441"/>
    </row>
    <row r="144" spans="15:24" x14ac:dyDescent="0.25">
      <c r="O144"/>
      <c r="X144" s="441"/>
    </row>
    <row r="145" spans="15:24" x14ac:dyDescent="0.25">
      <c r="O145"/>
      <c r="X145" s="441"/>
    </row>
    <row r="146" spans="15:24" x14ac:dyDescent="0.25">
      <c r="O146"/>
      <c r="X146" s="441"/>
    </row>
    <row r="147" spans="15:24" x14ac:dyDescent="0.25">
      <c r="O147"/>
      <c r="X147" s="441"/>
    </row>
    <row r="148" spans="15:24" x14ac:dyDescent="0.25">
      <c r="O148"/>
      <c r="X148" s="441"/>
    </row>
    <row r="149" spans="15:24" x14ac:dyDescent="0.25">
      <c r="O149"/>
      <c r="X149" s="441"/>
    </row>
    <row r="150" spans="15:24" x14ac:dyDescent="0.25">
      <c r="O150"/>
      <c r="X150" s="441"/>
    </row>
    <row r="151" spans="15:24" x14ac:dyDescent="0.25">
      <c r="O151"/>
      <c r="X151" s="441"/>
    </row>
    <row r="152" spans="15:24" x14ac:dyDescent="0.25">
      <c r="O152"/>
      <c r="X152" s="441"/>
    </row>
    <row r="153" spans="15:24" x14ac:dyDescent="0.25">
      <c r="O153"/>
      <c r="X153" s="441"/>
    </row>
    <row r="154" spans="15:24" x14ac:dyDescent="0.25">
      <c r="O154"/>
      <c r="X154" s="441"/>
    </row>
    <row r="155" spans="15:24" x14ac:dyDescent="0.25">
      <c r="O155"/>
      <c r="X155" s="441"/>
    </row>
    <row r="156" spans="15:24" x14ac:dyDescent="0.25">
      <c r="O156"/>
      <c r="X156" s="441"/>
    </row>
    <row r="157" spans="15:24" x14ac:dyDescent="0.25">
      <c r="O157"/>
      <c r="X157" s="441"/>
    </row>
    <row r="158" spans="15:24" x14ac:dyDescent="0.25">
      <c r="O158"/>
      <c r="X158" s="441"/>
    </row>
    <row r="159" spans="15:24" x14ac:dyDescent="0.25">
      <c r="O159"/>
      <c r="X159" s="441"/>
    </row>
    <row r="160" spans="15:24" x14ac:dyDescent="0.25">
      <c r="O160"/>
      <c r="X160" s="441"/>
    </row>
    <row r="161" spans="15:24" x14ac:dyDescent="0.25">
      <c r="O161"/>
      <c r="X161" s="441"/>
    </row>
    <row r="162" spans="15:24" x14ac:dyDescent="0.25">
      <c r="O162"/>
      <c r="X162" s="441"/>
    </row>
    <row r="163" spans="15:24" x14ac:dyDescent="0.25">
      <c r="O163"/>
      <c r="X163" s="441"/>
    </row>
    <row r="164" spans="15:24" x14ac:dyDescent="0.25">
      <c r="O164"/>
      <c r="X164" s="441"/>
    </row>
    <row r="165" spans="15:24" x14ac:dyDescent="0.25">
      <c r="O165"/>
      <c r="X165" s="441"/>
    </row>
    <row r="166" spans="15:24" x14ac:dyDescent="0.25">
      <c r="O166"/>
      <c r="X166" s="441"/>
    </row>
    <row r="167" spans="15:24" x14ac:dyDescent="0.25">
      <c r="O167"/>
      <c r="X167" s="441"/>
    </row>
    <row r="168" spans="15:24" x14ac:dyDescent="0.25">
      <c r="O168"/>
      <c r="X168" s="441"/>
    </row>
    <row r="169" spans="15:24" x14ac:dyDescent="0.25">
      <c r="O169"/>
      <c r="X169" s="441"/>
    </row>
    <row r="170" spans="15:24" x14ac:dyDescent="0.25">
      <c r="O170"/>
      <c r="X170" s="441"/>
    </row>
    <row r="171" spans="15:24" x14ac:dyDescent="0.25">
      <c r="O171"/>
      <c r="X171" s="441"/>
    </row>
    <row r="172" spans="15:24" x14ac:dyDescent="0.25">
      <c r="O172"/>
      <c r="X172" s="441"/>
    </row>
    <row r="173" spans="15:24" x14ac:dyDescent="0.25">
      <c r="O173"/>
      <c r="X173" s="441"/>
    </row>
    <row r="174" spans="15:24" x14ac:dyDescent="0.25">
      <c r="O174"/>
      <c r="X174" s="441"/>
    </row>
    <row r="175" spans="15:24" x14ac:dyDescent="0.25">
      <c r="O175"/>
      <c r="X175" s="441"/>
    </row>
    <row r="176" spans="15:24" x14ac:dyDescent="0.25">
      <c r="O176"/>
      <c r="X176" s="441"/>
    </row>
    <row r="177" spans="15:24" x14ac:dyDescent="0.25">
      <c r="O177"/>
      <c r="X177" s="441"/>
    </row>
    <row r="178" spans="15:24" x14ac:dyDescent="0.25">
      <c r="O178"/>
      <c r="X178" s="441"/>
    </row>
    <row r="179" spans="15:24" x14ac:dyDescent="0.25">
      <c r="O179"/>
      <c r="X179" s="441"/>
    </row>
    <row r="180" spans="15:24" x14ac:dyDescent="0.25">
      <c r="O180"/>
      <c r="X180" s="441"/>
    </row>
    <row r="181" spans="15:24" x14ac:dyDescent="0.25">
      <c r="O181"/>
      <c r="X181" s="441"/>
    </row>
    <row r="182" spans="15:24" x14ac:dyDescent="0.25">
      <c r="O182"/>
      <c r="X182" s="441"/>
    </row>
    <row r="183" spans="15:24" x14ac:dyDescent="0.25">
      <c r="O183"/>
      <c r="X183" s="441"/>
    </row>
    <row r="184" spans="15:24" x14ac:dyDescent="0.25">
      <c r="O184"/>
      <c r="X184" s="441"/>
    </row>
    <row r="185" spans="15:24" x14ac:dyDescent="0.25">
      <c r="O185"/>
      <c r="X185" s="441"/>
    </row>
    <row r="186" spans="15:24" x14ac:dyDescent="0.25">
      <c r="O186"/>
      <c r="X186" s="441"/>
    </row>
    <row r="187" spans="15:24" x14ac:dyDescent="0.25">
      <c r="O187"/>
      <c r="X187" s="441"/>
    </row>
    <row r="188" spans="15:24" x14ac:dyDescent="0.25">
      <c r="O188"/>
      <c r="X188" s="441"/>
    </row>
    <row r="189" spans="15:24" x14ac:dyDescent="0.25">
      <c r="O189"/>
      <c r="X189" s="441"/>
    </row>
    <row r="190" spans="15:24" x14ac:dyDescent="0.25">
      <c r="O190"/>
      <c r="X190" s="441"/>
    </row>
    <row r="191" spans="15:24" x14ac:dyDescent="0.25">
      <c r="O191"/>
      <c r="X191" s="441"/>
    </row>
    <row r="192" spans="15:24" x14ac:dyDescent="0.25">
      <c r="O192"/>
      <c r="X192" s="441"/>
    </row>
    <row r="193" spans="15:24" x14ac:dyDescent="0.25">
      <c r="O193"/>
      <c r="X193" s="441"/>
    </row>
    <row r="194" spans="15:24" x14ac:dyDescent="0.25">
      <c r="O194"/>
      <c r="X194" s="441"/>
    </row>
    <row r="195" spans="15:24" x14ac:dyDescent="0.25">
      <c r="O195"/>
      <c r="X195" s="441"/>
    </row>
    <row r="196" spans="15:24" x14ac:dyDescent="0.25">
      <c r="O196"/>
      <c r="X196" s="441"/>
    </row>
    <row r="197" spans="15:24" x14ac:dyDescent="0.25">
      <c r="O197"/>
      <c r="X197" s="441"/>
    </row>
    <row r="198" spans="15:24" x14ac:dyDescent="0.25">
      <c r="O198"/>
      <c r="X198" s="441"/>
    </row>
    <row r="199" spans="15:24" x14ac:dyDescent="0.25">
      <c r="O199"/>
      <c r="X199" s="441"/>
    </row>
    <row r="200" spans="15:24" x14ac:dyDescent="0.25">
      <c r="O200"/>
      <c r="X200" s="441"/>
    </row>
    <row r="201" spans="15:24" x14ac:dyDescent="0.25">
      <c r="O201"/>
      <c r="X201" s="441"/>
    </row>
    <row r="202" spans="15:24" x14ac:dyDescent="0.25">
      <c r="O202"/>
      <c r="X202" s="441"/>
    </row>
    <row r="203" spans="15:24" x14ac:dyDescent="0.25">
      <c r="O203"/>
      <c r="X203" s="441"/>
    </row>
    <row r="204" spans="15:24" x14ac:dyDescent="0.25">
      <c r="O204"/>
      <c r="X204" s="441"/>
    </row>
    <row r="205" spans="15:24" x14ac:dyDescent="0.25">
      <c r="O205"/>
      <c r="X205" s="441"/>
    </row>
    <row r="206" spans="15:24" x14ac:dyDescent="0.25">
      <c r="O206"/>
      <c r="X206" s="441"/>
    </row>
    <row r="207" spans="15:24" x14ac:dyDescent="0.25">
      <c r="O207"/>
      <c r="X207" s="441"/>
    </row>
    <row r="208" spans="15:24" x14ac:dyDescent="0.25">
      <c r="O208"/>
      <c r="X208" s="441"/>
    </row>
    <row r="209" spans="15:24" x14ac:dyDescent="0.25">
      <c r="O209"/>
      <c r="X209" s="441"/>
    </row>
    <row r="210" spans="15:24" x14ac:dyDescent="0.25">
      <c r="O210"/>
      <c r="X210" s="441"/>
    </row>
    <row r="211" spans="15:24" x14ac:dyDescent="0.25">
      <c r="O211"/>
      <c r="X211" s="441"/>
    </row>
    <row r="212" spans="15:24" x14ac:dyDescent="0.25">
      <c r="O212"/>
      <c r="X212" s="441"/>
    </row>
    <row r="213" spans="15:24" x14ac:dyDescent="0.25">
      <c r="O213"/>
    </row>
    <row r="214" spans="15:24" x14ac:dyDescent="0.25">
      <c r="O214"/>
    </row>
    <row r="215" spans="15:24" x14ac:dyDescent="0.25">
      <c r="O215"/>
    </row>
    <row r="216" spans="15:24" x14ac:dyDescent="0.25">
      <c r="O216"/>
    </row>
    <row r="217" spans="15:24" x14ac:dyDescent="0.25">
      <c r="O217"/>
    </row>
    <row r="218" spans="15:24" x14ac:dyDescent="0.25">
      <c r="O218"/>
    </row>
    <row r="219" spans="15:24" x14ac:dyDescent="0.25">
      <c r="O219"/>
    </row>
    <row r="220" spans="15:24" x14ac:dyDescent="0.25">
      <c r="O220"/>
    </row>
    <row r="221" spans="15:24" x14ac:dyDescent="0.25">
      <c r="O221"/>
    </row>
    <row r="222" spans="15:24" x14ac:dyDescent="0.25">
      <c r="O222"/>
    </row>
    <row r="223" spans="15:24" x14ac:dyDescent="0.25">
      <c r="O223"/>
    </row>
    <row r="224" spans="15:24" x14ac:dyDescent="0.25">
      <c r="O224"/>
    </row>
    <row r="225" spans="15:15" x14ac:dyDescent="0.25">
      <c r="O225"/>
    </row>
    <row r="226" spans="15:15" x14ac:dyDescent="0.25">
      <c r="O226"/>
    </row>
    <row r="227" spans="15:15" x14ac:dyDescent="0.25">
      <c r="O227"/>
    </row>
    <row r="228" spans="15:15" x14ac:dyDescent="0.25">
      <c r="O228"/>
    </row>
    <row r="229" spans="15:15" x14ac:dyDescent="0.25">
      <c r="O229"/>
    </row>
    <row r="230" spans="15:15" x14ac:dyDescent="0.25">
      <c r="O230"/>
    </row>
    <row r="231" spans="15:15" x14ac:dyDescent="0.25">
      <c r="O231"/>
    </row>
    <row r="232" spans="15:15" x14ac:dyDescent="0.25">
      <c r="O232"/>
    </row>
    <row r="233" spans="15:15" x14ac:dyDescent="0.25">
      <c r="O233"/>
    </row>
    <row r="234" spans="15:15" x14ac:dyDescent="0.25">
      <c r="O234"/>
    </row>
    <row r="235" spans="15:15" x14ac:dyDescent="0.25">
      <c r="O235"/>
    </row>
    <row r="236" spans="15:15" x14ac:dyDescent="0.25">
      <c r="O236"/>
    </row>
    <row r="237" spans="15:15" x14ac:dyDescent="0.25">
      <c r="O237"/>
    </row>
    <row r="238" spans="15:15" x14ac:dyDescent="0.25">
      <c r="O238"/>
    </row>
    <row r="239" spans="15:15" x14ac:dyDescent="0.25">
      <c r="O239"/>
    </row>
    <row r="240" spans="15:15" x14ac:dyDescent="0.25">
      <c r="O240"/>
    </row>
    <row r="241" spans="15:15" x14ac:dyDescent="0.25">
      <c r="O241"/>
    </row>
    <row r="242" spans="15:15" x14ac:dyDescent="0.25">
      <c r="O242"/>
    </row>
    <row r="243" spans="15:15" x14ac:dyDescent="0.25">
      <c r="O243"/>
    </row>
    <row r="244" spans="15:15" x14ac:dyDescent="0.25">
      <c r="O244"/>
    </row>
    <row r="245" spans="15:15" x14ac:dyDescent="0.25">
      <c r="O245"/>
    </row>
    <row r="246" spans="15:15" x14ac:dyDescent="0.25">
      <c r="O246"/>
    </row>
    <row r="247" spans="15:15" x14ac:dyDescent="0.25">
      <c r="O247"/>
    </row>
    <row r="248" spans="15:15" x14ac:dyDescent="0.25">
      <c r="O248"/>
    </row>
    <row r="249" spans="15:15" x14ac:dyDescent="0.25">
      <c r="O249"/>
    </row>
    <row r="250" spans="15:15" x14ac:dyDescent="0.25">
      <c r="O250"/>
    </row>
    <row r="251" spans="15:15" x14ac:dyDescent="0.25">
      <c r="O251"/>
    </row>
    <row r="252" spans="15:15" x14ac:dyDescent="0.25">
      <c r="O252"/>
    </row>
    <row r="253" spans="15:15" x14ac:dyDescent="0.25">
      <c r="O253"/>
    </row>
    <row r="254" spans="15:15" x14ac:dyDescent="0.25">
      <c r="O254"/>
    </row>
    <row r="255" spans="15:15" x14ac:dyDescent="0.25">
      <c r="O255"/>
    </row>
    <row r="256" spans="15:15" x14ac:dyDescent="0.25">
      <c r="O256"/>
    </row>
    <row r="257" spans="15:15" x14ac:dyDescent="0.25">
      <c r="O257"/>
    </row>
    <row r="258" spans="15:15" x14ac:dyDescent="0.25">
      <c r="O258"/>
    </row>
    <row r="259" spans="15:15" x14ac:dyDescent="0.25">
      <c r="O259"/>
    </row>
    <row r="260" spans="15:15" x14ac:dyDescent="0.25">
      <c r="O260"/>
    </row>
    <row r="261" spans="15:15" x14ac:dyDescent="0.25">
      <c r="O261"/>
    </row>
    <row r="262" spans="15:15" x14ac:dyDescent="0.25">
      <c r="O262"/>
    </row>
    <row r="263" spans="15:15" x14ac:dyDescent="0.25">
      <c r="O263"/>
    </row>
    <row r="264" spans="15:15" x14ac:dyDescent="0.25">
      <c r="O264"/>
    </row>
    <row r="265" spans="15:15" x14ac:dyDescent="0.25">
      <c r="O265"/>
    </row>
    <row r="266" spans="15:15" x14ac:dyDescent="0.25">
      <c r="O266"/>
    </row>
    <row r="267" spans="15:15" x14ac:dyDescent="0.25">
      <c r="O267"/>
    </row>
    <row r="268" spans="15:15" x14ac:dyDescent="0.25">
      <c r="O268"/>
    </row>
    <row r="269" spans="15:15" x14ac:dyDescent="0.25">
      <c r="O269"/>
    </row>
    <row r="270" spans="15:15" x14ac:dyDescent="0.25">
      <c r="O270"/>
    </row>
    <row r="271" spans="15:15" x14ac:dyDescent="0.25">
      <c r="O271"/>
    </row>
    <row r="272" spans="15:15" x14ac:dyDescent="0.25">
      <c r="O272"/>
    </row>
    <row r="273" spans="15:15" x14ac:dyDescent="0.25">
      <c r="O273"/>
    </row>
    <row r="274" spans="15:15" x14ac:dyDescent="0.25">
      <c r="O274"/>
    </row>
    <row r="275" spans="15:15" x14ac:dyDescent="0.25">
      <c r="O275"/>
    </row>
    <row r="276" spans="15:15" x14ac:dyDescent="0.25">
      <c r="O276"/>
    </row>
    <row r="277" spans="15:15" x14ac:dyDescent="0.25">
      <c r="O277"/>
    </row>
    <row r="278" spans="15:15" x14ac:dyDescent="0.25">
      <c r="O278"/>
    </row>
    <row r="279" spans="15:15" x14ac:dyDescent="0.25">
      <c r="O279"/>
    </row>
    <row r="280" spans="15:15" x14ac:dyDescent="0.25">
      <c r="O280"/>
    </row>
    <row r="281" spans="15:15" x14ac:dyDescent="0.25">
      <c r="O281"/>
    </row>
    <row r="282" spans="15:15" x14ac:dyDescent="0.25">
      <c r="O282"/>
    </row>
    <row r="283" spans="15:15" x14ac:dyDescent="0.25">
      <c r="O283"/>
    </row>
    <row r="284" spans="15:15" x14ac:dyDescent="0.25">
      <c r="O284"/>
    </row>
    <row r="285" spans="15:15" x14ac:dyDescent="0.25">
      <c r="O285"/>
    </row>
    <row r="286" spans="15:15" x14ac:dyDescent="0.25">
      <c r="O286"/>
    </row>
    <row r="287" spans="15:15" x14ac:dyDescent="0.25">
      <c r="O287"/>
    </row>
    <row r="288" spans="15:15" x14ac:dyDescent="0.25">
      <c r="O288"/>
    </row>
    <row r="289" spans="15:15" x14ac:dyDescent="0.25">
      <c r="O289"/>
    </row>
    <row r="290" spans="15:15" x14ac:dyDescent="0.25">
      <c r="O290"/>
    </row>
    <row r="291" spans="15:15" x14ac:dyDescent="0.25">
      <c r="O291"/>
    </row>
    <row r="292" spans="15:15" x14ac:dyDescent="0.25">
      <c r="O292"/>
    </row>
    <row r="293" spans="15:15" x14ac:dyDescent="0.25">
      <c r="O293"/>
    </row>
    <row r="294" spans="15:15" x14ac:dyDescent="0.25">
      <c r="O294"/>
    </row>
    <row r="295" spans="15:15" x14ac:dyDescent="0.25">
      <c r="O295"/>
    </row>
    <row r="296" spans="15:15" x14ac:dyDescent="0.25">
      <c r="O296"/>
    </row>
    <row r="297" spans="15:15" x14ac:dyDescent="0.25">
      <c r="O297"/>
    </row>
    <row r="298" spans="15:15" x14ac:dyDescent="0.25">
      <c r="O298"/>
    </row>
    <row r="299" spans="15:15" x14ac:dyDescent="0.25">
      <c r="O299"/>
    </row>
    <row r="300" spans="15:15" x14ac:dyDescent="0.25">
      <c r="O300"/>
    </row>
    <row r="301" spans="15:15" x14ac:dyDescent="0.25">
      <c r="O301"/>
    </row>
    <row r="302" spans="15:15" x14ac:dyDescent="0.25">
      <c r="O302"/>
    </row>
    <row r="303" spans="15:15" x14ac:dyDescent="0.25">
      <c r="O303"/>
    </row>
    <row r="304" spans="15:15" x14ac:dyDescent="0.25">
      <c r="O304"/>
    </row>
    <row r="305" spans="15:15" x14ac:dyDescent="0.25">
      <c r="O305"/>
    </row>
    <row r="306" spans="15:15" x14ac:dyDescent="0.25">
      <c r="O306"/>
    </row>
    <row r="307" spans="15:15" x14ac:dyDescent="0.25">
      <c r="O307"/>
    </row>
    <row r="308" spans="15:15" x14ac:dyDescent="0.25">
      <c r="O308"/>
    </row>
    <row r="309" spans="15:15" x14ac:dyDescent="0.25">
      <c r="O309"/>
    </row>
    <row r="310" spans="15:15" x14ac:dyDescent="0.25">
      <c r="O310"/>
    </row>
    <row r="311" spans="15:15" x14ac:dyDescent="0.25">
      <c r="O311"/>
    </row>
    <row r="312" spans="15:15" x14ac:dyDescent="0.25">
      <c r="O312"/>
    </row>
    <row r="313" spans="15:15" x14ac:dyDescent="0.25">
      <c r="O313"/>
    </row>
    <row r="314" spans="15:15" x14ac:dyDescent="0.25">
      <c r="O314"/>
    </row>
    <row r="315" spans="15:15" x14ac:dyDescent="0.25">
      <c r="O315"/>
    </row>
    <row r="316" spans="15:15" x14ac:dyDescent="0.25">
      <c r="O316"/>
    </row>
    <row r="317" spans="15:15" x14ac:dyDescent="0.25">
      <c r="O317"/>
    </row>
    <row r="318" spans="15:15" x14ac:dyDescent="0.25">
      <c r="O318"/>
    </row>
    <row r="319" spans="15:15" x14ac:dyDescent="0.25">
      <c r="O319"/>
    </row>
    <row r="320" spans="15:15" x14ac:dyDescent="0.25">
      <c r="O320"/>
    </row>
    <row r="321" spans="15:15" x14ac:dyDescent="0.25">
      <c r="O321"/>
    </row>
    <row r="322" spans="15:15" x14ac:dyDescent="0.25">
      <c r="O322"/>
    </row>
    <row r="323" spans="15:15" x14ac:dyDescent="0.25">
      <c r="O323"/>
    </row>
    <row r="324" spans="15:15" x14ac:dyDescent="0.25">
      <c r="O324"/>
    </row>
    <row r="325" spans="15:15" x14ac:dyDescent="0.25">
      <c r="O325"/>
    </row>
    <row r="326" spans="15:15" x14ac:dyDescent="0.25">
      <c r="O326"/>
    </row>
    <row r="327" spans="15:15" x14ac:dyDescent="0.25">
      <c r="O327"/>
    </row>
    <row r="328" spans="15:15" x14ac:dyDescent="0.25">
      <c r="O328"/>
    </row>
    <row r="329" spans="15:15" x14ac:dyDescent="0.25">
      <c r="O329"/>
    </row>
    <row r="330" spans="15:15" x14ac:dyDescent="0.25">
      <c r="O330"/>
    </row>
    <row r="331" spans="15:15" x14ac:dyDescent="0.25">
      <c r="O331"/>
    </row>
    <row r="332" spans="15:15" x14ac:dyDescent="0.25">
      <c r="O332"/>
    </row>
    <row r="333" spans="15:15" x14ac:dyDescent="0.25">
      <c r="O333"/>
    </row>
    <row r="334" spans="15:15" x14ac:dyDescent="0.25">
      <c r="O334"/>
    </row>
    <row r="335" spans="15:15" x14ac:dyDescent="0.25">
      <c r="O335"/>
    </row>
    <row r="336" spans="15:15" x14ac:dyDescent="0.25">
      <c r="O336"/>
    </row>
  </sheetData>
  <autoFilter ref="A5:AC102" xr:uid="{00000000-0009-0000-0000-000005000000}">
    <filterColumn colId="10">
      <filters>
        <filter val="3-601-F002  PAS-Administrados de libre destinación"/>
        <filter val="3-601-I001  PAS-Administrados de destinación especif"/>
        <filter val="3-601-I001  PAS-Administrados de destinación Específica"/>
        <filter val="3-602-F002  PAS-RB-Administrados de libre destinació"/>
        <filter val="3-602-I001  PAS-RB-Administrados de destinación espe"/>
        <filter val="3-602-I001  PAS-RB-Administrados de destinación específica"/>
      </filters>
    </filterColumn>
  </autoFilter>
  <mergeCells count="2">
    <mergeCell ref="G3:I3"/>
    <mergeCell ref="L3:N3"/>
  </mergeCells>
  <dataValidations count="18">
    <dataValidation type="list" allowBlank="1" showInputMessage="1" showErrorMessage="1" sqref="D87" xr:uid="{00000000-0002-0000-0500-000000000000}">
      <formula1>$E$381:$E$392</formula1>
    </dataValidation>
    <dataValidation type="list" allowBlank="1" showInputMessage="1" showErrorMessage="1" sqref="C87" xr:uid="{00000000-0002-0000-0500-000001000000}">
      <formula1>$C$346:$C$350</formula1>
    </dataValidation>
    <dataValidation type="list" allowBlank="1" showInputMessage="1" showErrorMessage="1" sqref="B87" xr:uid="{00000000-0002-0000-0500-000002000000}">
      <formula1>$B$346:$B$350</formula1>
    </dataValidation>
    <dataValidation type="list" allowBlank="1" showInputMessage="1" showErrorMessage="1" sqref="A87" xr:uid="{00000000-0002-0000-0500-000003000000}">
      <formula1>$A$346:$A$349</formula1>
    </dataValidation>
    <dataValidation type="list" allowBlank="1" showInputMessage="1" showErrorMessage="1" sqref="C63" xr:uid="{00000000-0002-0000-0500-000004000000}">
      <formula1>$C$347:$C$351</formula1>
    </dataValidation>
    <dataValidation type="list" allowBlank="1" showInputMessage="1" showErrorMessage="1" sqref="B63" xr:uid="{00000000-0002-0000-0500-000005000000}">
      <formula1>$B$347:$B$351</formula1>
    </dataValidation>
    <dataValidation type="list" allowBlank="1" showInputMessage="1" showErrorMessage="1" sqref="A63" xr:uid="{00000000-0002-0000-0500-000006000000}">
      <formula1>$A$347:$A$350</formula1>
    </dataValidation>
    <dataValidation type="list" allowBlank="1" showInputMessage="1" showErrorMessage="1" sqref="C44" xr:uid="{00000000-0002-0000-0500-000007000000}">
      <formula1>$C$348:$C$352</formula1>
    </dataValidation>
    <dataValidation type="list" allowBlank="1" showInputMessage="1" showErrorMessage="1" sqref="B44" xr:uid="{00000000-0002-0000-0500-000008000000}">
      <formula1>$B$348:$B$352</formula1>
    </dataValidation>
    <dataValidation type="list" allowBlank="1" showInputMessage="1" showErrorMessage="1" sqref="A44" xr:uid="{00000000-0002-0000-0500-000009000000}">
      <formula1>$A$348:$A$351</formula1>
    </dataValidation>
    <dataValidation type="list" allowBlank="1" showInputMessage="1" showErrorMessage="1" sqref="D84 D90:D93" xr:uid="{00000000-0002-0000-0500-00000A000000}">
      <formula1>$E$365:$E$376</formula1>
    </dataValidation>
    <dataValidation type="list" allowBlank="1" showInputMessage="1" showErrorMessage="1" sqref="D94 D98:D99" xr:uid="{00000000-0002-0000-0500-00000B000000}">
      <formula1>$E$374:$E$385</formula1>
    </dataValidation>
    <dataValidation type="list" allowBlank="1" showInputMessage="1" showErrorMessage="1" sqref="D101 D71:D78 D86 D81:D83 D96:D97 D88:D89" xr:uid="{00000000-0002-0000-0500-00000C000000}">
      <formula1>$E$379:$E$390</formula1>
    </dataValidation>
    <dataValidation showDropDown="1" showInputMessage="1" showErrorMessage="1" sqref="D85" xr:uid="{00000000-0002-0000-0500-00000D000000}"/>
    <dataValidation showInputMessage="1" showErrorMessage="1" sqref="D79:D80" xr:uid="{00000000-0002-0000-0500-00000E000000}"/>
    <dataValidation type="list" allowBlank="1" showInputMessage="1" showErrorMessage="1" sqref="C43 C64:C86 C45:C62 C88:C101" xr:uid="{00000000-0002-0000-0500-00000F000000}">
      <formula1>$C$344:$C$348</formula1>
    </dataValidation>
    <dataValidation type="list" allowBlank="1" showInputMessage="1" showErrorMessage="1" sqref="B43 B64:B86 B45:B62 B88:B101" xr:uid="{00000000-0002-0000-0500-000010000000}">
      <formula1>$B$344:$B$348</formula1>
    </dataValidation>
    <dataValidation type="list" allowBlank="1" showInputMessage="1" showErrorMessage="1" sqref="A43 A64:A86 A45:A62 A88:A101" xr:uid="{00000000-0002-0000-0500-000011000000}">
      <formula1>$A$344:$A$347</formula1>
    </dataValidation>
  </dataValidation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S336"/>
  <sheetViews>
    <sheetView zoomScale="84" zoomScaleNormal="84" workbookViewId="0">
      <pane ySplit="5" topLeftCell="A98" activePane="bottomLeft" state="frozen"/>
      <selection activeCell="S4" sqref="S4"/>
      <selection pane="bottomLeft" activeCell="AE100" sqref="AE100"/>
    </sheetView>
  </sheetViews>
  <sheetFormatPr baseColWidth="10" defaultColWidth="11.5703125" defaultRowHeight="15" x14ac:dyDescent="0.25"/>
  <cols>
    <col min="1" max="1" width="30.42578125" bestFit="1" customWidth="1"/>
    <col min="2" max="2" width="27.7109375" bestFit="1" customWidth="1"/>
    <col min="3" max="3" width="20.7109375" bestFit="1" customWidth="1"/>
    <col min="4" max="4" width="39.140625" customWidth="1"/>
    <col min="5" max="5" width="44.42578125" customWidth="1"/>
    <col min="6" max="6" width="42.140625" customWidth="1"/>
    <col min="7" max="7" width="24.5703125" hidden="1" customWidth="1"/>
    <col min="8" max="8" width="19.28515625" hidden="1" customWidth="1"/>
    <col min="9" max="9" width="19.7109375" hidden="1" customWidth="1"/>
    <col min="10" max="10" width="20.28515625" hidden="1" customWidth="1"/>
    <col min="11" max="13" width="20.28515625" customWidth="1"/>
    <col min="14" max="14" width="35.5703125" customWidth="1"/>
    <col min="15" max="15" width="33.7109375" style="2" customWidth="1"/>
    <col min="16" max="16" width="42.42578125" customWidth="1"/>
    <col min="17" max="19" width="42.42578125" hidden="1" customWidth="1"/>
    <col min="20" max="20" width="30.42578125" customWidth="1"/>
    <col min="21" max="21" width="21.7109375" customWidth="1"/>
    <col min="22" max="22" width="22.28515625" bestFit="1" customWidth="1"/>
    <col min="23" max="23" width="21.140625" customWidth="1"/>
    <col min="24" max="24" width="23" style="128" customWidth="1"/>
    <col min="25" max="25" width="27.140625" style="128" bestFit="1" customWidth="1"/>
    <col min="26" max="26" width="24.140625" style="130" customWidth="1"/>
    <col min="27" max="27" width="11.5703125" style="129" bestFit="1" customWidth="1"/>
    <col min="28" max="28" width="28" bestFit="1" customWidth="1"/>
    <col min="29" max="29" width="21.42578125" style="131" customWidth="1"/>
    <col min="43" max="43" width="19.85546875" bestFit="1" customWidth="1"/>
    <col min="44" max="44" width="18.5703125" bestFit="1" customWidth="1"/>
    <col min="45" max="45" width="11.5703125" bestFit="1" customWidth="1"/>
  </cols>
  <sheetData>
    <row r="1" spans="1:29" s="2" customFormat="1" ht="35.25" customHeight="1" x14ac:dyDescent="0.3">
      <c r="A1" s="306" t="s">
        <v>616</v>
      </c>
      <c r="F1" s="7"/>
      <c r="G1" s="7"/>
      <c r="H1" s="7"/>
      <c r="I1" s="7"/>
      <c r="J1" s="8"/>
      <c r="K1" s="9"/>
      <c r="L1" s="10"/>
      <c r="M1" s="10"/>
      <c r="N1" s="10"/>
      <c r="O1" s="11"/>
      <c r="P1" s="12"/>
      <c r="Q1" s="12"/>
      <c r="R1" s="12"/>
      <c r="S1" s="12"/>
      <c r="T1" s="11"/>
      <c r="X1" s="13"/>
      <c r="Y1" s="13">
        <f>+X1-X2</f>
        <v>0</v>
      </c>
      <c r="Z1" s="13"/>
      <c r="AA1" s="14"/>
    </row>
    <row r="2" spans="1:29" s="2" customFormat="1" ht="27.75" customHeight="1" x14ac:dyDescent="0.25">
      <c r="F2" s="9"/>
      <c r="G2" s="9"/>
      <c r="H2" s="9"/>
      <c r="I2" s="9"/>
      <c r="J2" s="15"/>
      <c r="K2" s="9"/>
      <c r="L2" s="10"/>
      <c r="M2" s="10"/>
      <c r="N2" s="10"/>
      <c r="O2" s="11"/>
      <c r="P2" s="12"/>
      <c r="Q2" s="12"/>
      <c r="R2" s="12"/>
      <c r="S2" s="12"/>
      <c r="T2" s="11"/>
      <c r="X2" s="13"/>
      <c r="Y2" s="13"/>
      <c r="Z2" s="13"/>
      <c r="AA2" s="14"/>
    </row>
    <row r="3" spans="1:29" s="2" customFormat="1" ht="20.25" customHeight="1" x14ac:dyDescent="0.25">
      <c r="F3" s="16"/>
      <c r="G3" s="1393" t="s">
        <v>3</v>
      </c>
      <c r="H3" s="1393"/>
      <c r="I3" s="1393"/>
      <c r="J3" s="17"/>
      <c r="K3" s="17"/>
      <c r="L3" s="1393" t="s">
        <v>4</v>
      </c>
      <c r="M3" s="1393"/>
      <c r="N3" s="1393"/>
      <c r="O3" s="18"/>
      <c r="P3" s="19" t="s">
        <v>5</v>
      </c>
      <c r="Q3" s="545"/>
      <c r="R3" s="545"/>
      <c r="S3" s="545"/>
      <c r="T3" s="20" t="s">
        <v>7</v>
      </c>
      <c r="X3" s="13"/>
      <c r="Y3" s="13"/>
      <c r="Z3" s="13"/>
      <c r="AA3" s="14"/>
    </row>
    <row r="4" spans="1:29" s="2" customFormat="1" x14ac:dyDescent="0.25">
      <c r="F4" s="16"/>
      <c r="G4" s="1"/>
      <c r="H4" s="1"/>
      <c r="I4" s="1"/>
      <c r="J4" s="16"/>
      <c r="K4" s="16"/>
      <c r="L4" s="1"/>
      <c r="M4" s="1"/>
      <c r="N4" s="1"/>
      <c r="O4" s="304"/>
      <c r="P4" s="305"/>
      <c r="Q4" s="545"/>
      <c r="R4" s="545"/>
      <c r="S4" s="545"/>
      <c r="T4" s="20"/>
      <c r="X4" s="13"/>
      <c r="Y4" s="13"/>
      <c r="Z4" s="13"/>
      <c r="AA4" s="14"/>
    </row>
    <row r="5" spans="1:29" s="30" customFormat="1" ht="45" customHeight="1" x14ac:dyDescent="0.25">
      <c r="A5" s="21" t="s">
        <v>9</v>
      </c>
      <c r="B5" s="22" t="s">
        <v>10</v>
      </c>
      <c r="C5" s="22" t="s">
        <v>11</v>
      </c>
      <c r="D5" s="23" t="s">
        <v>12</v>
      </c>
      <c r="E5" s="24" t="s">
        <v>13</v>
      </c>
      <c r="F5" s="22" t="s">
        <v>14</v>
      </c>
      <c r="G5" s="25" t="s">
        <v>15</v>
      </c>
      <c r="H5" s="25" t="s">
        <v>16</v>
      </c>
      <c r="I5" s="25" t="s">
        <v>17</v>
      </c>
      <c r="J5" s="26" t="s">
        <v>18</v>
      </c>
      <c r="K5" s="26" t="s">
        <v>19</v>
      </c>
      <c r="L5" s="27" t="s">
        <v>15</v>
      </c>
      <c r="M5" s="27" t="s">
        <v>16</v>
      </c>
      <c r="N5" s="27" t="s">
        <v>17</v>
      </c>
      <c r="O5" s="28" t="s">
        <v>20</v>
      </c>
      <c r="P5" s="188" t="s">
        <v>21</v>
      </c>
      <c r="Q5" s="548" t="s">
        <v>22</v>
      </c>
      <c r="R5" s="548" t="s">
        <v>23</v>
      </c>
      <c r="S5" s="548" t="s">
        <v>24</v>
      </c>
      <c r="T5" s="187" t="s">
        <v>25</v>
      </c>
      <c r="U5" s="183" t="s">
        <v>26</v>
      </c>
      <c r="V5" s="183" t="s">
        <v>27</v>
      </c>
      <c r="W5" s="183" t="s">
        <v>28</v>
      </c>
      <c r="X5" s="186" t="s">
        <v>29</v>
      </c>
      <c r="Y5" s="186" t="s">
        <v>30</v>
      </c>
      <c r="Z5" s="185" t="s">
        <v>31</v>
      </c>
      <c r="AA5" s="184" t="s">
        <v>32</v>
      </c>
      <c r="AB5" s="183" t="s">
        <v>33</v>
      </c>
      <c r="AC5" s="29" t="s">
        <v>34</v>
      </c>
    </row>
    <row r="6" spans="1:29" s="40" customFormat="1" ht="113.25" customHeight="1" x14ac:dyDescent="0.25">
      <c r="A6" s="31" t="s">
        <v>35</v>
      </c>
      <c r="B6" s="32" t="s">
        <v>36</v>
      </c>
      <c r="C6" s="33">
        <v>2020110010169</v>
      </c>
      <c r="D6" s="31" t="s">
        <v>37</v>
      </c>
      <c r="E6" s="31" t="s">
        <v>38</v>
      </c>
      <c r="F6" s="31" t="s">
        <v>39</v>
      </c>
      <c r="G6" s="34" t="s">
        <v>40</v>
      </c>
      <c r="H6" s="34" t="s">
        <v>41</v>
      </c>
      <c r="I6" s="35" t="s">
        <v>42</v>
      </c>
      <c r="J6" s="36" t="s">
        <v>43</v>
      </c>
      <c r="K6" s="36" t="s">
        <v>43</v>
      </c>
      <c r="L6" s="36" t="s">
        <v>44</v>
      </c>
      <c r="M6" s="37" t="s">
        <v>45</v>
      </c>
      <c r="N6" s="31" t="s">
        <v>71</v>
      </c>
      <c r="O6" s="59" t="s">
        <v>47</v>
      </c>
      <c r="P6" s="42" t="s">
        <v>48</v>
      </c>
      <c r="Q6" s="549" t="s">
        <v>49</v>
      </c>
      <c r="R6" s="550" t="s">
        <v>50</v>
      </c>
      <c r="S6" s="42"/>
      <c r="T6" s="333">
        <v>1000000000</v>
      </c>
      <c r="U6" s="551">
        <v>1000000000</v>
      </c>
      <c r="V6" s="551">
        <v>-311807097</v>
      </c>
      <c r="W6" s="431">
        <f>+U6+V6</f>
        <v>688192903</v>
      </c>
      <c r="X6" s="431">
        <v>688192903</v>
      </c>
      <c r="Y6" s="431">
        <f t="shared" ref="Y6:Y11" si="0">+W6-X6</f>
        <v>0</v>
      </c>
      <c r="Z6" s="431">
        <v>688192903</v>
      </c>
      <c r="AA6" s="430">
        <f>+Z6/W6</f>
        <v>1</v>
      </c>
      <c r="AB6" s="437">
        <f>91879295+95370708</f>
        <v>187250003</v>
      </c>
      <c r="AC6" s="432" t="s">
        <v>51</v>
      </c>
    </row>
    <row r="7" spans="1:29" s="40" customFormat="1" ht="113.25" customHeight="1" x14ac:dyDescent="0.25">
      <c r="A7" s="31" t="s">
        <v>35</v>
      </c>
      <c r="B7" s="32" t="s">
        <v>36</v>
      </c>
      <c r="C7" s="33">
        <v>2020110010169</v>
      </c>
      <c r="D7" s="31" t="s">
        <v>37</v>
      </c>
      <c r="E7" s="31" t="s">
        <v>52</v>
      </c>
      <c r="F7" s="31" t="s">
        <v>39</v>
      </c>
      <c r="G7" s="41" t="s">
        <v>53</v>
      </c>
      <c r="H7" s="34" t="s">
        <v>54</v>
      </c>
      <c r="I7" s="35" t="s">
        <v>55</v>
      </c>
      <c r="J7" s="56" t="s">
        <v>43</v>
      </c>
      <c r="K7" s="36" t="s">
        <v>43</v>
      </c>
      <c r="L7" s="56" t="s">
        <v>44</v>
      </c>
      <c r="M7" s="49" t="s">
        <v>45</v>
      </c>
      <c r="N7" s="31" t="s">
        <v>71</v>
      </c>
      <c r="O7" s="28" t="s">
        <v>47</v>
      </c>
      <c r="P7" s="42" t="s">
        <v>56</v>
      </c>
      <c r="Q7" s="552" t="s">
        <v>57</v>
      </c>
      <c r="R7" s="553" t="s">
        <v>58</v>
      </c>
      <c r="S7" s="552" t="s">
        <v>59</v>
      </c>
      <c r="T7" s="333">
        <v>360500000</v>
      </c>
      <c r="U7" s="551">
        <v>360500000</v>
      </c>
      <c r="V7" s="334"/>
      <c r="W7" s="431">
        <v>360500000</v>
      </c>
      <c r="X7" s="431">
        <f>59008248+301491752</f>
        <v>360500000</v>
      </c>
      <c r="Y7" s="431">
        <f t="shared" si="0"/>
        <v>0</v>
      </c>
      <c r="Z7" s="350">
        <v>53510388</v>
      </c>
      <c r="AA7" s="430">
        <f>+Z7/W7</f>
        <v>0.14843380859916783</v>
      </c>
      <c r="AB7" s="700"/>
      <c r="AC7" s="334"/>
    </row>
    <row r="8" spans="1:29" s="40" customFormat="1" ht="150.75" customHeight="1" x14ac:dyDescent="0.25">
      <c r="A8" s="31" t="s">
        <v>35</v>
      </c>
      <c r="B8" s="32" t="s">
        <v>36</v>
      </c>
      <c r="C8" s="33">
        <v>2020110010169</v>
      </c>
      <c r="D8" s="31" t="s">
        <v>37</v>
      </c>
      <c r="E8" s="31" t="s">
        <v>38</v>
      </c>
      <c r="F8" s="31" t="s">
        <v>39</v>
      </c>
      <c r="G8" s="41" t="s">
        <v>60</v>
      </c>
      <c r="H8" s="34" t="s">
        <v>61</v>
      </c>
      <c r="I8" s="35" t="s">
        <v>62</v>
      </c>
      <c r="J8" s="36" t="s">
        <v>43</v>
      </c>
      <c r="K8" s="36" t="s">
        <v>43</v>
      </c>
      <c r="L8" s="36" t="s">
        <v>44</v>
      </c>
      <c r="M8" s="37" t="s">
        <v>45</v>
      </c>
      <c r="N8" s="31" t="s">
        <v>71</v>
      </c>
      <c r="O8" s="59" t="s">
        <v>47</v>
      </c>
      <c r="P8" s="42" t="s">
        <v>64</v>
      </c>
      <c r="Q8" s="554" t="s">
        <v>617</v>
      </c>
      <c r="R8" s="555" t="s">
        <v>618</v>
      </c>
      <c r="S8" s="42"/>
      <c r="T8" s="437">
        <v>1030008000</v>
      </c>
      <c r="U8" s="551">
        <f>+T8</f>
        <v>1030008000</v>
      </c>
      <c r="V8" s="551">
        <v>-5209225</v>
      </c>
      <c r="W8" s="556">
        <f>+U8+V8</f>
        <v>1024798775</v>
      </c>
      <c r="X8" s="437">
        <f>759506540-5209225+20440000</f>
        <v>774737315</v>
      </c>
      <c r="Y8" s="431">
        <f t="shared" si="0"/>
        <v>250061460</v>
      </c>
      <c r="Z8" s="460">
        <f>655300142+36000000+28709225</f>
        <v>720009367</v>
      </c>
      <c r="AA8" s="430">
        <f>+Z8/W8</f>
        <v>0.70258609257217353</v>
      </c>
      <c r="AB8" s="437">
        <f>15283722+37082200+69625000+79439667</f>
        <v>201430589</v>
      </c>
      <c r="AC8" s="432" t="s">
        <v>67</v>
      </c>
    </row>
    <row r="9" spans="1:29" s="40" customFormat="1" ht="150.75" customHeight="1" x14ac:dyDescent="0.25">
      <c r="A9" s="31" t="s">
        <v>35</v>
      </c>
      <c r="B9" s="32" t="s">
        <v>36</v>
      </c>
      <c r="C9" s="33">
        <v>2020110010169</v>
      </c>
      <c r="D9" s="31" t="s">
        <v>37</v>
      </c>
      <c r="E9" s="31" t="s">
        <v>38</v>
      </c>
      <c r="F9" s="31" t="s">
        <v>39</v>
      </c>
      <c r="G9" s="36" t="s">
        <v>43</v>
      </c>
      <c r="H9" s="36" t="s">
        <v>44</v>
      </c>
      <c r="I9" s="37" t="s">
        <v>45</v>
      </c>
      <c r="J9" s="31" t="s">
        <v>71</v>
      </c>
      <c r="K9" s="59" t="s">
        <v>516</v>
      </c>
      <c r="L9" s="36" t="s">
        <v>44</v>
      </c>
      <c r="M9" s="37" t="s">
        <v>45</v>
      </c>
      <c r="N9" s="31" t="s">
        <v>71</v>
      </c>
      <c r="O9" s="59" t="s">
        <v>47</v>
      </c>
      <c r="P9" s="42" t="s">
        <v>517</v>
      </c>
      <c r="Q9" s="554"/>
      <c r="R9" s="555"/>
      <c r="S9" s="42"/>
      <c r="T9" s="437"/>
      <c r="U9" s="551"/>
      <c r="V9" s="551">
        <v>5209225</v>
      </c>
      <c r="W9" s="556">
        <f>+V9</f>
        <v>5209225</v>
      </c>
      <c r="X9" s="437">
        <v>5209225</v>
      </c>
      <c r="Y9" s="431">
        <f t="shared" si="0"/>
        <v>0</v>
      </c>
      <c r="Z9" s="460"/>
      <c r="AA9" s="430"/>
      <c r="AB9" s="437"/>
      <c r="AC9" s="432"/>
    </row>
    <row r="10" spans="1:29" s="40" customFormat="1" ht="113.25" customHeight="1" x14ac:dyDescent="0.25">
      <c r="A10" s="31" t="s">
        <v>35</v>
      </c>
      <c r="B10" s="32" t="s">
        <v>36</v>
      </c>
      <c r="C10" s="33">
        <v>2020110010169</v>
      </c>
      <c r="D10" s="31" t="s">
        <v>37</v>
      </c>
      <c r="E10" s="31" t="s">
        <v>52</v>
      </c>
      <c r="F10" s="31" t="s">
        <v>39</v>
      </c>
      <c r="G10" s="41" t="s">
        <v>68</v>
      </c>
      <c r="H10" s="34" t="s">
        <v>69</v>
      </c>
      <c r="I10" s="35" t="s">
        <v>70</v>
      </c>
      <c r="J10" s="36" t="s">
        <v>43</v>
      </c>
      <c r="K10" s="36" t="s">
        <v>43</v>
      </c>
      <c r="L10" s="36" t="s">
        <v>44</v>
      </c>
      <c r="M10" s="37" t="s">
        <v>45</v>
      </c>
      <c r="N10" s="31" t="s">
        <v>71</v>
      </c>
      <c r="O10" s="59" t="s">
        <v>47</v>
      </c>
      <c r="P10" s="301" t="s">
        <v>72</v>
      </c>
      <c r="Q10" s="557" t="s">
        <v>73</v>
      </c>
      <c r="R10" s="558" t="s">
        <v>74</v>
      </c>
      <c r="S10" s="559" t="s">
        <v>75</v>
      </c>
      <c r="T10" s="333">
        <v>330000000</v>
      </c>
      <c r="U10" s="551">
        <v>330000000</v>
      </c>
      <c r="V10" s="334"/>
      <c r="W10" s="431">
        <v>330000000</v>
      </c>
      <c r="X10" s="431">
        <f>304350003+19649997+6000000</f>
        <v>330000000</v>
      </c>
      <c r="Y10" s="431">
        <f t="shared" si="0"/>
        <v>0</v>
      </c>
      <c r="Z10" s="431">
        <f>19649997+2129646</f>
        <v>21779643</v>
      </c>
      <c r="AA10" s="430">
        <f t="shared" ref="AA10:AA23" si="1">+Z10/W10</f>
        <v>6.5998918181818175E-2</v>
      </c>
      <c r="AB10" s="701">
        <v>2129646</v>
      </c>
      <c r="AC10" s="336" t="s">
        <v>72</v>
      </c>
    </row>
    <row r="11" spans="1:29" s="40" customFormat="1" ht="113.25" customHeight="1" x14ac:dyDescent="0.25">
      <c r="A11" s="31" t="s">
        <v>35</v>
      </c>
      <c r="B11" s="32" t="s">
        <v>36</v>
      </c>
      <c r="C11" s="33">
        <v>2020110010169</v>
      </c>
      <c r="D11" s="31" t="s">
        <v>37</v>
      </c>
      <c r="E11" s="31" t="s">
        <v>52</v>
      </c>
      <c r="F11" s="31" t="s">
        <v>39</v>
      </c>
      <c r="G11" s="41" t="s">
        <v>68</v>
      </c>
      <c r="H11" s="34" t="s">
        <v>69</v>
      </c>
      <c r="I11" s="35" t="s">
        <v>70</v>
      </c>
      <c r="J11" s="43" t="s">
        <v>76</v>
      </c>
      <c r="K11" s="43" t="s">
        <v>77</v>
      </c>
      <c r="L11" s="56" t="s">
        <v>44</v>
      </c>
      <c r="M11" s="49" t="s">
        <v>45</v>
      </c>
      <c r="N11" s="61" t="s">
        <v>71</v>
      </c>
      <c r="O11" s="28" t="s">
        <v>47</v>
      </c>
      <c r="P11" s="182" t="s">
        <v>78</v>
      </c>
      <c r="Q11" s="557" t="s">
        <v>73</v>
      </c>
      <c r="R11" s="560" t="s">
        <v>79</v>
      </c>
      <c r="S11" s="559" t="s">
        <v>80</v>
      </c>
      <c r="T11" s="337">
        <v>92359000</v>
      </c>
      <c r="U11" s="551">
        <f>T11</f>
        <v>92359000</v>
      </c>
      <c r="V11" s="561"/>
      <c r="W11" s="431">
        <v>92359000</v>
      </c>
      <c r="X11" s="431">
        <v>61499459</v>
      </c>
      <c r="Y11" s="431">
        <f t="shared" si="0"/>
        <v>30859541</v>
      </c>
      <c r="Z11" s="334"/>
      <c r="AA11" s="430">
        <f t="shared" si="1"/>
        <v>0</v>
      </c>
      <c r="AB11" s="700"/>
      <c r="AC11" s="334"/>
    </row>
    <row r="12" spans="1:29" s="40" customFormat="1" ht="113.25" customHeight="1" x14ac:dyDescent="0.25">
      <c r="A12" s="31" t="s">
        <v>35</v>
      </c>
      <c r="B12" s="32" t="s">
        <v>36</v>
      </c>
      <c r="C12" s="33">
        <v>2020110010169</v>
      </c>
      <c r="D12" s="31" t="s">
        <v>37</v>
      </c>
      <c r="E12" s="31" t="s">
        <v>81</v>
      </c>
      <c r="F12" s="31" t="s">
        <v>39</v>
      </c>
      <c r="G12" s="41" t="s">
        <v>68</v>
      </c>
      <c r="H12" s="34" t="s">
        <v>69</v>
      </c>
      <c r="I12" s="35" t="s">
        <v>70</v>
      </c>
      <c r="J12" s="43" t="s">
        <v>76</v>
      </c>
      <c r="K12" s="43" t="s">
        <v>77</v>
      </c>
      <c r="L12" s="56" t="s">
        <v>44</v>
      </c>
      <c r="M12" s="49" t="s">
        <v>45</v>
      </c>
      <c r="N12" s="31" t="s">
        <v>71</v>
      </c>
      <c r="O12" s="28" t="s">
        <v>47</v>
      </c>
      <c r="P12" s="182" t="s">
        <v>78</v>
      </c>
      <c r="Q12" s="182"/>
      <c r="R12" s="182"/>
      <c r="S12" s="182"/>
      <c r="T12" s="337">
        <v>28062000</v>
      </c>
      <c r="U12" s="551">
        <v>28062000</v>
      </c>
      <c r="V12" s="334"/>
      <c r="W12" s="431">
        <v>28062000</v>
      </c>
      <c r="X12" s="431">
        <v>15565001</v>
      </c>
      <c r="Y12" s="431">
        <f>W12-X12</f>
        <v>12496999</v>
      </c>
      <c r="Z12" s="431">
        <v>15565001</v>
      </c>
      <c r="AA12" s="430">
        <f t="shared" si="1"/>
        <v>0.55466470672083246</v>
      </c>
      <c r="AB12" s="437">
        <v>14008499</v>
      </c>
      <c r="AC12" s="336" t="s">
        <v>82</v>
      </c>
    </row>
    <row r="13" spans="1:29" s="40" customFormat="1" ht="113.25" customHeight="1" x14ac:dyDescent="0.25">
      <c r="A13" s="31" t="s">
        <v>35</v>
      </c>
      <c r="B13" s="32" t="s">
        <v>36</v>
      </c>
      <c r="C13" s="33">
        <v>2020110010169</v>
      </c>
      <c r="D13" s="31" t="s">
        <v>37</v>
      </c>
      <c r="E13" s="31" t="s">
        <v>52</v>
      </c>
      <c r="F13" s="31" t="s">
        <v>39</v>
      </c>
      <c r="G13" s="41" t="s">
        <v>68</v>
      </c>
      <c r="H13" s="34" t="s">
        <v>69</v>
      </c>
      <c r="I13" s="35" t="s">
        <v>70</v>
      </c>
      <c r="J13" s="60" t="s">
        <v>83</v>
      </c>
      <c r="K13" s="60" t="s">
        <v>84</v>
      </c>
      <c r="L13" s="56" t="s">
        <v>44</v>
      </c>
      <c r="M13" s="49" t="s">
        <v>45</v>
      </c>
      <c r="N13" s="31" t="s">
        <v>71</v>
      </c>
      <c r="O13" s="28" t="s">
        <v>47</v>
      </c>
      <c r="P13" s="182" t="s">
        <v>78</v>
      </c>
      <c r="Q13" s="182"/>
      <c r="R13" s="182"/>
      <c r="S13" s="182"/>
      <c r="T13" s="337">
        <v>43792000</v>
      </c>
      <c r="U13" s="551">
        <f>T13</f>
        <v>43792000</v>
      </c>
      <c r="V13" s="334"/>
      <c r="W13" s="431">
        <f>U13</f>
        <v>43792000</v>
      </c>
      <c r="X13" s="431">
        <v>43792000</v>
      </c>
      <c r="Y13" s="431">
        <f t="shared" ref="Y13:Y23" si="2">+W13-X13</f>
        <v>0</v>
      </c>
      <c r="Z13" s="431">
        <v>43792000</v>
      </c>
      <c r="AA13" s="430">
        <f t="shared" si="1"/>
        <v>1</v>
      </c>
      <c r="AB13" s="437">
        <v>21896000</v>
      </c>
      <c r="AC13" s="338" t="s">
        <v>85</v>
      </c>
    </row>
    <row r="14" spans="1:29" s="40" customFormat="1" ht="60.75" customHeight="1" x14ac:dyDescent="0.25">
      <c r="A14" s="31" t="s">
        <v>35</v>
      </c>
      <c r="B14" s="32" t="s">
        <v>36</v>
      </c>
      <c r="C14" s="33">
        <v>2020110010169</v>
      </c>
      <c r="D14" s="31" t="s">
        <v>37</v>
      </c>
      <c r="E14" s="31" t="s">
        <v>52</v>
      </c>
      <c r="F14" s="31" t="s">
        <v>39</v>
      </c>
      <c r="G14" s="41"/>
      <c r="H14" s="34"/>
      <c r="I14" s="35"/>
      <c r="J14" s="60"/>
      <c r="K14" s="36" t="s">
        <v>43</v>
      </c>
      <c r="L14" s="56" t="s">
        <v>44</v>
      </c>
      <c r="M14" s="49" t="s">
        <v>45</v>
      </c>
      <c r="N14" s="31" t="s">
        <v>71</v>
      </c>
      <c r="O14" s="28" t="s">
        <v>47</v>
      </c>
      <c r="P14" s="735" t="s">
        <v>519</v>
      </c>
      <c r="Q14" s="182"/>
      <c r="R14" s="182"/>
      <c r="S14" s="182"/>
      <c r="T14" s="337"/>
      <c r="U14" s="551"/>
      <c r="V14" s="431">
        <v>311807097</v>
      </c>
      <c r="W14" s="431">
        <f>+V14</f>
        <v>311807097</v>
      </c>
      <c r="X14" s="431"/>
      <c r="Y14" s="431"/>
      <c r="Z14" s="431"/>
      <c r="AA14" s="430"/>
      <c r="AB14" s="437"/>
      <c r="AC14" s="338"/>
    </row>
    <row r="15" spans="1:29" s="40" customFormat="1" ht="113.25" customHeight="1" x14ac:dyDescent="0.25">
      <c r="A15" s="31" t="s">
        <v>35</v>
      </c>
      <c r="B15" s="32" t="s">
        <v>36</v>
      </c>
      <c r="C15" s="33">
        <v>2020110010169</v>
      </c>
      <c r="D15" s="31" t="s">
        <v>37</v>
      </c>
      <c r="E15" s="31" t="s">
        <v>81</v>
      </c>
      <c r="F15" s="31" t="s">
        <v>39</v>
      </c>
      <c r="G15" s="41" t="s">
        <v>68</v>
      </c>
      <c r="H15" s="34" t="s">
        <v>69</v>
      </c>
      <c r="I15" s="35" t="s">
        <v>70</v>
      </c>
      <c r="J15" s="32" t="s">
        <v>86</v>
      </c>
      <c r="K15" s="32" t="s">
        <v>87</v>
      </c>
      <c r="L15" s="36" t="s">
        <v>44</v>
      </c>
      <c r="M15" s="37" t="s">
        <v>45</v>
      </c>
      <c r="N15" s="31" t="s">
        <v>71</v>
      </c>
      <c r="O15" s="59" t="s">
        <v>47</v>
      </c>
      <c r="P15" s="182" t="s">
        <v>88</v>
      </c>
      <c r="Q15" s="562" t="s">
        <v>89</v>
      </c>
      <c r="R15" s="563" t="s">
        <v>90</v>
      </c>
      <c r="S15" s="182"/>
      <c r="T15" s="339">
        <v>1278739000</v>
      </c>
      <c r="U15" s="551">
        <v>1278739000</v>
      </c>
      <c r="V15" s="733">
        <v>-376139123</v>
      </c>
      <c r="W15" s="431">
        <f>+U15+V15</f>
        <v>902599877</v>
      </c>
      <c r="X15" s="431">
        <f>281078765-1537314</f>
        <v>279541451</v>
      </c>
      <c r="Y15" s="431">
        <f>+W15-X15</f>
        <v>623058426</v>
      </c>
      <c r="Z15" s="431">
        <v>279541451</v>
      </c>
      <c r="AA15" s="430">
        <f t="shared" si="1"/>
        <v>0.30970694559489731</v>
      </c>
      <c r="AB15" s="700"/>
      <c r="AC15" s="336" t="s">
        <v>91</v>
      </c>
    </row>
    <row r="16" spans="1:29" s="40" customFormat="1" ht="113.25" customHeight="1" x14ac:dyDescent="0.25">
      <c r="A16" s="31" t="s">
        <v>35</v>
      </c>
      <c r="B16" s="32" t="s">
        <v>36</v>
      </c>
      <c r="C16" s="33">
        <v>2020110010169</v>
      </c>
      <c r="D16" s="31" t="s">
        <v>37</v>
      </c>
      <c r="E16" s="31" t="s">
        <v>52</v>
      </c>
      <c r="F16" s="31" t="s">
        <v>39</v>
      </c>
      <c r="G16" s="32" t="s">
        <v>87</v>
      </c>
      <c r="H16" s="36" t="s">
        <v>44</v>
      </c>
      <c r="I16" s="37" t="s">
        <v>45</v>
      </c>
      <c r="J16" s="31" t="s">
        <v>71</v>
      </c>
      <c r="K16" s="32" t="s">
        <v>87</v>
      </c>
      <c r="L16" s="36" t="s">
        <v>44</v>
      </c>
      <c r="M16" s="37" t="s">
        <v>45</v>
      </c>
      <c r="N16" s="31" t="s">
        <v>71</v>
      </c>
      <c r="O16" s="59" t="s">
        <v>47</v>
      </c>
      <c r="P16" s="182" t="s">
        <v>521</v>
      </c>
      <c r="Q16" s="562"/>
      <c r="R16" s="563"/>
      <c r="S16" s="182"/>
      <c r="T16" s="339"/>
      <c r="U16" s="551"/>
      <c r="V16" s="733">
        <v>376139123</v>
      </c>
      <c r="W16" s="431">
        <f>+V16</f>
        <v>376139123</v>
      </c>
      <c r="X16" s="431"/>
      <c r="Y16" s="431"/>
      <c r="Z16" s="431"/>
      <c r="AA16" s="430"/>
      <c r="AB16" s="700"/>
      <c r="AC16" s="336"/>
    </row>
    <row r="17" spans="1:45" s="40" customFormat="1" ht="113.25" customHeight="1" x14ac:dyDescent="0.25">
      <c r="A17" s="31" t="s">
        <v>35</v>
      </c>
      <c r="B17" s="32" t="s">
        <v>36</v>
      </c>
      <c r="C17" s="33">
        <v>2020110010169</v>
      </c>
      <c r="D17" s="31" t="s">
        <v>37</v>
      </c>
      <c r="E17" s="31" t="s">
        <v>81</v>
      </c>
      <c r="F17" s="31" t="s">
        <v>39</v>
      </c>
      <c r="G17" s="41" t="s">
        <v>68</v>
      </c>
      <c r="H17" s="34" t="s">
        <v>69</v>
      </c>
      <c r="I17" s="35" t="s">
        <v>70</v>
      </c>
      <c r="J17" s="60" t="s">
        <v>83</v>
      </c>
      <c r="K17" s="60" t="s">
        <v>84</v>
      </c>
      <c r="L17" s="36" t="s">
        <v>44</v>
      </c>
      <c r="M17" s="37" t="s">
        <v>45</v>
      </c>
      <c r="N17" s="31" t="s">
        <v>71</v>
      </c>
      <c r="O17" s="59" t="s">
        <v>47</v>
      </c>
      <c r="P17" s="182" t="s">
        <v>92</v>
      </c>
      <c r="Q17" s="182" t="s">
        <v>93</v>
      </c>
      <c r="R17" s="564" t="s">
        <v>94</v>
      </c>
      <c r="S17" s="182"/>
      <c r="T17" s="339">
        <v>1693199000</v>
      </c>
      <c r="U17" s="551">
        <v>1693199000</v>
      </c>
      <c r="V17" s="334"/>
      <c r="W17" s="431">
        <v>1693199000</v>
      </c>
      <c r="X17" s="431"/>
      <c r="Y17" s="431">
        <f>+W17+X17</f>
        <v>1693199000</v>
      </c>
      <c r="Z17" s="334"/>
      <c r="AA17" s="430">
        <f t="shared" si="1"/>
        <v>0</v>
      </c>
      <c r="AB17" s="700"/>
      <c r="AC17" s="334"/>
    </row>
    <row r="18" spans="1:45" s="40" customFormat="1" ht="113.25" customHeight="1" x14ac:dyDescent="0.25">
      <c r="A18" s="31" t="s">
        <v>35</v>
      </c>
      <c r="B18" s="32" t="s">
        <v>36</v>
      </c>
      <c r="C18" s="33">
        <v>2020110010169</v>
      </c>
      <c r="D18" s="31" t="s">
        <v>37</v>
      </c>
      <c r="E18" s="31" t="s">
        <v>81</v>
      </c>
      <c r="F18" s="31" t="s">
        <v>39</v>
      </c>
      <c r="G18" s="45"/>
      <c r="H18" s="46"/>
      <c r="I18" s="45"/>
      <c r="J18" s="47" t="s">
        <v>95</v>
      </c>
      <c r="K18" s="47" t="s">
        <v>95</v>
      </c>
      <c r="L18" s="36" t="s">
        <v>44</v>
      </c>
      <c r="M18" s="49" t="s">
        <v>45</v>
      </c>
      <c r="N18" s="31" t="s">
        <v>71</v>
      </c>
      <c r="O18" s="59" t="s">
        <v>47</v>
      </c>
      <c r="P18" s="181" t="s">
        <v>96</v>
      </c>
      <c r="Q18" s="181" t="s">
        <v>97</v>
      </c>
      <c r="R18" s="181" t="s">
        <v>97</v>
      </c>
      <c r="S18" s="181"/>
      <c r="T18" s="340">
        <v>330711000</v>
      </c>
      <c r="U18" s="551">
        <v>330711000</v>
      </c>
      <c r="V18" s="334"/>
      <c r="W18" s="431">
        <v>330711000</v>
      </c>
      <c r="X18" s="431">
        <v>23553963</v>
      </c>
      <c r="Y18" s="431">
        <f t="shared" si="2"/>
        <v>307157037</v>
      </c>
      <c r="Z18" s="334"/>
      <c r="AA18" s="430">
        <f t="shared" si="1"/>
        <v>0</v>
      </c>
      <c r="AB18" s="700"/>
      <c r="AC18" s="334"/>
      <c r="AQ18" s="50">
        <v>147117947000</v>
      </c>
      <c r="AR18" s="50">
        <v>12259828916.666666</v>
      </c>
      <c r="AS18" s="50">
        <v>8.3333333333333329E-2</v>
      </c>
    </row>
    <row r="19" spans="1:45" s="40" customFormat="1" ht="113.25" customHeight="1" x14ac:dyDescent="0.25">
      <c r="A19" s="31" t="s">
        <v>35</v>
      </c>
      <c r="B19" s="32" t="s">
        <v>36</v>
      </c>
      <c r="C19" s="33">
        <v>2020110010169</v>
      </c>
      <c r="D19" s="31" t="s">
        <v>37</v>
      </c>
      <c r="E19" s="31" t="s">
        <v>81</v>
      </c>
      <c r="F19" s="31" t="s">
        <v>39</v>
      </c>
      <c r="G19" s="51"/>
      <c r="H19" s="52"/>
      <c r="I19" s="51"/>
      <c r="J19" s="47" t="s">
        <v>98</v>
      </c>
      <c r="K19" s="47" t="s">
        <v>98</v>
      </c>
      <c r="L19" s="36" t="s">
        <v>44</v>
      </c>
      <c r="M19" s="49" t="s">
        <v>45</v>
      </c>
      <c r="N19" s="31" t="s">
        <v>71</v>
      </c>
      <c r="O19" s="59" t="s">
        <v>47</v>
      </c>
      <c r="P19" s="181" t="s">
        <v>96</v>
      </c>
      <c r="Q19" s="181" t="s">
        <v>97</v>
      </c>
      <c r="R19" s="181" t="s">
        <v>97</v>
      </c>
      <c r="S19" s="181"/>
      <c r="T19" s="431">
        <v>587476000</v>
      </c>
      <c r="U19" s="431">
        <v>587476000</v>
      </c>
      <c r="V19" s="334"/>
      <c r="W19" s="431">
        <v>587476000</v>
      </c>
      <c r="X19" s="431"/>
      <c r="Y19" s="431">
        <f t="shared" si="2"/>
        <v>587476000</v>
      </c>
      <c r="Z19" s="334"/>
      <c r="AA19" s="430">
        <f t="shared" si="1"/>
        <v>0</v>
      </c>
      <c r="AB19" s="700"/>
      <c r="AC19" s="334"/>
      <c r="AQ19" s="50"/>
      <c r="AR19" s="50">
        <v>12259828916.666666</v>
      </c>
      <c r="AS19" s="50">
        <v>8.3333333333333329E-2</v>
      </c>
    </row>
    <row r="20" spans="1:45" s="40" customFormat="1" ht="113.25" customHeight="1" x14ac:dyDescent="0.25">
      <c r="A20" s="31" t="s">
        <v>35</v>
      </c>
      <c r="B20" s="32" t="s">
        <v>36</v>
      </c>
      <c r="C20" s="33">
        <v>2020110010169</v>
      </c>
      <c r="D20" s="31" t="s">
        <v>37</v>
      </c>
      <c r="E20" s="31" t="s">
        <v>81</v>
      </c>
      <c r="F20" s="31" t="s">
        <v>39</v>
      </c>
      <c r="G20" s="51"/>
      <c r="H20" s="52"/>
      <c r="I20" s="51"/>
      <c r="J20" s="47" t="s">
        <v>99</v>
      </c>
      <c r="K20" s="47" t="s">
        <v>99</v>
      </c>
      <c r="L20" s="36" t="s">
        <v>44</v>
      </c>
      <c r="M20" s="49" t="s">
        <v>45</v>
      </c>
      <c r="N20" s="31" t="s">
        <v>71</v>
      </c>
      <c r="O20" s="59" t="s">
        <v>47</v>
      </c>
      <c r="P20" s="181" t="s">
        <v>96</v>
      </c>
      <c r="Q20" s="181" t="s">
        <v>97</v>
      </c>
      <c r="R20" s="181" t="s">
        <v>97</v>
      </c>
      <c r="S20" s="181"/>
      <c r="T20" s="431">
        <v>119835000</v>
      </c>
      <c r="U20" s="431">
        <v>119835000</v>
      </c>
      <c r="V20" s="334"/>
      <c r="W20" s="431">
        <v>119835000</v>
      </c>
      <c r="X20" s="431"/>
      <c r="Y20" s="431">
        <f t="shared" si="2"/>
        <v>119835000</v>
      </c>
      <c r="Z20" s="334"/>
      <c r="AA20" s="430">
        <f t="shared" si="1"/>
        <v>0</v>
      </c>
      <c r="AB20" s="700"/>
      <c r="AC20" s="334"/>
      <c r="AQ20" s="50"/>
      <c r="AR20" s="50">
        <v>12259828916.666666</v>
      </c>
      <c r="AS20" s="50">
        <v>8.3333333333333329E-2</v>
      </c>
    </row>
    <row r="21" spans="1:45" s="40" customFormat="1" ht="113.25" customHeight="1" x14ac:dyDescent="0.25">
      <c r="A21" s="179" t="s">
        <v>100</v>
      </c>
      <c r="B21" s="179" t="s">
        <v>101</v>
      </c>
      <c r="C21" s="180">
        <v>2020110010195</v>
      </c>
      <c r="D21" s="179" t="s">
        <v>102</v>
      </c>
      <c r="E21" s="179" t="s">
        <v>103</v>
      </c>
      <c r="F21" s="179" t="s">
        <v>104</v>
      </c>
      <c r="G21" s="178" t="s">
        <v>53</v>
      </c>
      <c r="H21" s="177" t="s">
        <v>54</v>
      </c>
      <c r="I21" s="176" t="s">
        <v>105</v>
      </c>
      <c r="J21" s="175" t="s">
        <v>43</v>
      </c>
      <c r="K21" s="175" t="s">
        <v>43</v>
      </c>
      <c r="L21" s="174" t="s">
        <v>106</v>
      </c>
      <c r="M21" s="174" t="s">
        <v>107</v>
      </c>
      <c r="N21" s="173" t="s">
        <v>108</v>
      </c>
      <c r="O21" s="172" t="s">
        <v>47</v>
      </c>
      <c r="P21" s="171" t="s">
        <v>109</v>
      </c>
      <c r="Q21" s="171"/>
      <c r="R21" s="171"/>
      <c r="S21" s="171"/>
      <c r="T21" s="341">
        <v>100000000</v>
      </c>
      <c r="U21" s="565">
        <v>100000000</v>
      </c>
      <c r="V21" s="342"/>
      <c r="W21" s="433">
        <v>100000000</v>
      </c>
      <c r="X21" s="433"/>
      <c r="Y21" s="433">
        <f t="shared" si="2"/>
        <v>100000000</v>
      </c>
      <c r="Z21" s="342"/>
      <c r="AA21" s="435">
        <f t="shared" si="1"/>
        <v>0</v>
      </c>
      <c r="AB21" s="342"/>
      <c r="AC21" s="342"/>
      <c r="AR21" s="40">
        <v>12259828916.666666</v>
      </c>
      <c r="AS21" s="40">
        <v>8.3333333333333329E-2</v>
      </c>
    </row>
    <row r="22" spans="1:45" s="40" customFormat="1" ht="113.25" customHeight="1" x14ac:dyDescent="0.25">
      <c r="A22" s="61" t="s">
        <v>110</v>
      </c>
      <c r="B22" s="61" t="s">
        <v>111</v>
      </c>
      <c r="C22" s="58">
        <v>2020110010170</v>
      </c>
      <c r="D22" s="61" t="s">
        <v>112</v>
      </c>
      <c r="E22" s="61" t="s">
        <v>113</v>
      </c>
      <c r="F22" s="61" t="s">
        <v>114</v>
      </c>
      <c r="G22" s="89" t="s">
        <v>40</v>
      </c>
      <c r="H22" s="89" t="s">
        <v>41</v>
      </c>
      <c r="I22" s="90" t="s">
        <v>115</v>
      </c>
      <c r="J22" s="56" t="s">
        <v>116</v>
      </c>
      <c r="K22" s="56" t="s">
        <v>43</v>
      </c>
      <c r="L22" s="56" t="s">
        <v>44</v>
      </c>
      <c r="M22" s="49" t="s">
        <v>45</v>
      </c>
      <c r="N22" s="170" t="s">
        <v>46</v>
      </c>
      <c r="O22" s="21" t="s">
        <v>117</v>
      </c>
      <c r="P22" s="56" t="s">
        <v>118</v>
      </c>
      <c r="Q22" s="683" t="s">
        <v>119</v>
      </c>
      <c r="R22" s="684" t="s">
        <v>120</v>
      </c>
      <c r="S22" s="683" t="s">
        <v>121</v>
      </c>
      <c r="T22" s="333">
        <v>5838000000</v>
      </c>
      <c r="U22" s="551">
        <v>5838000000</v>
      </c>
      <c r="V22" s="733">
        <v>-247696920</v>
      </c>
      <c r="W22" s="431">
        <f>+U22+V22</f>
        <v>5590303080</v>
      </c>
      <c r="X22" s="431">
        <v>5590303080</v>
      </c>
      <c r="Y22" s="431">
        <f t="shared" si="2"/>
        <v>0</v>
      </c>
      <c r="Z22" s="431">
        <v>5590303080</v>
      </c>
      <c r="AA22" s="430">
        <f t="shared" si="1"/>
        <v>1</v>
      </c>
      <c r="AB22" s="431">
        <v>470000000</v>
      </c>
      <c r="AC22" s="301" t="s">
        <v>122</v>
      </c>
      <c r="AR22" s="40">
        <v>12259828916.666666</v>
      </c>
      <c r="AS22" s="40">
        <v>8.3333333333333329E-2</v>
      </c>
    </row>
    <row r="23" spans="1:45" s="40" customFormat="1" ht="158.25" customHeight="1" x14ac:dyDescent="0.25">
      <c r="A23" s="61" t="s">
        <v>110</v>
      </c>
      <c r="B23" s="61" t="s">
        <v>111</v>
      </c>
      <c r="C23" s="58">
        <v>2020110010170</v>
      </c>
      <c r="D23" s="61" t="s">
        <v>112</v>
      </c>
      <c r="E23" s="61" t="s">
        <v>123</v>
      </c>
      <c r="F23" s="61" t="s">
        <v>114</v>
      </c>
      <c r="G23" s="169" t="s">
        <v>60</v>
      </c>
      <c r="H23" s="89" t="s">
        <v>61</v>
      </c>
      <c r="I23" s="90" t="s">
        <v>124</v>
      </c>
      <c r="J23" s="56" t="s">
        <v>116</v>
      </c>
      <c r="K23" s="56" t="s">
        <v>43</v>
      </c>
      <c r="L23" s="56" t="s">
        <v>44</v>
      </c>
      <c r="M23" s="49" t="s">
        <v>45</v>
      </c>
      <c r="N23" s="170" t="s">
        <v>63</v>
      </c>
      <c r="O23" s="21" t="s">
        <v>117</v>
      </c>
      <c r="P23" s="56" t="s">
        <v>125</v>
      </c>
      <c r="Q23" s="567" t="s">
        <v>619</v>
      </c>
      <c r="R23" s="568" t="s">
        <v>620</v>
      </c>
      <c r="S23" s="56"/>
      <c r="T23" s="333">
        <v>1505183000</v>
      </c>
      <c r="U23" s="551">
        <f>+T23</f>
        <v>1505183000</v>
      </c>
      <c r="V23" s="551">
        <v>-15627675</v>
      </c>
      <c r="W23" s="569">
        <f>+U23+V23</f>
        <v>1489555325</v>
      </c>
      <c r="X23" s="541">
        <v>1253462017</v>
      </c>
      <c r="Y23" s="431">
        <f t="shared" si="2"/>
        <v>236093308</v>
      </c>
      <c r="Z23" s="541">
        <v>1152766999</v>
      </c>
      <c r="AA23" s="430">
        <f t="shared" si="1"/>
        <v>0.77390008927664367</v>
      </c>
      <c r="AB23" s="703">
        <v>363210106</v>
      </c>
      <c r="AC23" s="680" t="s">
        <v>128</v>
      </c>
    </row>
    <row r="24" spans="1:45" s="40" customFormat="1" ht="158.25" customHeight="1" x14ac:dyDescent="0.25">
      <c r="A24" s="61" t="s">
        <v>110</v>
      </c>
      <c r="B24" s="61" t="s">
        <v>111</v>
      </c>
      <c r="C24" s="58">
        <v>2020110010170</v>
      </c>
      <c r="D24" s="61" t="s">
        <v>112</v>
      </c>
      <c r="E24" s="61" t="s">
        <v>123</v>
      </c>
      <c r="F24" s="61" t="s">
        <v>114</v>
      </c>
      <c r="G24" s="169" t="s">
        <v>60</v>
      </c>
      <c r="H24" s="89" t="s">
        <v>61</v>
      </c>
      <c r="I24" s="90" t="s">
        <v>124</v>
      </c>
      <c r="J24" s="56" t="s">
        <v>116</v>
      </c>
      <c r="K24" s="56" t="s">
        <v>530</v>
      </c>
      <c r="L24" s="56" t="s">
        <v>44</v>
      </c>
      <c r="M24" s="49" t="s">
        <v>45</v>
      </c>
      <c r="N24" s="170" t="s">
        <v>63</v>
      </c>
      <c r="O24" s="21" t="s">
        <v>117</v>
      </c>
      <c r="P24" s="56" t="s">
        <v>517</v>
      </c>
      <c r="Q24" s="567"/>
      <c r="R24" s="568"/>
      <c r="S24" s="56"/>
      <c r="T24" s="333"/>
      <c r="U24" s="551"/>
      <c r="V24" s="551">
        <v>15627675</v>
      </c>
      <c r="W24" s="702">
        <f>+V24</f>
        <v>15627675</v>
      </c>
      <c r="X24" s="431">
        <v>15627675</v>
      </c>
      <c r="Y24" s="431"/>
      <c r="Z24" s="431">
        <v>15627675</v>
      </c>
      <c r="AA24" s="430"/>
      <c r="AB24" s="348"/>
      <c r="AC24" s="680"/>
    </row>
    <row r="25" spans="1:45" s="40" customFormat="1" ht="113.25" customHeight="1" x14ac:dyDescent="0.25">
      <c r="A25" s="61" t="s">
        <v>110</v>
      </c>
      <c r="B25" s="61" t="s">
        <v>111</v>
      </c>
      <c r="C25" s="58">
        <v>2020110010170</v>
      </c>
      <c r="D25" s="61" t="s">
        <v>112</v>
      </c>
      <c r="E25" s="61" t="s">
        <v>123</v>
      </c>
      <c r="F25" s="61" t="s">
        <v>114</v>
      </c>
      <c r="G25" s="169" t="s">
        <v>68</v>
      </c>
      <c r="H25" s="89" t="s">
        <v>129</v>
      </c>
      <c r="I25" s="168" t="s">
        <v>130</v>
      </c>
      <c r="J25" s="56" t="s">
        <v>116</v>
      </c>
      <c r="K25" s="56" t="s">
        <v>43</v>
      </c>
      <c r="L25" s="56" t="s">
        <v>44</v>
      </c>
      <c r="M25" s="21" t="s">
        <v>131</v>
      </c>
      <c r="N25" s="100" t="s">
        <v>132</v>
      </c>
      <c r="O25" s="21" t="s">
        <v>117</v>
      </c>
      <c r="P25" s="61" t="s">
        <v>133</v>
      </c>
      <c r="Q25" s="61" t="s">
        <v>134</v>
      </c>
      <c r="R25" s="571" t="s">
        <v>135</v>
      </c>
      <c r="S25" s="61"/>
      <c r="T25" s="333">
        <v>583329000</v>
      </c>
      <c r="U25" s="551">
        <v>583329000</v>
      </c>
      <c r="V25" s="733">
        <v>247696920</v>
      </c>
      <c r="W25" s="431">
        <f>+U25+V25</f>
        <v>831025920</v>
      </c>
      <c r="X25" s="431"/>
      <c r="Y25" s="431">
        <f t="shared" ref="Y25:Y52" si="3">+W25-X25</f>
        <v>831025920</v>
      </c>
      <c r="Z25" s="334"/>
      <c r="AA25" s="430">
        <f t="shared" ref="AA25:AA49" si="4">+Z25/W25</f>
        <v>0</v>
      </c>
      <c r="AB25" s="334"/>
      <c r="AC25" s="334"/>
      <c r="AR25" s="40">
        <v>12259828916.666666</v>
      </c>
      <c r="AS25" s="40">
        <v>8.3333333333333329E-2</v>
      </c>
    </row>
    <row r="26" spans="1:45" s="40" customFormat="1" ht="70.349999999999994" customHeight="1" thickBot="1" x14ac:dyDescent="0.3">
      <c r="A26" s="56" t="s">
        <v>136</v>
      </c>
      <c r="B26" s="56" t="s">
        <v>137</v>
      </c>
      <c r="C26" s="79">
        <v>2020110010168</v>
      </c>
      <c r="D26" s="167" t="s">
        <v>138</v>
      </c>
      <c r="E26" s="166" t="s">
        <v>139</v>
      </c>
      <c r="F26" s="165" t="s">
        <v>140</v>
      </c>
      <c r="G26" s="164" t="s">
        <v>60</v>
      </c>
      <c r="H26" s="163" t="s">
        <v>61</v>
      </c>
      <c r="I26" s="162" t="s">
        <v>141</v>
      </c>
      <c r="J26" s="161" t="s">
        <v>116</v>
      </c>
      <c r="K26" s="66" t="s">
        <v>43</v>
      </c>
      <c r="L26" s="160" t="s">
        <v>44</v>
      </c>
      <c r="M26" s="159" t="s">
        <v>45</v>
      </c>
      <c r="N26" s="158" t="s">
        <v>142</v>
      </c>
      <c r="O26" s="157" t="s">
        <v>143</v>
      </c>
      <c r="P26" s="156" t="s">
        <v>144</v>
      </c>
      <c r="Q26" s="572" t="s">
        <v>145</v>
      </c>
      <c r="R26" s="573" t="s">
        <v>146</v>
      </c>
      <c r="S26" s="574"/>
      <c r="T26" s="343">
        <v>800000000</v>
      </c>
      <c r="U26" s="575">
        <v>800000000</v>
      </c>
      <c r="V26" s="576"/>
      <c r="W26" s="434">
        <v>800000000</v>
      </c>
      <c r="X26" s="434">
        <v>696018056</v>
      </c>
      <c r="Y26" s="434">
        <f t="shared" si="3"/>
        <v>103981944</v>
      </c>
      <c r="Z26" s="434">
        <f>635318056+32400000</f>
        <v>667718056</v>
      </c>
      <c r="AA26" s="436">
        <f t="shared" si="4"/>
        <v>0.83464757000000001</v>
      </c>
      <c r="AB26" s="681">
        <f>7366666+29983332+59645513+62178846</f>
        <v>159174357</v>
      </c>
      <c r="AC26" s="429" t="s">
        <v>67</v>
      </c>
    </row>
    <row r="27" spans="1:45" s="40" customFormat="1" ht="70.349999999999994" customHeight="1" thickBot="1" x14ac:dyDescent="0.3">
      <c r="A27" s="56" t="s">
        <v>136</v>
      </c>
      <c r="B27" s="56" t="s">
        <v>137</v>
      </c>
      <c r="C27" s="79">
        <v>2020110010168</v>
      </c>
      <c r="D27" s="62" t="s">
        <v>138</v>
      </c>
      <c r="E27" s="63" t="s">
        <v>139</v>
      </c>
      <c r="F27" s="64" t="s">
        <v>140</v>
      </c>
      <c r="G27" s="65" t="s">
        <v>60</v>
      </c>
      <c r="H27" s="68" t="s">
        <v>147</v>
      </c>
      <c r="I27" s="69" t="s">
        <v>148</v>
      </c>
      <c r="J27" s="70" t="s">
        <v>116</v>
      </c>
      <c r="K27" s="71" t="s">
        <v>43</v>
      </c>
      <c r="L27" s="39" t="s">
        <v>149</v>
      </c>
      <c r="M27" s="39" t="s">
        <v>150</v>
      </c>
      <c r="N27" s="72" t="s">
        <v>151</v>
      </c>
      <c r="O27" s="73" t="s">
        <v>143</v>
      </c>
      <c r="P27" s="74" t="s">
        <v>152</v>
      </c>
      <c r="Q27" s="577" t="s">
        <v>153</v>
      </c>
      <c r="R27" s="578" t="s">
        <v>154</v>
      </c>
      <c r="S27" s="577"/>
      <c r="T27" s="333">
        <v>743050000</v>
      </c>
      <c r="U27" s="551">
        <v>743050000</v>
      </c>
      <c r="V27" s="334"/>
      <c r="W27" s="431">
        <v>743050000</v>
      </c>
      <c r="X27" s="431">
        <v>34000000</v>
      </c>
      <c r="Y27" s="431">
        <f t="shared" si="3"/>
        <v>709050000</v>
      </c>
      <c r="Z27" s="334"/>
      <c r="AA27" s="430">
        <f t="shared" si="4"/>
        <v>0</v>
      </c>
      <c r="AB27" s="682"/>
      <c r="AC27" s="334"/>
    </row>
    <row r="28" spans="1:45" s="40" customFormat="1" ht="70.349999999999994" customHeight="1" thickBot="1" x14ac:dyDescent="0.3">
      <c r="A28" s="56" t="s">
        <v>136</v>
      </c>
      <c r="B28" s="56" t="s">
        <v>137</v>
      </c>
      <c r="C28" s="79">
        <v>2020110010168</v>
      </c>
      <c r="D28" s="62" t="s">
        <v>138</v>
      </c>
      <c r="E28" s="63" t="s">
        <v>139</v>
      </c>
      <c r="F28" s="64" t="s">
        <v>140</v>
      </c>
      <c r="G28" s="65" t="s">
        <v>53</v>
      </c>
      <c r="H28" s="68" t="s">
        <v>155</v>
      </c>
      <c r="I28" s="69" t="s">
        <v>156</v>
      </c>
      <c r="J28" s="70" t="s">
        <v>116</v>
      </c>
      <c r="K28" s="75" t="s">
        <v>43</v>
      </c>
      <c r="L28" s="75" t="s">
        <v>149</v>
      </c>
      <c r="M28" s="75" t="s">
        <v>157</v>
      </c>
      <c r="N28" s="76" t="s">
        <v>158</v>
      </c>
      <c r="O28" s="73" t="s">
        <v>143</v>
      </c>
      <c r="P28" s="77" t="s">
        <v>159</v>
      </c>
      <c r="Q28" s="579"/>
      <c r="R28" s="579"/>
      <c r="S28" s="579"/>
      <c r="T28" s="333">
        <v>7000000</v>
      </c>
      <c r="U28" s="551">
        <v>7000000</v>
      </c>
      <c r="V28" s="334"/>
      <c r="W28" s="431">
        <v>7000000</v>
      </c>
      <c r="X28" s="431"/>
      <c r="Y28" s="431">
        <f t="shared" si="3"/>
        <v>7000000</v>
      </c>
      <c r="Z28" s="334"/>
      <c r="AA28" s="430">
        <f t="shared" si="4"/>
        <v>0</v>
      </c>
      <c r="AB28" s="682"/>
      <c r="AC28" s="334"/>
      <c r="AS28" s="40">
        <v>4.0399999999999998E-2</v>
      </c>
    </row>
    <row r="29" spans="1:45" s="40" customFormat="1" ht="70.349999999999994" customHeight="1" thickBot="1" x14ac:dyDescent="0.3">
      <c r="A29" s="56" t="s">
        <v>136</v>
      </c>
      <c r="B29" s="56" t="s">
        <v>137</v>
      </c>
      <c r="C29" s="79">
        <v>2020110010168</v>
      </c>
      <c r="D29" s="56" t="s">
        <v>138</v>
      </c>
      <c r="E29" s="56" t="s">
        <v>160</v>
      </c>
      <c r="F29" s="64" t="s">
        <v>140</v>
      </c>
      <c r="G29" s="155" t="s">
        <v>68</v>
      </c>
      <c r="H29" s="154" t="s">
        <v>161</v>
      </c>
      <c r="I29" s="153" t="s">
        <v>162</v>
      </c>
      <c r="J29" s="152" t="s">
        <v>116</v>
      </c>
      <c r="K29" s="151" t="s">
        <v>43</v>
      </c>
      <c r="L29" s="150" t="s">
        <v>44</v>
      </c>
      <c r="M29" s="149" t="s">
        <v>45</v>
      </c>
      <c r="N29" s="148" t="s">
        <v>163</v>
      </c>
      <c r="O29" s="147" t="s">
        <v>164</v>
      </c>
      <c r="P29" s="146" t="s">
        <v>165</v>
      </c>
      <c r="Q29" s="581" t="s">
        <v>166</v>
      </c>
      <c r="R29" s="582" t="s">
        <v>167</v>
      </c>
      <c r="S29" s="581"/>
      <c r="T29" s="333">
        <v>255910000</v>
      </c>
      <c r="U29" s="551">
        <v>255910000</v>
      </c>
      <c r="V29" s="733">
        <f>30000000+2867398-246507626</f>
        <v>-213640228</v>
      </c>
      <c r="W29" s="431">
        <f>+V29+U29</f>
        <v>42269772</v>
      </c>
      <c r="X29" s="431">
        <v>42269772</v>
      </c>
      <c r="Y29" s="431">
        <f>+W29-X29</f>
        <v>0</v>
      </c>
      <c r="Z29" s="431">
        <v>5097384</v>
      </c>
      <c r="AA29" s="344">
        <f t="shared" si="4"/>
        <v>0.12059170794675685</v>
      </c>
      <c r="AB29" s="348">
        <v>1622584</v>
      </c>
      <c r="AC29" s="345" t="s">
        <v>168</v>
      </c>
    </row>
    <row r="30" spans="1:45" s="40" customFormat="1" ht="70.349999999999994" customHeight="1" thickBot="1" x14ac:dyDescent="0.3">
      <c r="A30" s="56" t="s">
        <v>136</v>
      </c>
      <c r="B30" s="56" t="s">
        <v>137</v>
      </c>
      <c r="C30" s="79">
        <v>2020110010168</v>
      </c>
      <c r="D30" s="56" t="s">
        <v>138</v>
      </c>
      <c r="E30" s="56" t="s">
        <v>538</v>
      </c>
      <c r="F30" s="64" t="s">
        <v>140</v>
      </c>
      <c r="G30" s="151" t="s">
        <v>43</v>
      </c>
      <c r="H30" s="150" t="s">
        <v>44</v>
      </c>
      <c r="I30" s="149" t="s">
        <v>45</v>
      </c>
      <c r="J30" s="148" t="s">
        <v>163</v>
      </c>
      <c r="K30" s="147" t="s">
        <v>164</v>
      </c>
      <c r="L30" s="150" t="s">
        <v>44</v>
      </c>
      <c r="M30" s="149" t="s">
        <v>45</v>
      </c>
      <c r="N30" s="148" t="s">
        <v>163</v>
      </c>
      <c r="O30" s="147" t="s">
        <v>164</v>
      </c>
      <c r="P30" s="146"/>
      <c r="Q30" s="581"/>
      <c r="R30" s="582"/>
      <c r="S30" s="581"/>
      <c r="T30" s="333"/>
      <c r="U30" s="551"/>
      <c r="V30" s="733">
        <v>263707626</v>
      </c>
      <c r="W30" s="431">
        <f>+V30</f>
        <v>263707626</v>
      </c>
      <c r="X30" s="431"/>
      <c r="Y30" s="431"/>
      <c r="Z30" s="431"/>
      <c r="AA30" s="344"/>
      <c r="AB30" s="348"/>
      <c r="AC30" s="345"/>
    </row>
    <row r="31" spans="1:45" s="40" customFormat="1" ht="70.349999999999994" customHeight="1" thickBot="1" x14ac:dyDescent="0.3">
      <c r="A31" s="56" t="s">
        <v>136</v>
      </c>
      <c r="B31" s="56" t="s">
        <v>137</v>
      </c>
      <c r="C31" s="79">
        <v>2020110010168</v>
      </c>
      <c r="D31" s="62" t="s">
        <v>138</v>
      </c>
      <c r="E31" s="62" t="s">
        <v>139</v>
      </c>
      <c r="F31" s="64" t="s">
        <v>140</v>
      </c>
      <c r="G31" s="65" t="s">
        <v>53</v>
      </c>
      <c r="H31" s="68" t="s">
        <v>54</v>
      </c>
      <c r="I31" s="69" t="s">
        <v>55</v>
      </c>
      <c r="J31" s="70" t="s">
        <v>116</v>
      </c>
      <c r="K31" s="71" t="s">
        <v>43</v>
      </c>
      <c r="L31" s="36" t="s">
        <v>44</v>
      </c>
      <c r="M31" s="49" t="s">
        <v>45</v>
      </c>
      <c r="N31" s="67" t="s">
        <v>142</v>
      </c>
      <c r="O31" s="73" t="s">
        <v>164</v>
      </c>
      <c r="P31" s="80" t="s">
        <v>169</v>
      </c>
      <c r="Q31" s="583" t="s">
        <v>170</v>
      </c>
      <c r="R31" s="584" t="s">
        <v>171</v>
      </c>
      <c r="S31" s="585" t="s">
        <v>172</v>
      </c>
      <c r="T31" s="333">
        <v>525000000</v>
      </c>
      <c r="U31" s="551">
        <v>525000000</v>
      </c>
      <c r="V31" s="334"/>
      <c r="W31" s="431">
        <v>525000000</v>
      </c>
      <c r="X31" s="431">
        <v>525000000</v>
      </c>
      <c r="Y31" s="431">
        <f t="shared" si="3"/>
        <v>0</v>
      </c>
      <c r="Z31" s="431">
        <v>212260942</v>
      </c>
      <c r="AA31" s="430">
        <f t="shared" si="4"/>
        <v>0.40430655619047617</v>
      </c>
      <c r="AB31" s="682"/>
      <c r="AC31" s="334" t="s">
        <v>541</v>
      </c>
    </row>
    <row r="32" spans="1:45" s="40" customFormat="1" ht="69" customHeight="1" thickBot="1" x14ac:dyDescent="0.3">
      <c r="A32" s="56" t="s">
        <v>136</v>
      </c>
      <c r="B32" s="56" t="s">
        <v>137</v>
      </c>
      <c r="C32" s="79">
        <v>2020110010168</v>
      </c>
      <c r="D32" s="62" t="s">
        <v>138</v>
      </c>
      <c r="E32" s="62" t="s">
        <v>139</v>
      </c>
      <c r="F32" s="64" t="s">
        <v>140</v>
      </c>
      <c r="G32" s="65" t="s">
        <v>53</v>
      </c>
      <c r="H32" s="68" t="s">
        <v>54</v>
      </c>
      <c r="I32" s="69" t="s">
        <v>173</v>
      </c>
      <c r="J32" s="70" t="s">
        <v>116</v>
      </c>
      <c r="K32" s="71" t="s">
        <v>43</v>
      </c>
      <c r="L32" s="36" t="s">
        <v>44</v>
      </c>
      <c r="M32" s="49" t="s">
        <v>45</v>
      </c>
      <c r="N32" s="67" t="s">
        <v>142</v>
      </c>
      <c r="O32" s="73" t="s">
        <v>164</v>
      </c>
      <c r="P32" s="81" t="s">
        <v>174</v>
      </c>
      <c r="Q32" s="586" t="s">
        <v>175</v>
      </c>
      <c r="R32" s="587" t="s">
        <v>176</v>
      </c>
      <c r="S32" s="588"/>
      <c r="T32" s="333">
        <v>309400000</v>
      </c>
      <c r="U32" s="551">
        <v>309400000</v>
      </c>
      <c r="V32" s="334"/>
      <c r="W32" s="431">
        <v>309400000</v>
      </c>
      <c r="X32" s="431">
        <v>105000000</v>
      </c>
      <c r="Y32" s="431">
        <f t="shared" si="3"/>
        <v>204400000</v>
      </c>
      <c r="Z32" s="431">
        <v>105000000</v>
      </c>
      <c r="AA32" s="430">
        <f t="shared" si="4"/>
        <v>0.33936651583710409</v>
      </c>
      <c r="AB32" s="348">
        <v>10493743</v>
      </c>
      <c r="AC32" s="432" t="s">
        <v>177</v>
      </c>
    </row>
    <row r="33" spans="1:29" s="40" customFormat="1" ht="48.75" customHeight="1" thickBot="1" x14ac:dyDescent="0.3">
      <c r="A33" s="56" t="s">
        <v>136</v>
      </c>
      <c r="B33" s="56" t="s">
        <v>137</v>
      </c>
      <c r="C33" s="79">
        <v>2020110010168</v>
      </c>
      <c r="D33" s="62" t="s">
        <v>138</v>
      </c>
      <c r="E33" s="62" t="s">
        <v>139</v>
      </c>
      <c r="F33" s="64" t="s">
        <v>140</v>
      </c>
      <c r="G33" s="65" t="s">
        <v>60</v>
      </c>
      <c r="H33" s="68" t="s">
        <v>61</v>
      </c>
      <c r="I33" s="69" t="s">
        <v>141</v>
      </c>
      <c r="J33" s="70" t="s">
        <v>116</v>
      </c>
      <c r="K33" s="71" t="s">
        <v>43</v>
      </c>
      <c r="L33" s="36" t="s">
        <v>44</v>
      </c>
      <c r="M33" s="49" t="s">
        <v>45</v>
      </c>
      <c r="N33" s="67" t="s">
        <v>142</v>
      </c>
      <c r="O33" s="73" t="s">
        <v>164</v>
      </c>
      <c r="P33" s="80" t="s">
        <v>178</v>
      </c>
      <c r="Q33" s="589" t="s">
        <v>179</v>
      </c>
      <c r="R33" s="590" t="s">
        <v>180</v>
      </c>
      <c r="S33" s="585"/>
      <c r="T33" s="333">
        <v>3450000000</v>
      </c>
      <c r="U33" s="551">
        <v>3450000000</v>
      </c>
      <c r="V33" s="551"/>
      <c r="W33" s="431">
        <v>3450000000</v>
      </c>
      <c r="X33" s="431">
        <v>2657524651</v>
      </c>
      <c r="Y33" s="431">
        <f t="shared" si="3"/>
        <v>792475349</v>
      </c>
      <c r="Z33" s="431">
        <v>2504714410</v>
      </c>
      <c r="AA33" s="430">
        <f t="shared" si="4"/>
        <v>0.72600417681159424</v>
      </c>
      <c r="AB33" s="348">
        <f>34275718+112477810+138521964+269458670</f>
        <v>554734162</v>
      </c>
      <c r="AC33" s="432" t="s">
        <v>67</v>
      </c>
    </row>
    <row r="34" spans="1:29" s="40" customFormat="1" ht="122.25" customHeight="1" thickBot="1" x14ac:dyDescent="0.3">
      <c r="A34" s="56" t="s">
        <v>136</v>
      </c>
      <c r="B34" s="56" t="s">
        <v>137</v>
      </c>
      <c r="C34" s="79">
        <v>2020110010168</v>
      </c>
      <c r="D34" s="56" t="s">
        <v>138</v>
      </c>
      <c r="E34" s="144" t="s">
        <v>181</v>
      </c>
      <c r="F34" s="64" t="s">
        <v>140</v>
      </c>
      <c r="G34" s="82" t="s">
        <v>53</v>
      </c>
      <c r="H34" s="83" t="s">
        <v>182</v>
      </c>
      <c r="I34" s="84" t="s">
        <v>183</v>
      </c>
      <c r="J34" s="70" t="s">
        <v>116</v>
      </c>
      <c r="K34" s="71" t="s">
        <v>43</v>
      </c>
      <c r="L34" s="75" t="s">
        <v>149</v>
      </c>
      <c r="M34" s="75" t="s">
        <v>157</v>
      </c>
      <c r="N34" s="76" t="s">
        <v>158</v>
      </c>
      <c r="O34" s="73" t="s">
        <v>184</v>
      </c>
      <c r="P34" s="145" t="s">
        <v>185</v>
      </c>
      <c r="Q34" s="591" t="s">
        <v>186</v>
      </c>
      <c r="R34" s="592" t="s">
        <v>187</v>
      </c>
      <c r="S34" s="593"/>
      <c r="T34" s="333">
        <v>1268888000</v>
      </c>
      <c r="U34" s="551">
        <v>1268888000</v>
      </c>
      <c r="V34" s="334"/>
      <c r="W34" s="431">
        <v>1268888000</v>
      </c>
      <c r="X34" s="431">
        <v>427584011</v>
      </c>
      <c r="Y34" s="431">
        <f t="shared" si="3"/>
        <v>841303989</v>
      </c>
      <c r="Z34" s="431">
        <v>426682183</v>
      </c>
      <c r="AA34" s="430">
        <f t="shared" si="4"/>
        <v>0.33626465298749769</v>
      </c>
      <c r="AB34" s="348">
        <f>2884090+2114184</f>
        <v>4998274</v>
      </c>
      <c r="AC34" s="345" t="s">
        <v>188</v>
      </c>
    </row>
    <row r="35" spans="1:29" s="40" customFormat="1" ht="84" customHeight="1" thickBot="1" x14ac:dyDescent="0.3">
      <c r="A35" s="56" t="s">
        <v>136</v>
      </c>
      <c r="B35" s="56" t="s">
        <v>137</v>
      </c>
      <c r="C35" s="79">
        <v>2020110010168</v>
      </c>
      <c r="D35" s="62" t="s">
        <v>138</v>
      </c>
      <c r="E35" s="63" t="s">
        <v>181</v>
      </c>
      <c r="F35" s="64" t="s">
        <v>140</v>
      </c>
      <c r="G35" s="82" t="s">
        <v>53</v>
      </c>
      <c r="H35" s="83" t="s">
        <v>155</v>
      </c>
      <c r="I35" s="84" t="s">
        <v>156</v>
      </c>
      <c r="J35" s="70" t="s">
        <v>116</v>
      </c>
      <c r="K35" s="71" t="s">
        <v>43</v>
      </c>
      <c r="L35" s="36" t="s">
        <v>44</v>
      </c>
      <c r="M35" s="49" t="s">
        <v>45</v>
      </c>
      <c r="N35" s="76" t="s">
        <v>189</v>
      </c>
      <c r="O35" s="73" t="s">
        <v>184</v>
      </c>
      <c r="P35" s="80" t="s">
        <v>190</v>
      </c>
      <c r="Q35" s="585" t="s">
        <v>191</v>
      </c>
      <c r="R35" s="594" t="s">
        <v>192</v>
      </c>
      <c r="S35" s="585"/>
      <c r="T35" s="333">
        <v>35000000</v>
      </c>
      <c r="U35" s="551">
        <v>35000000</v>
      </c>
      <c r="V35" s="334"/>
      <c r="W35" s="431">
        <v>35000000</v>
      </c>
      <c r="X35" s="431"/>
      <c r="Y35" s="431">
        <f t="shared" si="3"/>
        <v>35000000</v>
      </c>
      <c r="Z35" s="334"/>
      <c r="AA35" s="430">
        <f t="shared" si="4"/>
        <v>0</v>
      </c>
      <c r="AB35" s="682"/>
      <c r="AC35" s="334"/>
    </row>
    <row r="36" spans="1:29" s="40" customFormat="1" ht="94.5" customHeight="1" thickBot="1" x14ac:dyDescent="0.3">
      <c r="A36" s="56" t="s">
        <v>136</v>
      </c>
      <c r="B36" s="56" t="s">
        <v>137</v>
      </c>
      <c r="C36" s="79">
        <v>2020110010168</v>
      </c>
      <c r="D36" s="56" t="s">
        <v>138</v>
      </c>
      <c r="E36" s="144" t="s">
        <v>181</v>
      </c>
      <c r="F36" s="64" t="s">
        <v>140</v>
      </c>
      <c r="G36" s="82" t="s">
        <v>53</v>
      </c>
      <c r="H36" s="83" t="s">
        <v>155</v>
      </c>
      <c r="I36" s="84" t="s">
        <v>193</v>
      </c>
      <c r="J36" s="70" t="s">
        <v>116</v>
      </c>
      <c r="K36" s="71" t="s">
        <v>43</v>
      </c>
      <c r="L36" s="36" t="s">
        <v>44</v>
      </c>
      <c r="M36" s="49" t="s">
        <v>45</v>
      </c>
      <c r="N36" s="61" t="s">
        <v>194</v>
      </c>
      <c r="O36" s="85" t="s">
        <v>184</v>
      </c>
      <c r="P36" s="80" t="s">
        <v>195</v>
      </c>
      <c r="Q36" s="589" t="s">
        <v>621</v>
      </c>
      <c r="R36" s="590" t="s">
        <v>197</v>
      </c>
      <c r="S36" s="585"/>
      <c r="T36" s="333">
        <v>908558000</v>
      </c>
      <c r="U36" s="551">
        <v>908558000</v>
      </c>
      <c r="V36" s="334"/>
      <c r="W36" s="431">
        <v>898809008</v>
      </c>
      <c r="X36" s="431">
        <v>898809008</v>
      </c>
      <c r="Y36" s="431">
        <f>+W36-X36</f>
        <v>0</v>
      </c>
      <c r="Z36" s="431">
        <v>702196915</v>
      </c>
      <c r="AA36" s="430">
        <f t="shared" si="4"/>
        <v>0.78125264516708093</v>
      </c>
      <c r="AB36" s="682"/>
      <c r="AC36" s="336" t="s">
        <v>198</v>
      </c>
    </row>
    <row r="37" spans="1:29" s="40" customFormat="1" ht="82.5" customHeight="1" thickBot="1" x14ac:dyDescent="0.3">
      <c r="A37" s="56" t="s">
        <v>136</v>
      </c>
      <c r="B37" s="56" t="s">
        <v>137</v>
      </c>
      <c r="C37" s="79">
        <v>2020110010168</v>
      </c>
      <c r="D37" s="56" t="s">
        <v>138</v>
      </c>
      <c r="E37" s="63" t="s">
        <v>181</v>
      </c>
      <c r="F37" s="64" t="s">
        <v>140</v>
      </c>
      <c r="G37" s="82" t="s">
        <v>60</v>
      </c>
      <c r="H37" s="83" t="s">
        <v>61</v>
      </c>
      <c r="I37" s="84" t="s">
        <v>141</v>
      </c>
      <c r="J37" s="70" t="s">
        <v>116</v>
      </c>
      <c r="K37" s="71" t="s">
        <v>43</v>
      </c>
      <c r="L37" s="36" t="s">
        <v>44</v>
      </c>
      <c r="M37" s="49" t="s">
        <v>45</v>
      </c>
      <c r="N37" s="67" t="s">
        <v>142</v>
      </c>
      <c r="O37" s="73" t="s">
        <v>184</v>
      </c>
      <c r="P37" s="80" t="s">
        <v>199</v>
      </c>
      <c r="Q37" s="589" t="s">
        <v>200</v>
      </c>
      <c r="R37" s="590" t="s">
        <v>201</v>
      </c>
      <c r="S37" s="585"/>
      <c r="T37" s="333">
        <v>800000000</v>
      </c>
      <c r="U37" s="333">
        <v>800000000</v>
      </c>
      <c r="V37" s="334"/>
      <c r="W37" s="333">
        <v>800000000</v>
      </c>
      <c r="X37" s="431">
        <v>798550435</v>
      </c>
      <c r="Y37" s="431">
        <f t="shared" si="3"/>
        <v>1449565</v>
      </c>
      <c r="Z37" s="431">
        <v>763550435</v>
      </c>
      <c r="AA37" s="430">
        <f t="shared" si="4"/>
        <v>0.95443804374999996</v>
      </c>
      <c r="AB37" s="348">
        <f>345000+38071202+76761411+96755611</f>
        <v>211933224</v>
      </c>
      <c r="AC37" s="432" t="s">
        <v>67</v>
      </c>
    </row>
    <row r="38" spans="1:29" s="40" customFormat="1" ht="70.349999999999994" customHeight="1" thickBot="1" x14ac:dyDescent="0.3">
      <c r="A38" s="56" t="s">
        <v>136</v>
      </c>
      <c r="B38" s="56" t="s">
        <v>137</v>
      </c>
      <c r="C38" s="79">
        <v>2020110010168</v>
      </c>
      <c r="D38" s="56" t="s">
        <v>138</v>
      </c>
      <c r="E38" s="62" t="s">
        <v>202</v>
      </c>
      <c r="F38" s="64" t="s">
        <v>140</v>
      </c>
      <c r="G38" s="65" t="s">
        <v>53</v>
      </c>
      <c r="H38" s="68" t="s">
        <v>155</v>
      </c>
      <c r="I38" s="69" t="s">
        <v>156</v>
      </c>
      <c r="J38" s="70" t="s">
        <v>116</v>
      </c>
      <c r="K38" s="71" t="s">
        <v>43</v>
      </c>
      <c r="L38" s="36" t="s">
        <v>44</v>
      </c>
      <c r="M38" s="49" t="s">
        <v>45</v>
      </c>
      <c r="N38" s="76" t="s">
        <v>189</v>
      </c>
      <c r="O38" s="73" t="s">
        <v>164</v>
      </c>
      <c r="P38" s="80" t="s">
        <v>203</v>
      </c>
      <c r="Q38" s="596" t="s">
        <v>204</v>
      </c>
      <c r="R38" s="597" t="s">
        <v>205</v>
      </c>
      <c r="S38" s="579"/>
      <c r="T38" s="333">
        <v>167160000</v>
      </c>
      <c r="U38" s="551">
        <v>167160000</v>
      </c>
      <c r="V38" s="551">
        <f>-2867398-47200000</f>
        <v>-50067398</v>
      </c>
      <c r="W38" s="431">
        <f>+U38+V38</f>
        <v>117092602</v>
      </c>
      <c r="X38" s="431"/>
      <c r="Y38" s="431">
        <f t="shared" si="3"/>
        <v>117092602</v>
      </c>
      <c r="Z38" s="334"/>
      <c r="AA38" s="430">
        <f t="shared" si="4"/>
        <v>0</v>
      </c>
      <c r="AB38" s="682"/>
      <c r="AC38" s="334"/>
    </row>
    <row r="39" spans="1:29" s="40" customFormat="1" ht="70.349999999999994" customHeight="1" thickBot="1" x14ac:dyDescent="0.3">
      <c r="A39" s="56" t="s">
        <v>136</v>
      </c>
      <c r="B39" s="56" t="s">
        <v>137</v>
      </c>
      <c r="C39" s="79">
        <v>2020110010168</v>
      </c>
      <c r="D39" s="62" t="s">
        <v>138</v>
      </c>
      <c r="E39" s="62" t="s">
        <v>139</v>
      </c>
      <c r="F39" s="64" t="s">
        <v>140</v>
      </c>
      <c r="G39" s="86" t="s">
        <v>60</v>
      </c>
      <c r="H39" s="87" t="s">
        <v>61</v>
      </c>
      <c r="I39" s="88" t="s">
        <v>141</v>
      </c>
      <c r="J39" s="70" t="s">
        <v>116</v>
      </c>
      <c r="K39" s="71" t="s">
        <v>43</v>
      </c>
      <c r="L39" s="36" t="s">
        <v>44</v>
      </c>
      <c r="M39" s="49" t="s">
        <v>45</v>
      </c>
      <c r="N39" s="67" t="s">
        <v>142</v>
      </c>
      <c r="O39" s="73" t="s">
        <v>206</v>
      </c>
      <c r="P39" s="80" t="s">
        <v>207</v>
      </c>
      <c r="Q39" s="598" t="s">
        <v>208</v>
      </c>
      <c r="R39" s="599" t="s">
        <v>209</v>
      </c>
      <c r="S39" s="585"/>
      <c r="T39" s="333">
        <v>125000000</v>
      </c>
      <c r="U39" s="551">
        <v>125000000</v>
      </c>
      <c r="V39" s="334"/>
      <c r="W39" s="431">
        <v>125000000</v>
      </c>
      <c r="X39" s="431">
        <v>92500000</v>
      </c>
      <c r="Y39" s="431">
        <f t="shared" si="3"/>
        <v>32500000</v>
      </c>
      <c r="Z39" s="431">
        <f>60000000+32500000</f>
        <v>92500000</v>
      </c>
      <c r="AA39" s="430">
        <f t="shared" si="4"/>
        <v>0.74</v>
      </c>
      <c r="AB39" s="667">
        <v>18216667</v>
      </c>
      <c r="AC39" s="334"/>
    </row>
    <row r="40" spans="1:29" s="40" customFormat="1" ht="70.349999999999994" customHeight="1" thickBot="1" x14ac:dyDescent="0.3">
      <c r="A40" s="56" t="s">
        <v>136</v>
      </c>
      <c r="B40" s="56" t="s">
        <v>137</v>
      </c>
      <c r="C40" s="79">
        <v>2020110010168</v>
      </c>
      <c r="D40" s="62" t="s">
        <v>138</v>
      </c>
      <c r="E40" s="62" t="s">
        <v>139</v>
      </c>
      <c r="F40" s="64" t="s">
        <v>140</v>
      </c>
      <c r="G40" s="57" t="s">
        <v>60</v>
      </c>
      <c r="H40" s="89" t="s">
        <v>61</v>
      </c>
      <c r="I40" s="90" t="s">
        <v>141</v>
      </c>
      <c r="J40" s="70" t="s">
        <v>116</v>
      </c>
      <c r="K40" s="71" t="s">
        <v>43</v>
      </c>
      <c r="L40" s="36" t="s">
        <v>44</v>
      </c>
      <c r="M40" s="49" t="s">
        <v>45</v>
      </c>
      <c r="N40" s="67" t="s">
        <v>142</v>
      </c>
      <c r="O40" s="73" t="s">
        <v>210</v>
      </c>
      <c r="P40" s="91" t="s">
        <v>211</v>
      </c>
      <c r="Q40" s="600" t="s">
        <v>212</v>
      </c>
      <c r="R40" s="592" t="s">
        <v>213</v>
      </c>
      <c r="S40" s="601"/>
      <c r="T40" s="333">
        <f>787000000+100000000</f>
        <v>887000000</v>
      </c>
      <c r="U40" s="602">
        <f>+T40</f>
        <v>887000000</v>
      </c>
      <c r="V40" s="603"/>
      <c r="W40" s="346">
        <f>+U40</f>
        <v>887000000</v>
      </c>
      <c r="X40" s="431">
        <v>558157314</v>
      </c>
      <c r="Y40" s="431">
        <f t="shared" si="3"/>
        <v>328842686</v>
      </c>
      <c r="Z40" s="431">
        <v>502735460</v>
      </c>
      <c r="AA40" s="430">
        <f t="shared" si="4"/>
        <v>0.56678180383314547</v>
      </c>
      <c r="AB40" s="348">
        <f>18321502+30822547+71550219</f>
        <v>120694268</v>
      </c>
      <c r="AC40" s="432" t="s">
        <v>67</v>
      </c>
    </row>
    <row r="41" spans="1:29" s="40" customFormat="1" ht="91.5" customHeight="1" thickBot="1" x14ac:dyDescent="0.3">
      <c r="A41" s="56" t="s">
        <v>136</v>
      </c>
      <c r="B41" s="56" t="s">
        <v>137</v>
      </c>
      <c r="C41" s="79">
        <v>2020110010168</v>
      </c>
      <c r="D41" s="56" t="s">
        <v>138</v>
      </c>
      <c r="E41" s="56" t="s">
        <v>139</v>
      </c>
      <c r="F41" s="64" t="s">
        <v>140</v>
      </c>
      <c r="G41" s="92" t="s">
        <v>60</v>
      </c>
      <c r="H41" s="93" t="s">
        <v>61</v>
      </c>
      <c r="I41" s="94" t="s">
        <v>141</v>
      </c>
      <c r="J41" s="70" t="s">
        <v>116</v>
      </c>
      <c r="K41" s="71" t="s">
        <v>43</v>
      </c>
      <c r="L41" s="36" t="s">
        <v>44</v>
      </c>
      <c r="M41" s="49" t="s">
        <v>45</v>
      </c>
      <c r="N41" s="67" t="s">
        <v>142</v>
      </c>
      <c r="O41" s="73" t="s">
        <v>214</v>
      </c>
      <c r="P41" s="143" t="s">
        <v>215</v>
      </c>
      <c r="Q41" s="604" t="s">
        <v>216</v>
      </c>
      <c r="R41" s="605" t="s">
        <v>217</v>
      </c>
      <c r="S41" s="606"/>
      <c r="T41" s="333">
        <v>2300000000</v>
      </c>
      <c r="U41" s="551">
        <v>2300000000</v>
      </c>
      <c r="V41" s="333"/>
      <c r="W41" s="431">
        <v>2300000000</v>
      </c>
      <c r="X41" s="431">
        <v>1943177737</v>
      </c>
      <c r="Y41" s="431">
        <f t="shared" si="3"/>
        <v>356822263</v>
      </c>
      <c r="Z41" s="431">
        <v>1642227056</v>
      </c>
      <c r="AA41" s="430">
        <f t="shared" si="4"/>
        <v>0.7140117634782609</v>
      </c>
      <c r="AB41" s="348">
        <f>4646667+29933334+40945457+140408710</f>
        <v>215934168</v>
      </c>
      <c r="AC41" s="432" t="s">
        <v>67</v>
      </c>
    </row>
    <row r="42" spans="1:29" s="40" customFormat="1" ht="70.349999999999994" customHeight="1" thickBot="1" x14ac:dyDescent="0.3">
      <c r="A42" s="56" t="s">
        <v>136</v>
      </c>
      <c r="B42" s="56" t="s">
        <v>137</v>
      </c>
      <c r="C42" s="79">
        <v>2020110010168</v>
      </c>
      <c r="D42" s="62" t="s">
        <v>138</v>
      </c>
      <c r="E42" s="62" t="s">
        <v>202</v>
      </c>
      <c r="F42" s="64" t="s">
        <v>140</v>
      </c>
      <c r="G42" s="65" t="s">
        <v>53</v>
      </c>
      <c r="H42" s="95" t="s">
        <v>54</v>
      </c>
      <c r="I42" s="96" t="s">
        <v>218</v>
      </c>
      <c r="J42" s="97" t="s">
        <v>116</v>
      </c>
      <c r="K42" s="71" t="s">
        <v>43</v>
      </c>
      <c r="L42" s="36" t="s">
        <v>44</v>
      </c>
      <c r="M42" s="49" t="s">
        <v>45</v>
      </c>
      <c r="N42" s="142" t="s">
        <v>219</v>
      </c>
      <c r="O42" s="98" t="s">
        <v>164</v>
      </c>
      <c r="P42" s="99" t="s">
        <v>220</v>
      </c>
      <c r="Q42" s="170"/>
      <c r="R42" s="170"/>
      <c r="S42" s="678"/>
      <c r="T42" s="333">
        <v>10000000</v>
      </c>
      <c r="U42" s="551">
        <v>10000000</v>
      </c>
      <c r="V42" s="334"/>
      <c r="W42" s="431">
        <v>10000000</v>
      </c>
      <c r="X42" s="431"/>
      <c r="Y42" s="431">
        <f t="shared" si="3"/>
        <v>10000000</v>
      </c>
      <c r="Z42" s="334"/>
      <c r="AA42" s="430">
        <f t="shared" si="4"/>
        <v>0</v>
      </c>
      <c r="AB42" s="682"/>
      <c r="AC42" s="334"/>
    </row>
    <row r="43" spans="1:29" s="40" customFormat="1" ht="122.25" customHeight="1" x14ac:dyDescent="0.25">
      <c r="A43" s="100" t="s">
        <v>221</v>
      </c>
      <c r="B43" s="21" t="s">
        <v>222</v>
      </c>
      <c r="C43" s="101">
        <v>2020110010206</v>
      </c>
      <c r="D43" s="43" t="s">
        <v>223</v>
      </c>
      <c r="E43" s="43" t="s">
        <v>224</v>
      </c>
      <c r="F43" s="72" t="s">
        <v>225</v>
      </c>
      <c r="G43" s="55" t="s">
        <v>40</v>
      </c>
      <c r="H43" s="55" t="s">
        <v>226</v>
      </c>
      <c r="I43" s="102" t="s">
        <v>227</v>
      </c>
      <c r="J43" s="39" t="s">
        <v>116</v>
      </c>
      <c r="K43" s="39" t="s">
        <v>43</v>
      </c>
      <c r="L43" s="36" t="s">
        <v>44</v>
      </c>
      <c r="M43" s="37" t="s">
        <v>45</v>
      </c>
      <c r="N43" s="38" t="s">
        <v>63</v>
      </c>
      <c r="O43" s="39" t="s">
        <v>228</v>
      </c>
      <c r="P43" s="31" t="s">
        <v>229</v>
      </c>
      <c r="Q43" s="608" t="s">
        <v>622</v>
      </c>
      <c r="R43" s="609" t="s">
        <v>623</v>
      </c>
      <c r="S43" s="613"/>
      <c r="T43" s="333">
        <v>684000000</v>
      </c>
      <c r="U43" s="551">
        <v>684000000</v>
      </c>
      <c r="V43" s="673">
        <f>695695200+817106046+13400000</f>
        <v>1526201246</v>
      </c>
      <c r="W43" s="431">
        <f>+U43+V43</f>
        <v>2210201246</v>
      </c>
      <c r="X43" s="431">
        <v>1474007880</v>
      </c>
      <c r="Y43" s="431">
        <f>+W43-X43</f>
        <v>736193366</v>
      </c>
      <c r="Z43" s="431">
        <f>486995484+135660000</f>
        <v>622655484</v>
      </c>
      <c r="AA43" s="430">
        <f t="shared" si="4"/>
        <v>0.28171890913864772</v>
      </c>
      <c r="AB43" s="431">
        <v>40582957</v>
      </c>
      <c r="AC43" s="358" t="s">
        <v>232</v>
      </c>
    </row>
    <row r="44" spans="1:29" s="40" customFormat="1" ht="122.25" customHeight="1" x14ac:dyDescent="0.25">
      <c r="A44" s="100" t="s">
        <v>221</v>
      </c>
      <c r="B44" s="21" t="s">
        <v>222</v>
      </c>
      <c r="C44" s="101">
        <v>2020110010206</v>
      </c>
      <c r="D44" s="106" t="s">
        <v>223</v>
      </c>
      <c r="E44" s="43" t="s">
        <v>233</v>
      </c>
      <c r="F44" s="72" t="s">
        <v>225</v>
      </c>
      <c r="G44" s="55"/>
      <c r="H44" s="55"/>
      <c r="I44" s="102"/>
      <c r="J44" s="39"/>
      <c r="K44" s="39" t="s">
        <v>234</v>
      </c>
      <c r="L44" s="36" t="s">
        <v>44</v>
      </c>
      <c r="M44" s="37" t="s">
        <v>45</v>
      </c>
      <c r="N44" s="38" t="s">
        <v>63</v>
      </c>
      <c r="O44" s="39" t="s">
        <v>228</v>
      </c>
      <c r="P44" s="32" t="s">
        <v>235</v>
      </c>
      <c r="Q44" s="608"/>
      <c r="R44" s="609"/>
      <c r="S44" s="613"/>
      <c r="T44" s="333"/>
      <c r="U44" s="551"/>
      <c r="V44" s="610">
        <v>60460372</v>
      </c>
      <c r="W44" s="708">
        <f>+V44</f>
        <v>60460372</v>
      </c>
      <c r="X44" s="348"/>
      <c r="Y44" s="431">
        <f>+W44-X44</f>
        <v>60460372</v>
      </c>
      <c r="Z44" s="431"/>
      <c r="AA44" s="430"/>
      <c r="AB44" s="431"/>
      <c r="AC44" s="358"/>
    </row>
    <row r="45" spans="1:29" s="40" customFormat="1" ht="126" customHeight="1" x14ac:dyDescent="0.25">
      <c r="A45" s="100" t="s">
        <v>221</v>
      </c>
      <c r="B45" s="21" t="s">
        <v>222</v>
      </c>
      <c r="C45" s="103">
        <v>2020110010206</v>
      </c>
      <c r="D45" s="43" t="s">
        <v>223</v>
      </c>
      <c r="E45" s="43" t="s">
        <v>236</v>
      </c>
      <c r="F45" s="72" t="s">
        <v>225</v>
      </c>
      <c r="G45" s="55" t="s">
        <v>40</v>
      </c>
      <c r="H45" s="55" t="s">
        <v>226</v>
      </c>
      <c r="I45" s="102" t="s">
        <v>227</v>
      </c>
      <c r="J45" s="39" t="s">
        <v>116</v>
      </c>
      <c r="K45" s="39" t="s">
        <v>43</v>
      </c>
      <c r="L45" s="36" t="s">
        <v>44</v>
      </c>
      <c r="M45" s="37" t="s">
        <v>45</v>
      </c>
      <c r="N45" s="38" t="s">
        <v>63</v>
      </c>
      <c r="O45" s="39" t="s">
        <v>228</v>
      </c>
      <c r="P45" s="31" t="s">
        <v>237</v>
      </c>
      <c r="Q45" s="611" t="s">
        <v>238</v>
      </c>
      <c r="R45" s="612" t="s">
        <v>239</v>
      </c>
      <c r="S45" s="613"/>
      <c r="T45" s="333">
        <v>756000000</v>
      </c>
      <c r="U45" s="551">
        <v>756000000</v>
      </c>
      <c r="V45" s="614"/>
      <c r="W45" s="431">
        <v>756000000</v>
      </c>
      <c r="X45" s="431">
        <v>234240000</v>
      </c>
      <c r="Y45" s="431">
        <f t="shared" si="3"/>
        <v>521760000</v>
      </c>
      <c r="Z45" s="431">
        <v>114240000</v>
      </c>
      <c r="AA45" s="430">
        <f t="shared" si="4"/>
        <v>0.15111111111111111</v>
      </c>
      <c r="AB45" s="334"/>
      <c r="AC45" s="345" t="s">
        <v>240</v>
      </c>
    </row>
    <row r="46" spans="1:29" s="40" customFormat="1" ht="119.25" customHeight="1" x14ac:dyDescent="0.25">
      <c r="A46" s="100" t="s">
        <v>221</v>
      </c>
      <c r="B46" s="21" t="s">
        <v>222</v>
      </c>
      <c r="C46" s="103">
        <v>2020110010206</v>
      </c>
      <c r="D46" s="43" t="s">
        <v>223</v>
      </c>
      <c r="E46" s="43" t="s">
        <v>224</v>
      </c>
      <c r="F46" s="72" t="s">
        <v>225</v>
      </c>
      <c r="G46" s="55" t="s">
        <v>40</v>
      </c>
      <c r="H46" s="104" t="s">
        <v>226</v>
      </c>
      <c r="I46" s="102" t="s">
        <v>227</v>
      </c>
      <c r="J46" s="59" t="s">
        <v>241</v>
      </c>
      <c r="K46" s="59" t="s">
        <v>242</v>
      </c>
      <c r="L46" s="36" t="s">
        <v>44</v>
      </c>
      <c r="M46" s="59" t="s">
        <v>131</v>
      </c>
      <c r="N46" s="60" t="s">
        <v>132</v>
      </c>
      <c r="O46" s="39" t="s">
        <v>228</v>
      </c>
      <c r="P46" s="31" t="s">
        <v>243</v>
      </c>
      <c r="Q46" s="615" t="s">
        <v>244</v>
      </c>
      <c r="R46" s="616" t="s">
        <v>245</v>
      </c>
      <c r="S46" s="613"/>
      <c r="T46" s="333">
        <v>8600000000</v>
      </c>
      <c r="U46" s="551">
        <v>8600000000</v>
      </c>
      <c r="V46" s="614"/>
      <c r="W46" s="708">
        <v>8600000000</v>
      </c>
      <c r="X46" s="431">
        <v>40000000</v>
      </c>
      <c r="Y46" s="431">
        <f t="shared" si="3"/>
        <v>8560000000</v>
      </c>
      <c r="Z46" s="334"/>
      <c r="AA46" s="430">
        <f t="shared" si="4"/>
        <v>0</v>
      </c>
      <c r="AB46" s="334"/>
      <c r="AC46" s="334"/>
    </row>
    <row r="47" spans="1:29" s="40" customFormat="1" ht="70.349999999999994" customHeight="1" x14ac:dyDescent="0.25">
      <c r="A47" s="100" t="s">
        <v>221</v>
      </c>
      <c r="B47" s="21" t="s">
        <v>222</v>
      </c>
      <c r="C47" s="103">
        <v>2020110010206</v>
      </c>
      <c r="D47" s="43" t="s">
        <v>223</v>
      </c>
      <c r="E47" s="43" t="s">
        <v>224</v>
      </c>
      <c r="F47" s="72" t="s">
        <v>225</v>
      </c>
      <c r="G47" s="54" t="s">
        <v>68</v>
      </c>
      <c r="H47" s="104" t="s">
        <v>246</v>
      </c>
      <c r="I47" s="105" t="s">
        <v>247</v>
      </c>
      <c r="J47" s="59" t="s">
        <v>241</v>
      </c>
      <c r="K47" s="59" t="s">
        <v>242</v>
      </c>
      <c r="L47" s="36" t="s">
        <v>44</v>
      </c>
      <c r="M47" s="59" t="s">
        <v>131</v>
      </c>
      <c r="N47" s="60" t="s">
        <v>132</v>
      </c>
      <c r="O47" s="39" t="s">
        <v>228</v>
      </c>
      <c r="P47" s="31" t="s">
        <v>248</v>
      </c>
      <c r="Q47" s="613"/>
      <c r="R47" s="613"/>
      <c r="S47" s="613"/>
      <c r="T47" s="333">
        <v>7108000000</v>
      </c>
      <c r="U47" s="551">
        <v>7108000000</v>
      </c>
      <c r="V47" s="614"/>
      <c r="W47" s="708">
        <v>7108000000</v>
      </c>
      <c r="X47" s="431">
        <v>4054230820</v>
      </c>
      <c r="Y47" s="431">
        <f t="shared" si="3"/>
        <v>3053769180</v>
      </c>
      <c r="Z47" s="334"/>
      <c r="AA47" s="430">
        <f t="shared" si="4"/>
        <v>0</v>
      </c>
      <c r="AB47" s="334"/>
      <c r="AC47" s="334"/>
    </row>
    <row r="48" spans="1:29" s="40" customFormat="1" ht="70.349999999999994" customHeight="1" x14ac:dyDescent="0.25">
      <c r="A48" s="100" t="s">
        <v>221</v>
      </c>
      <c r="B48" s="21" t="s">
        <v>222</v>
      </c>
      <c r="C48" s="103">
        <v>2020110010206</v>
      </c>
      <c r="D48" s="43" t="s">
        <v>223</v>
      </c>
      <c r="E48" s="43" t="s">
        <v>224</v>
      </c>
      <c r="F48" s="100" t="s">
        <v>225</v>
      </c>
      <c r="G48" s="111" t="s">
        <v>68</v>
      </c>
      <c r="H48" s="112" t="s">
        <v>246</v>
      </c>
      <c r="I48" s="105" t="s">
        <v>247</v>
      </c>
      <c r="J48" s="21" t="s">
        <v>116</v>
      </c>
      <c r="K48" s="39" t="s">
        <v>43</v>
      </c>
      <c r="L48" s="56" t="s">
        <v>44</v>
      </c>
      <c r="M48" s="21" t="s">
        <v>131</v>
      </c>
      <c r="N48" s="100" t="s">
        <v>132</v>
      </c>
      <c r="O48" s="21" t="s">
        <v>228</v>
      </c>
      <c r="P48" s="100" t="s">
        <v>249</v>
      </c>
      <c r="Q48" s="100"/>
      <c r="R48" s="100"/>
      <c r="S48" s="100"/>
      <c r="T48" s="333">
        <v>1150000000</v>
      </c>
      <c r="U48" s="551">
        <v>1150000000</v>
      </c>
      <c r="V48" s="617">
        <f>-292893954-817106046</f>
        <v>-1110000000</v>
      </c>
      <c r="W48" s="708">
        <f>+U48+V48</f>
        <v>40000000</v>
      </c>
      <c r="X48" s="431">
        <v>29527095</v>
      </c>
      <c r="Y48" s="431">
        <f t="shared" si="3"/>
        <v>10472905</v>
      </c>
      <c r="Z48" s="334"/>
      <c r="AA48" s="430">
        <f t="shared" si="4"/>
        <v>0</v>
      </c>
      <c r="AB48" s="334"/>
      <c r="AC48" s="334"/>
    </row>
    <row r="49" spans="1:29" s="40" customFormat="1" ht="70.349999999999994" customHeight="1" x14ac:dyDescent="0.25">
      <c r="A49" s="100" t="s">
        <v>221</v>
      </c>
      <c r="B49" s="21" t="s">
        <v>222</v>
      </c>
      <c r="C49" s="103">
        <v>2020110010206</v>
      </c>
      <c r="D49" s="43" t="s">
        <v>223</v>
      </c>
      <c r="E49" s="43" t="s">
        <v>224</v>
      </c>
      <c r="F49" s="72" t="s">
        <v>225</v>
      </c>
      <c r="G49" s="55" t="s">
        <v>40</v>
      </c>
      <c r="H49" s="104" t="s">
        <v>250</v>
      </c>
      <c r="I49" s="102" t="s">
        <v>227</v>
      </c>
      <c r="J49" s="39" t="s">
        <v>116</v>
      </c>
      <c r="K49" s="39" t="s">
        <v>43</v>
      </c>
      <c r="L49" s="39" t="s">
        <v>149</v>
      </c>
      <c r="M49" s="39" t="s">
        <v>150</v>
      </c>
      <c r="N49" s="72" t="s">
        <v>251</v>
      </c>
      <c r="O49" s="39" t="s">
        <v>228</v>
      </c>
      <c r="P49" s="61" t="s">
        <v>252</v>
      </c>
      <c r="Q49" s="618" t="s">
        <v>97</v>
      </c>
      <c r="R49" s="618" t="s">
        <v>97</v>
      </c>
      <c r="S49" s="61"/>
      <c r="T49" s="333">
        <v>108000000</v>
      </c>
      <c r="U49" s="551">
        <v>108000000</v>
      </c>
      <c r="V49" s="617">
        <v>-13400000</v>
      </c>
      <c r="W49" s="708">
        <f>+U49+V49</f>
        <v>94600000</v>
      </c>
      <c r="X49" s="431">
        <v>94600000</v>
      </c>
      <c r="Y49" s="431">
        <f t="shared" si="3"/>
        <v>0</v>
      </c>
      <c r="Z49" s="431">
        <v>94600000</v>
      </c>
      <c r="AA49" s="430">
        <f t="shared" si="4"/>
        <v>1</v>
      </c>
      <c r="AB49" s="431">
        <f>2842060+13893730+18666130+508608+8220469</f>
        <v>44130997</v>
      </c>
      <c r="AC49" s="347" t="s">
        <v>253</v>
      </c>
    </row>
    <row r="50" spans="1:29" s="40" customFormat="1" ht="70.349999999999994" customHeight="1" x14ac:dyDescent="0.25">
      <c r="A50" s="100" t="s">
        <v>221</v>
      </c>
      <c r="B50" s="21" t="s">
        <v>222</v>
      </c>
      <c r="C50" s="103">
        <v>2020110010206</v>
      </c>
      <c r="D50" s="43" t="s">
        <v>223</v>
      </c>
      <c r="E50" s="43" t="s">
        <v>254</v>
      </c>
      <c r="F50" s="72" t="s">
        <v>225</v>
      </c>
      <c r="G50" s="55" t="s">
        <v>40</v>
      </c>
      <c r="H50" s="104" t="s">
        <v>250</v>
      </c>
      <c r="I50" s="102" t="s">
        <v>227</v>
      </c>
      <c r="J50" s="39" t="s">
        <v>116</v>
      </c>
      <c r="K50" s="39" t="s">
        <v>43</v>
      </c>
      <c r="L50" s="36" t="s">
        <v>44</v>
      </c>
      <c r="M50" s="59" t="s">
        <v>131</v>
      </c>
      <c r="N50" s="72" t="s">
        <v>255</v>
      </c>
      <c r="O50" s="39" t="s">
        <v>228</v>
      </c>
      <c r="P50" s="67" t="s">
        <v>256</v>
      </c>
      <c r="Q50" s="67"/>
      <c r="R50" s="67"/>
      <c r="S50" s="67"/>
      <c r="T50" s="333">
        <v>168000000</v>
      </c>
      <c r="U50" s="551">
        <v>168000000</v>
      </c>
      <c r="V50" s="551">
        <v>-110000000</v>
      </c>
      <c r="W50" s="708">
        <f>+U50+V50</f>
        <v>58000000</v>
      </c>
      <c r="X50" s="431"/>
      <c r="Y50" s="431">
        <f t="shared" si="3"/>
        <v>58000000</v>
      </c>
      <c r="Z50" s="334"/>
      <c r="AA50" s="430">
        <f>+Z50/W50</f>
        <v>0</v>
      </c>
      <c r="AB50" s="334"/>
      <c r="AC50" s="334"/>
    </row>
    <row r="51" spans="1:29" s="40" customFormat="1" ht="92.25" customHeight="1" x14ac:dyDescent="0.25">
      <c r="A51" s="100" t="s">
        <v>221</v>
      </c>
      <c r="B51" s="21" t="s">
        <v>222</v>
      </c>
      <c r="C51" s="103">
        <v>2020110010206</v>
      </c>
      <c r="D51" s="106" t="s">
        <v>223</v>
      </c>
      <c r="E51" s="43" t="s">
        <v>257</v>
      </c>
      <c r="F51" s="72" t="s">
        <v>225</v>
      </c>
      <c r="G51" s="54" t="s">
        <v>53</v>
      </c>
      <c r="H51" s="104" t="s">
        <v>258</v>
      </c>
      <c r="I51" s="107" t="s">
        <v>259</v>
      </c>
      <c r="J51" s="39" t="s">
        <v>116</v>
      </c>
      <c r="K51" s="39" t="s">
        <v>43</v>
      </c>
      <c r="L51" s="298" t="s">
        <v>44</v>
      </c>
      <c r="M51" s="299" t="s">
        <v>131</v>
      </c>
      <c r="N51" s="110" t="s">
        <v>255</v>
      </c>
      <c r="O51" s="39" t="s">
        <v>228</v>
      </c>
      <c r="P51" s="31" t="s">
        <v>260</v>
      </c>
      <c r="Q51" s="615" t="s">
        <v>624</v>
      </c>
      <c r="R51" s="616" t="s">
        <v>625</v>
      </c>
      <c r="S51" s="613"/>
      <c r="T51" s="333">
        <v>480000000</v>
      </c>
      <c r="U51" s="551">
        <v>480000000</v>
      </c>
      <c r="V51" s="551">
        <f>-370000000-110000000</f>
        <v>-480000000</v>
      </c>
      <c r="W51" s="708">
        <f>+U51+V51</f>
        <v>0</v>
      </c>
      <c r="X51" s="431"/>
      <c r="Y51" s="348">
        <f t="shared" si="3"/>
        <v>0</v>
      </c>
      <c r="Z51" s="334"/>
      <c r="AA51" s="430" t="e">
        <f>+Z51/W51</f>
        <v>#DIV/0!</v>
      </c>
      <c r="AB51" s="334"/>
      <c r="AC51" s="336" t="s">
        <v>263</v>
      </c>
    </row>
    <row r="52" spans="1:29" s="40" customFormat="1" ht="80.25" customHeight="1" x14ac:dyDescent="0.25">
      <c r="A52" s="100" t="s">
        <v>221</v>
      </c>
      <c r="B52" s="21" t="s">
        <v>222</v>
      </c>
      <c r="C52" s="103">
        <v>2020110010206</v>
      </c>
      <c r="D52" s="43" t="s">
        <v>223</v>
      </c>
      <c r="E52" s="43" t="s">
        <v>236</v>
      </c>
      <c r="F52" s="72" t="s">
        <v>225</v>
      </c>
      <c r="G52" s="54" t="s">
        <v>53</v>
      </c>
      <c r="H52" s="104" t="s">
        <v>264</v>
      </c>
      <c r="I52" s="107" t="s">
        <v>218</v>
      </c>
      <c r="J52" s="39" t="s">
        <v>116</v>
      </c>
      <c r="K52" s="39" t="s">
        <v>43</v>
      </c>
      <c r="L52" s="36" t="s">
        <v>44</v>
      </c>
      <c r="M52" s="37" t="s">
        <v>45</v>
      </c>
      <c r="N52" s="72" t="s">
        <v>265</v>
      </c>
      <c r="O52" s="39" t="s">
        <v>228</v>
      </c>
      <c r="P52" s="31" t="s">
        <v>266</v>
      </c>
      <c r="Q52" s="619" t="s">
        <v>267</v>
      </c>
      <c r="R52" s="620">
        <v>460700000</v>
      </c>
      <c r="S52" s="613"/>
      <c r="T52" s="333">
        <f>825000000-114229680</f>
        <v>710770320</v>
      </c>
      <c r="U52" s="551">
        <v>710770320</v>
      </c>
      <c r="V52" s="705">
        <v>150000000</v>
      </c>
      <c r="W52" s="708">
        <f>710770320+150000000</f>
        <v>860770320</v>
      </c>
      <c r="X52" s="431">
        <f>310700000+150000000</f>
        <v>460700000</v>
      </c>
      <c r="Y52" s="431">
        <f t="shared" si="3"/>
        <v>400070320</v>
      </c>
      <c r="Z52" s="431">
        <v>251850622</v>
      </c>
      <c r="AA52" s="430">
        <f>+Z52/W52</f>
        <v>0.29258748373201343</v>
      </c>
      <c r="AB52" s="334"/>
      <c r="AC52" s="334"/>
    </row>
    <row r="53" spans="1:29" s="40" customFormat="1" ht="70.349999999999994" customHeight="1" x14ac:dyDescent="0.25">
      <c r="A53" s="100" t="s">
        <v>221</v>
      </c>
      <c r="B53" s="21" t="s">
        <v>222</v>
      </c>
      <c r="C53" s="103">
        <v>2020110010206</v>
      </c>
      <c r="D53" s="43" t="s">
        <v>223</v>
      </c>
      <c r="E53" s="43" t="s">
        <v>224</v>
      </c>
      <c r="F53" s="72" t="s">
        <v>225</v>
      </c>
      <c r="G53" s="54" t="s">
        <v>53</v>
      </c>
      <c r="H53" s="104" t="s">
        <v>264</v>
      </c>
      <c r="I53" s="107" t="s">
        <v>218</v>
      </c>
      <c r="J53" s="39" t="s">
        <v>116</v>
      </c>
      <c r="K53" s="39" t="s">
        <v>43</v>
      </c>
      <c r="L53" s="36" t="s">
        <v>44</v>
      </c>
      <c r="M53" s="37" t="s">
        <v>45</v>
      </c>
      <c r="N53" s="72" t="s">
        <v>265</v>
      </c>
      <c r="O53" s="39" t="s">
        <v>228</v>
      </c>
      <c r="P53" s="31" t="s">
        <v>266</v>
      </c>
      <c r="Q53" s="613"/>
      <c r="R53" s="613"/>
      <c r="S53" s="613"/>
      <c r="T53" s="333">
        <v>114229680</v>
      </c>
      <c r="U53" s="551">
        <v>114229680</v>
      </c>
      <c r="V53" s="614"/>
      <c r="W53" s="708">
        <v>114229680</v>
      </c>
      <c r="X53" s="431">
        <v>114229680</v>
      </c>
      <c r="Y53" s="431"/>
      <c r="Z53" s="431">
        <v>114229680</v>
      </c>
      <c r="AA53" s="430">
        <f t="shared" ref="AA53:AA102" si="5">+Z53/W53</f>
        <v>1</v>
      </c>
      <c r="AB53" s="431">
        <f>47482639+43291343</f>
        <v>90773982</v>
      </c>
      <c r="AC53" s="334"/>
    </row>
    <row r="54" spans="1:29" s="40" customFormat="1" ht="110.25" x14ac:dyDescent="0.25">
      <c r="A54" s="100" t="s">
        <v>221</v>
      </c>
      <c r="B54" s="21" t="s">
        <v>222</v>
      </c>
      <c r="C54" s="103">
        <v>2020110010206</v>
      </c>
      <c r="D54" s="106" t="s">
        <v>223</v>
      </c>
      <c r="E54" s="43" t="s">
        <v>269</v>
      </c>
      <c r="F54" s="72" t="s">
        <v>225</v>
      </c>
      <c r="G54" s="54" t="s">
        <v>60</v>
      </c>
      <c r="H54" s="104" t="s">
        <v>270</v>
      </c>
      <c r="I54" s="107" t="s">
        <v>141</v>
      </c>
      <c r="J54" s="39" t="s">
        <v>116</v>
      </c>
      <c r="K54" s="39" t="s">
        <v>43</v>
      </c>
      <c r="L54" s="36" t="s">
        <v>44</v>
      </c>
      <c r="M54" s="37" t="s">
        <v>45</v>
      </c>
      <c r="N54" s="38" t="s">
        <v>63</v>
      </c>
      <c r="O54" s="39" t="s">
        <v>228</v>
      </c>
      <c r="P54" s="108" t="s">
        <v>271</v>
      </c>
      <c r="Q54" s="623" t="s">
        <v>272</v>
      </c>
      <c r="R54" s="623" t="s">
        <v>273</v>
      </c>
      <c r="S54" s="626"/>
      <c r="T54" s="333">
        <v>569088000</v>
      </c>
      <c r="U54" s="551">
        <v>569088000</v>
      </c>
      <c r="V54" s="614"/>
      <c r="W54" s="431">
        <v>569088000</v>
      </c>
      <c r="X54" s="431">
        <v>544600000</v>
      </c>
      <c r="Y54" s="431">
        <f t="shared" ref="Y54:Y84" si="6">+W54-X54</f>
        <v>24488000</v>
      </c>
      <c r="Z54" s="431">
        <f>544600000-1166667</f>
        <v>543433333</v>
      </c>
      <c r="AA54" s="430">
        <f t="shared" si="5"/>
        <v>0.95491968377474135</v>
      </c>
      <c r="AB54" s="431">
        <f>2666666+30010000+52266667+51840000+54000000</f>
        <v>190783333</v>
      </c>
      <c r="AC54" s="347" t="s">
        <v>274</v>
      </c>
    </row>
    <row r="55" spans="1:29" s="40" customFormat="1" ht="114.75" x14ac:dyDescent="0.25">
      <c r="A55" s="100" t="s">
        <v>221</v>
      </c>
      <c r="B55" s="21" t="s">
        <v>222</v>
      </c>
      <c r="C55" s="103">
        <v>2020110010206</v>
      </c>
      <c r="D55" s="43" t="s">
        <v>223</v>
      </c>
      <c r="E55" s="43" t="s">
        <v>254</v>
      </c>
      <c r="F55" s="72" t="s">
        <v>225</v>
      </c>
      <c r="G55" s="54" t="s">
        <v>60</v>
      </c>
      <c r="H55" s="104" t="s">
        <v>270</v>
      </c>
      <c r="I55" s="107" t="s">
        <v>141</v>
      </c>
      <c r="J55" s="39" t="s">
        <v>116</v>
      </c>
      <c r="K55" s="39" t="s">
        <v>43</v>
      </c>
      <c r="L55" s="36" t="s">
        <v>44</v>
      </c>
      <c r="M55" s="37" t="s">
        <v>45</v>
      </c>
      <c r="N55" s="38" t="s">
        <v>63</v>
      </c>
      <c r="O55" s="39" t="s">
        <v>228</v>
      </c>
      <c r="P55" s="108" t="s">
        <v>275</v>
      </c>
      <c r="Q55" s="624" t="s">
        <v>276</v>
      </c>
      <c r="R55" s="625" t="s">
        <v>277</v>
      </c>
      <c r="S55" s="626"/>
      <c r="T55" s="333">
        <v>624000000</v>
      </c>
      <c r="U55" s="551">
        <v>624000000</v>
      </c>
      <c r="V55" s="614"/>
      <c r="W55" s="708">
        <v>624000000</v>
      </c>
      <c r="X55" s="431">
        <v>590533333</v>
      </c>
      <c r="Y55" s="431">
        <f t="shared" si="6"/>
        <v>33466667</v>
      </c>
      <c r="Z55" s="431">
        <v>590533333</v>
      </c>
      <c r="AA55" s="430">
        <f t="shared" si="5"/>
        <v>0.94636752083333331</v>
      </c>
      <c r="AB55" s="431">
        <f>15103333+30953333+46966667+51433333</f>
        <v>144456666</v>
      </c>
      <c r="AC55" s="349" t="s">
        <v>278</v>
      </c>
    </row>
    <row r="56" spans="1:29" s="40" customFormat="1" ht="110.25" x14ac:dyDescent="0.25">
      <c r="A56" s="100" t="s">
        <v>221</v>
      </c>
      <c r="B56" s="21" t="s">
        <v>222</v>
      </c>
      <c r="C56" s="103">
        <v>2020110010206</v>
      </c>
      <c r="D56" s="106" t="s">
        <v>223</v>
      </c>
      <c r="E56" s="43" t="s">
        <v>233</v>
      </c>
      <c r="F56" s="72" t="s">
        <v>225</v>
      </c>
      <c r="G56" s="54" t="s">
        <v>60</v>
      </c>
      <c r="H56" s="104" t="s">
        <v>270</v>
      </c>
      <c r="I56" s="107" t="s">
        <v>141</v>
      </c>
      <c r="J56" s="39" t="s">
        <v>116</v>
      </c>
      <c r="K56" s="39" t="s">
        <v>43</v>
      </c>
      <c r="L56" s="36" t="s">
        <v>44</v>
      </c>
      <c r="M56" s="37" t="s">
        <v>45</v>
      </c>
      <c r="N56" s="38" t="s">
        <v>63</v>
      </c>
      <c r="O56" s="39" t="s">
        <v>228</v>
      </c>
      <c r="P56" s="108" t="s">
        <v>279</v>
      </c>
      <c r="Q56" s="627" t="s">
        <v>626</v>
      </c>
      <c r="R56" s="628" t="s">
        <v>627</v>
      </c>
      <c r="S56" s="626"/>
      <c r="T56" s="333">
        <v>900000000</v>
      </c>
      <c r="U56" s="551">
        <v>900000000</v>
      </c>
      <c r="V56" s="551">
        <v>-60460372</v>
      </c>
      <c r="W56" s="431">
        <f>+U56+V56</f>
        <v>839539628</v>
      </c>
      <c r="X56" s="431">
        <f>774550372+4290000</f>
        <v>778840372</v>
      </c>
      <c r="Y56" s="431">
        <f t="shared" si="6"/>
        <v>60699256</v>
      </c>
      <c r="Z56" s="431">
        <f>297880000+216600000+112100000+41650000+88620372</f>
        <v>756850372</v>
      </c>
      <c r="AA56" s="430">
        <f t="shared" si="5"/>
        <v>0.90150642894965283</v>
      </c>
      <c r="AB56" s="350">
        <f>102739999+61286667+64880000</f>
        <v>228906666</v>
      </c>
      <c r="AC56" s="347" t="s">
        <v>282</v>
      </c>
    </row>
    <row r="57" spans="1:29" s="40" customFormat="1" ht="110.25" x14ac:dyDescent="0.25">
      <c r="A57" s="100" t="s">
        <v>221</v>
      </c>
      <c r="B57" s="21" t="s">
        <v>222</v>
      </c>
      <c r="C57" s="103">
        <v>2020110010206</v>
      </c>
      <c r="D57" s="106" t="s">
        <v>223</v>
      </c>
      <c r="E57" s="43" t="s">
        <v>283</v>
      </c>
      <c r="F57" s="72" t="s">
        <v>225</v>
      </c>
      <c r="G57" s="54" t="s">
        <v>60</v>
      </c>
      <c r="H57" s="104" t="s">
        <v>270</v>
      </c>
      <c r="I57" s="107" t="s">
        <v>141</v>
      </c>
      <c r="J57" s="39" t="s">
        <v>116</v>
      </c>
      <c r="K57" s="39" t="s">
        <v>43</v>
      </c>
      <c r="L57" s="36" t="s">
        <v>44</v>
      </c>
      <c r="M57" s="37" t="s">
        <v>45</v>
      </c>
      <c r="N57" s="38" t="s">
        <v>63</v>
      </c>
      <c r="O57" s="39" t="s">
        <v>228</v>
      </c>
      <c r="P57" s="108" t="s">
        <v>284</v>
      </c>
      <c r="Q57" s="623" t="s">
        <v>285</v>
      </c>
      <c r="R57" s="623" t="s">
        <v>286</v>
      </c>
      <c r="S57" s="67"/>
      <c r="T57" s="333">
        <v>500000000</v>
      </c>
      <c r="U57" s="551">
        <v>500000000</v>
      </c>
      <c r="V57" s="614"/>
      <c r="W57" s="431">
        <v>500000000</v>
      </c>
      <c r="X57" s="431">
        <v>473111333</v>
      </c>
      <c r="Y57" s="431">
        <f>+W57-X57</f>
        <v>26888667</v>
      </c>
      <c r="Z57" s="437">
        <v>473111333</v>
      </c>
      <c r="AA57" s="430">
        <f t="shared" si="5"/>
        <v>0.94622266600000005</v>
      </c>
      <c r="AB57" s="431">
        <f>4585267+19011333+17821333+24501333+27181333</f>
        <v>93100599</v>
      </c>
      <c r="AC57" s="351" t="s">
        <v>287</v>
      </c>
    </row>
    <row r="58" spans="1:29" s="40" customFormat="1" ht="126" x14ac:dyDescent="0.25">
      <c r="A58" s="100" t="s">
        <v>221</v>
      </c>
      <c r="B58" s="21" t="s">
        <v>222</v>
      </c>
      <c r="C58" s="103">
        <v>2020110010206</v>
      </c>
      <c r="D58" s="106" t="s">
        <v>288</v>
      </c>
      <c r="E58" s="106" t="s">
        <v>289</v>
      </c>
      <c r="F58" s="72" t="s">
        <v>225</v>
      </c>
      <c r="G58" s="54" t="s">
        <v>60</v>
      </c>
      <c r="H58" s="104" t="s">
        <v>270</v>
      </c>
      <c r="I58" s="107" t="s">
        <v>141</v>
      </c>
      <c r="J58" s="39" t="s">
        <v>116</v>
      </c>
      <c r="K58" s="39" t="s">
        <v>43</v>
      </c>
      <c r="L58" s="36" t="s">
        <v>44</v>
      </c>
      <c r="M58" s="37" t="s">
        <v>45</v>
      </c>
      <c r="N58" s="38" t="s">
        <v>63</v>
      </c>
      <c r="O58" s="39" t="s">
        <v>228</v>
      </c>
      <c r="P58" s="108" t="s">
        <v>290</v>
      </c>
      <c r="Q58" s="624" t="s">
        <v>291</v>
      </c>
      <c r="R58" s="625" t="s">
        <v>292</v>
      </c>
      <c r="S58" s="626"/>
      <c r="T58" s="333">
        <v>1000000000</v>
      </c>
      <c r="U58" s="551">
        <v>1000000000</v>
      </c>
      <c r="V58" s="614"/>
      <c r="W58" s="431">
        <v>1000000000</v>
      </c>
      <c r="X58" s="431">
        <v>722230000</v>
      </c>
      <c r="Y58" s="431">
        <f t="shared" si="6"/>
        <v>277770000</v>
      </c>
      <c r="Z58" s="431">
        <f>294300000+355180000+72750000</f>
        <v>722230000</v>
      </c>
      <c r="AA58" s="430">
        <f t="shared" si="5"/>
        <v>0.72223000000000004</v>
      </c>
      <c r="AB58" s="431">
        <f>17253333+53960001+81493333</f>
        <v>152706667</v>
      </c>
      <c r="AC58" s="301" t="s">
        <v>293</v>
      </c>
    </row>
    <row r="59" spans="1:29" s="40" customFormat="1" ht="126" x14ac:dyDescent="0.25">
      <c r="A59" s="100" t="s">
        <v>221</v>
      </c>
      <c r="B59" s="21" t="s">
        <v>222</v>
      </c>
      <c r="C59" s="103">
        <v>2020110010206</v>
      </c>
      <c r="D59" s="106" t="s">
        <v>288</v>
      </c>
      <c r="E59" s="106" t="s">
        <v>294</v>
      </c>
      <c r="F59" s="72" t="s">
        <v>225</v>
      </c>
      <c r="G59" s="54" t="s">
        <v>60</v>
      </c>
      <c r="H59" s="104" t="s">
        <v>270</v>
      </c>
      <c r="I59" s="107" t="s">
        <v>141</v>
      </c>
      <c r="J59" s="39" t="s">
        <v>116</v>
      </c>
      <c r="K59" s="39" t="s">
        <v>43</v>
      </c>
      <c r="L59" s="36" t="s">
        <v>44</v>
      </c>
      <c r="M59" s="37" t="s">
        <v>45</v>
      </c>
      <c r="N59" s="38" t="s">
        <v>63</v>
      </c>
      <c r="O59" s="39" t="s">
        <v>228</v>
      </c>
      <c r="P59" s="108" t="s">
        <v>295</v>
      </c>
      <c r="Q59" s="629" t="s">
        <v>296</v>
      </c>
      <c r="R59" s="630" t="s">
        <v>297</v>
      </c>
      <c r="S59" s="626"/>
      <c r="T59" s="333">
        <v>200000000</v>
      </c>
      <c r="U59" s="551">
        <v>200000000</v>
      </c>
      <c r="V59" s="614"/>
      <c r="W59" s="431">
        <v>200000000</v>
      </c>
      <c r="X59" s="431">
        <v>168120000</v>
      </c>
      <c r="Y59" s="431">
        <f t="shared" si="6"/>
        <v>31880000</v>
      </c>
      <c r="Z59" s="431">
        <f>48300000+119820000</f>
        <v>168120000</v>
      </c>
      <c r="AA59" s="430">
        <f t="shared" si="5"/>
        <v>0.84060000000000001</v>
      </c>
      <c r="AB59" s="431">
        <f>13191867+20342000+19942000+14642000</f>
        <v>68117867</v>
      </c>
      <c r="AC59" s="301" t="s">
        <v>298</v>
      </c>
    </row>
    <row r="60" spans="1:29" s="40" customFormat="1" ht="70.349999999999994" customHeight="1" x14ac:dyDescent="0.25">
      <c r="A60" s="100" t="s">
        <v>221</v>
      </c>
      <c r="B60" s="21" t="s">
        <v>222</v>
      </c>
      <c r="C60" s="103">
        <v>2020110010206</v>
      </c>
      <c r="D60" s="106" t="s">
        <v>288</v>
      </c>
      <c r="E60" s="106" t="s">
        <v>289</v>
      </c>
      <c r="F60" s="72" t="s">
        <v>225</v>
      </c>
      <c r="G60" s="54" t="s">
        <v>60</v>
      </c>
      <c r="H60" s="104" t="s">
        <v>299</v>
      </c>
      <c r="I60" s="107" t="s">
        <v>148</v>
      </c>
      <c r="J60" s="39" t="s">
        <v>116</v>
      </c>
      <c r="K60" s="39" t="s">
        <v>43</v>
      </c>
      <c r="L60" s="39" t="s">
        <v>149</v>
      </c>
      <c r="M60" s="39" t="s">
        <v>150</v>
      </c>
      <c r="N60" s="72" t="s">
        <v>251</v>
      </c>
      <c r="O60" s="39" t="s">
        <v>300</v>
      </c>
      <c r="P60" s="109" t="s">
        <v>301</v>
      </c>
      <c r="Q60" s="632"/>
      <c r="R60" s="632"/>
      <c r="S60" s="632"/>
      <c r="T60" s="333">
        <v>400000000</v>
      </c>
      <c r="U60" s="551">
        <v>400000000</v>
      </c>
      <c r="V60" s="614"/>
      <c r="W60" s="708">
        <v>400000000</v>
      </c>
      <c r="X60" s="431"/>
      <c r="Y60" s="431">
        <f t="shared" si="6"/>
        <v>400000000</v>
      </c>
      <c r="Z60" s="334"/>
      <c r="AA60" s="430">
        <f t="shared" si="5"/>
        <v>0</v>
      </c>
      <c r="AB60" s="334"/>
      <c r="AC60" s="334"/>
    </row>
    <row r="61" spans="1:29" s="40" customFormat="1" ht="70.349999999999994" customHeight="1" x14ac:dyDescent="0.25">
      <c r="A61" s="100" t="s">
        <v>221</v>
      </c>
      <c r="B61" s="21" t="s">
        <v>222</v>
      </c>
      <c r="C61" s="103">
        <v>2020110010206</v>
      </c>
      <c r="D61" s="106" t="s">
        <v>288</v>
      </c>
      <c r="E61" s="106" t="s">
        <v>289</v>
      </c>
      <c r="F61" s="72" t="s">
        <v>225</v>
      </c>
      <c r="G61" s="54" t="s">
        <v>60</v>
      </c>
      <c r="H61" s="104" t="s">
        <v>299</v>
      </c>
      <c r="I61" s="107" t="s">
        <v>148</v>
      </c>
      <c r="J61" s="39" t="s">
        <v>116</v>
      </c>
      <c r="K61" s="39" t="s">
        <v>43</v>
      </c>
      <c r="L61" s="39" t="s">
        <v>149</v>
      </c>
      <c r="M61" s="39" t="s">
        <v>150</v>
      </c>
      <c r="N61" s="72" t="s">
        <v>251</v>
      </c>
      <c r="O61" s="39" t="s">
        <v>228</v>
      </c>
      <c r="P61" s="31" t="s">
        <v>302</v>
      </c>
      <c r="Q61" s="552" t="s">
        <v>303</v>
      </c>
      <c r="R61" s="553" t="s">
        <v>304</v>
      </c>
      <c r="S61" s="613"/>
      <c r="T61" s="333">
        <v>300000000</v>
      </c>
      <c r="U61" s="551">
        <v>300000000</v>
      </c>
      <c r="V61" s="614"/>
      <c r="W61" s="708">
        <v>300000000</v>
      </c>
      <c r="X61" s="431"/>
      <c r="Y61" s="431">
        <f t="shared" si="6"/>
        <v>300000000</v>
      </c>
      <c r="Z61" s="334"/>
      <c r="AA61" s="430">
        <f t="shared" si="5"/>
        <v>0</v>
      </c>
      <c r="AB61" s="334"/>
      <c r="AC61" s="334"/>
    </row>
    <row r="62" spans="1:29" s="40" customFormat="1" ht="70.349999999999994" customHeight="1" x14ac:dyDescent="0.25">
      <c r="A62" s="100" t="s">
        <v>221</v>
      </c>
      <c r="B62" s="21" t="s">
        <v>222</v>
      </c>
      <c r="C62" s="103">
        <v>2020110010206</v>
      </c>
      <c r="D62" s="43" t="s">
        <v>223</v>
      </c>
      <c r="E62" s="43" t="s">
        <v>257</v>
      </c>
      <c r="F62" s="72" t="s">
        <v>225</v>
      </c>
      <c r="G62" s="55" t="s">
        <v>40</v>
      </c>
      <c r="H62" s="104" t="s">
        <v>226</v>
      </c>
      <c r="I62" s="102" t="s">
        <v>227</v>
      </c>
      <c r="J62" s="59" t="s">
        <v>241</v>
      </c>
      <c r="K62" s="59" t="s">
        <v>242</v>
      </c>
      <c r="L62" s="36" t="s">
        <v>44</v>
      </c>
      <c r="M62" s="59" t="s">
        <v>131</v>
      </c>
      <c r="N62" s="60" t="s">
        <v>132</v>
      </c>
      <c r="O62" s="39" t="s">
        <v>228</v>
      </c>
      <c r="P62" s="72" t="s">
        <v>305</v>
      </c>
      <c r="Q62" s="633" t="s">
        <v>306</v>
      </c>
      <c r="R62" s="634" t="s">
        <v>307</v>
      </c>
      <c r="S62" s="633"/>
      <c r="T62" s="333">
        <v>1500000000</v>
      </c>
      <c r="U62" s="551">
        <v>1500000000</v>
      </c>
      <c r="V62" s="614"/>
      <c r="W62" s="708">
        <v>1500000000</v>
      </c>
      <c r="X62" s="431"/>
      <c r="Y62" s="431">
        <f t="shared" si="6"/>
        <v>1500000000</v>
      </c>
      <c r="Z62" s="334"/>
      <c r="AA62" s="430">
        <f t="shared" si="5"/>
        <v>0</v>
      </c>
      <c r="AB62" s="334"/>
      <c r="AC62" s="334"/>
    </row>
    <row r="63" spans="1:29" s="40" customFormat="1" ht="70.349999999999994" customHeight="1" x14ac:dyDescent="0.25">
      <c r="A63" s="100" t="s">
        <v>221</v>
      </c>
      <c r="B63" s="21" t="s">
        <v>222</v>
      </c>
      <c r="C63" s="103">
        <v>2020110010206</v>
      </c>
      <c r="D63" s="43" t="s">
        <v>223</v>
      </c>
      <c r="E63" s="43" t="s">
        <v>224</v>
      </c>
      <c r="F63" s="72" t="s">
        <v>225</v>
      </c>
      <c r="G63" s="55"/>
      <c r="H63" s="104"/>
      <c r="I63" s="102"/>
      <c r="J63" s="59"/>
      <c r="K63" s="59" t="s">
        <v>234</v>
      </c>
      <c r="L63" s="36" t="s">
        <v>44</v>
      </c>
      <c r="M63" s="59" t="s">
        <v>131</v>
      </c>
      <c r="N63" s="60" t="s">
        <v>132</v>
      </c>
      <c r="O63" s="39" t="s">
        <v>228</v>
      </c>
      <c r="P63" s="72" t="s">
        <v>308</v>
      </c>
      <c r="Q63" s="633"/>
      <c r="R63" s="634"/>
      <c r="S63" s="633"/>
      <c r="T63" s="333"/>
      <c r="U63" s="551"/>
      <c r="V63" s="551">
        <v>292893954</v>
      </c>
      <c r="W63" s="708">
        <f>+V63</f>
        <v>292893954</v>
      </c>
      <c r="X63" s="431">
        <v>292893954</v>
      </c>
      <c r="Y63" s="431"/>
      <c r="Z63" s="334"/>
      <c r="AA63" s="430"/>
      <c r="AB63" s="334"/>
      <c r="AC63" s="334"/>
    </row>
    <row r="64" spans="1:29" s="40" customFormat="1" ht="70.349999999999994" customHeight="1" x14ac:dyDescent="0.25">
      <c r="A64" s="100" t="s">
        <v>221</v>
      </c>
      <c r="B64" s="21" t="s">
        <v>222</v>
      </c>
      <c r="C64" s="103">
        <v>2020110010206</v>
      </c>
      <c r="D64" s="106" t="s">
        <v>223</v>
      </c>
      <c r="E64" s="43" t="s">
        <v>257</v>
      </c>
      <c r="F64" s="72" t="s">
        <v>225</v>
      </c>
      <c r="G64" s="54" t="s">
        <v>68</v>
      </c>
      <c r="H64" s="104" t="s">
        <v>69</v>
      </c>
      <c r="I64" s="107" t="s">
        <v>309</v>
      </c>
      <c r="J64" s="59" t="s">
        <v>241</v>
      </c>
      <c r="K64" s="59" t="s">
        <v>242</v>
      </c>
      <c r="L64" s="36" t="s">
        <v>44</v>
      </c>
      <c r="M64" s="37" t="s">
        <v>45</v>
      </c>
      <c r="N64" s="60" t="s">
        <v>310</v>
      </c>
      <c r="O64" s="39" t="s">
        <v>228</v>
      </c>
      <c r="P64" s="72" t="s">
        <v>311</v>
      </c>
      <c r="Q64" s="640" t="s">
        <v>628</v>
      </c>
      <c r="R64" s="654" t="s">
        <v>629</v>
      </c>
      <c r="S64" s="633"/>
      <c r="T64" s="333">
        <v>7800000000</v>
      </c>
      <c r="U64" s="551">
        <v>7800000000</v>
      </c>
      <c r="V64" s="614"/>
      <c r="W64" s="708">
        <v>7800000000</v>
      </c>
      <c r="X64" s="431">
        <f>2500000000+80782875</f>
        <v>2580782875</v>
      </c>
      <c r="Y64" s="431">
        <f t="shared" si="6"/>
        <v>5219217125</v>
      </c>
      <c r="Z64" s="334"/>
      <c r="AA64" s="430">
        <f t="shared" si="5"/>
        <v>0</v>
      </c>
      <c r="AB64" s="334"/>
      <c r="AC64" s="334"/>
    </row>
    <row r="65" spans="1:29" s="40" customFormat="1" ht="70.349999999999994" customHeight="1" x14ac:dyDescent="0.25">
      <c r="A65" s="100" t="s">
        <v>221</v>
      </c>
      <c r="B65" s="21" t="s">
        <v>222</v>
      </c>
      <c r="C65" s="103">
        <v>2020110010206</v>
      </c>
      <c r="D65" s="106" t="s">
        <v>223</v>
      </c>
      <c r="E65" s="43" t="s">
        <v>257</v>
      </c>
      <c r="F65" s="72" t="s">
        <v>225</v>
      </c>
      <c r="G65" s="55" t="s">
        <v>315</v>
      </c>
      <c r="H65" s="55" t="s">
        <v>316</v>
      </c>
      <c r="I65" s="102" t="s">
        <v>317</v>
      </c>
      <c r="J65" s="39" t="s">
        <v>116</v>
      </c>
      <c r="K65" s="39" t="s">
        <v>43</v>
      </c>
      <c r="L65" s="36" t="s">
        <v>44</v>
      </c>
      <c r="M65" s="37" t="s">
        <v>45</v>
      </c>
      <c r="N65" s="38" t="s">
        <v>46</v>
      </c>
      <c r="O65" s="39" t="s">
        <v>228</v>
      </c>
      <c r="P65" s="72" t="s">
        <v>318</v>
      </c>
      <c r="Q65" s="636" t="s">
        <v>319</v>
      </c>
      <c r="R65" s="637" t="s">
        <v>320</v>
      </c>
      <c r="S65" s="633"/>
      <c r="T65" s="333">
        <v>1000000000</v>
      </c>
      <c r="U65" s="333">
        <v>1000000000</v>
      </c>
      <c r="V65" s="674">
        <f>-695695200-86352000</f>
        <v>-782047200</v>
      </c>
      <c r="W65" s="333">
        <f>+U65+V65</f>
        <v>217952800</v>
      </c>
      <c r="X65" s="431">
        <f>9000000</f>
        <v>9000000</v>
      </c>
      <c r="Y65" s="431">
        <f t="shared" si="6"/>
        <v>208952800</v>
      </c>
      <c r="Z65" s="431">
        <v>9000000</v>
      </c>
      <c r="AA65" s="430">
        <f t="shared" si="5"/>
        <v>4.1293344247011282E-2</v>
      </c>
      <c r="AB65" s="431">
        <v>8374800</v>
      </c>
      <c r="AC65" s="336" t="s">
        <v>321</v>
      </c>
    </row>
    <row r="66" spans="1:29" s="40" customFormat="1" ht="80.25" customHeight="1" x14ac:dyDescent="0.25">
      <c r="A66" s="100" t="s">
        <v>221</v>
      </c>
      <c r="B66" s="21" t="s">
        <v>222</v>
      </c>
      <c r="C66" s="103">
        <v>2020110010206</v>
      </c>
      <c r="D66" s="106" t="s">
        <v>223</v>
      </c>
      <c r="E66" s="43" t="s">
        <v>257</v>
      </c>
      <c r="F66" s="72" t="s">
        <v>225</v>
      </c>
      <c r="G66" s="55" t="s">
        <v>315</v>
      </c>
      <c r="H66" s="55" t="s">
        <v>316</v>
      </c>
      <c r="I66" s="102" t="s">
        <v>317</v>
      </c>
      <c r="J66" s="39" t="s">
        <v>116</v>
      </c>
      <c r="K66" s="39" t="s">
        <v>43</v>
      </c>
      <c r="L66" s="36" t="s">
        <v>44</v>
      </c>
      <c r="M66" s="37" t="s">
        <v>45</v>
      </c>
      <c r="N66" s="38" t="s">
        <v>46</v>
      </c>
      <c r="O66" s="39" t="s">
        <v>228</v>
      </c>
      <c r="P66" s="72" t="s">
        <v>322</v>
      </c>
      <c r="Q66" s="638" t="s">
        <v>323</v>
      </c>
      <c r="R66" s="639" t="s">
        <v>324</v>
      </c>
      <c r="S66" s="633"/>
      <c r="T66" s="333">
        <v>135000000</v>
      </c>
      <c r="U66" s="551">
        <v>135000000</v>
      </c>
      <c r="V66" s="614"/>
      <c r="W66" s="431">
        <v>135000000</v>
      </c>
      <c r="X66" s="431">
        <f>59000000+17064600+47699960</f>
        <v>123764560</v>
      </c>
      <c r="Y66" s="431">
        <f t="shared" si="6"/>
        <v>11235440</v>
      </c>
      <c r="Z66" s="350">
        <v>64764560</v>
      </c>
      <c r="AA66" s="430">
        <f t="shared" si="5"/>
        <v>0.47973748148148149</v>
      </c>
      <c r="AB66" s="350">
        <v>64764560</v>
      </c>
      <c r="AC66" s="432" t="s">
        <v>325</v>
      </c>
    </row>
    <row r="67" spans="1:29" s="40" customFormat="1" ht="78" customHeight="1" x14ac:dyDescent="0.25">
      <c r="A67" s="100" t="s">
        <v>221</v>
      </c>
      <c r="B67" s="21" t="s">
        <v>222</v>
      </c>
      <c r="C67" s="103">
        <v>2020110010206</v>
      </c>
      <c r="D67" s="43" t="s">
        <v>223</v>
      </c>
      <c r="E67" s="43" t="s">
        <v>236</v>
      </c>
      <c r="F67" s="72" t="s">
        <v>225</v>
      </c>
      <c r="G67" s="55" t="s">
        <v>315</v>
      </c>
      <c r="H67" s="55" t="s">
        <v>316</v>
      </c>
      <c r="I67" s="107" t="s">
        <v>141</v>
      </c>
      <c r="J67" s="39" t="s">
        <v>116</v>
      </c>
      <c r="K67" s="39" t="s">
        <v>43</v>
      </c>
      <c r="L67" s="36" t="s">
        <v>44</v>
      </c>
      <c r="M67" s="37" t="s">
        <v>45</v>
      </c>
      <c r="N67" s="706" t="s">
        <v>63</v>
      </c>
      <c r="O67" s="302" t="s">
        <v>228</v>
      </c>
      <c r="P67" s="303" t="s">
        <v>326</v>
      </c>
      <c r="Q67" s="623" t="s">
        <v>327</v>
      </c>
      <c r="R67" s="623" t="s">
        <v>328</v>
      </c>
      <c r="S67" s="679"/>
      <c r="T67" s="333">
        <v>1200000000</v>
      </c>
      <c r="U67" s="551">
        <v>1200000000</v>
      </c>
      <c r="V67" s="614"/>
      <c r="W67" s="431">
        <v>1200000000</v>
      </c>
      <c r="X67" s="348">
        <f>931520000+38000000</f>
        <v>969520000</v>
      </c>
      <c r="Y67" s="431">
        <f t="shared" si="6"/>
        <v>230480000</v>
      </c>
      <c r="Z67" s="431">
        <f>866020000+58908594</f>
        <v>924928594</v>
      </c>
      <c r="AA67" s="430">
        <f t="shared" si="5"/>
        <v>0.7707738283333333</v>
      </c>
      <c r="AB67" s="431">
        <f>33476667+54220000+72599999+84200000</f>
        <v>244496666</v>
      </c>
      <c r="AC67" s="345" t="s">
        <v>329</v>
      </c>
    </row>
    <row r="68" spans="1:29" s="40" customFormat="1" ht="70.349999999999994" customHeight="1" x14ac:dyDescent="0.25">
      <c r="A68" s="100" t="s">
        <v>221</v>
      </c>
      <c r="B68" s="21" t="s">
        <v>222</v>
      </c>
      <c r="C68" s="103">
        <v>2020110010206</v>
      </c>
      <c r="D68" s="106" t="s">
        <v>223</v>
      </c>
      <c r="E68" s="43" t="s">
        <v>257</v>
      </c>
      <c r="F68" s="72" t="s">
        <v>225</v>
      </c>
      <c r="G68" s="55"/>
      <c r="H68" s="55"/>
      <c r="I68" s="107"/>
      <c r="J68" s="39" t="s">
        <v>116</v>
      </c>
      <c r="K68" s="39" t="s">
        <v>43</v>
      </c>
      <c r="L68" s="36" t="s">
        <v>44</v>
      </c>
      <c r="M68" s="37" t="s">
        <v>45</v>
      </c>
      <c r="N68" s="38" t="s">
        <v>63</v>
      </c>
      <c r="O68" s="39" t="s">
        <v>228</v>
      </c>
      <c r="P68" s="31" t="s">
        <v>260</v>
      </c>
      <c r="Q68" s="549" t="s">
        <v>630</v>
      </c>
      <c r="R68" s="550" t="s">
        <v>631</v>
      </c>
      <c r="S68" s="61"/>
      <c r="T68" s="352"/>
      <c r="U68" s="551"/>
      <c r="V68" s="551">
        <f>480000000+86352000+110000000</f>
        <v>676352000</v>
      </c>
      <c r="W68" s="431">
        <f>+V68</f>
        <v>676352000</v>
      </c>
      <c r="X68" s="431">
        <f>566352000+80000000</f>
        <v>646352000</v>
      </c>
      <c r="Y68" s="437">
        <f t="shared" si="6"/>
        <v>30000000</v>
      </c>
      <c r="Z68" s="431"/>
      <c r="AA68" s="430"/>
      <c r="AB68" s="334"/>
      <c r="AC68" s="345"/>
    </row>
    <row r="69" spans="1:29" s="40" customFormat="1" ht="70.349999999999994" customHeight="1" x14ac:dyDescent="0.25">
      <c r="A69" s="100" t="s">
        <v>221</v>
      </c>
      <c r="B69" s="21" t="s">
        <v>222</v>
      </c>
      <c r="C69" s="103">
        <v>2020110010206</v>
      </c>
      <c r="D69" s="43" t="s">
        <v>223</v>
      </c>
      <c r="E69" s="43" t="s">
        <v>269</v>
      </c>
      <c r="F69" s="72" t="s">
        <v>225</v>
      </c>
      <c r="G69" s="54" t="s">
        <v>53</v>
      </c>
      <c r="H69" s="55" t="s">
        <v>332</v>
      </c>
      <c r="I69" s="102" t="s">
        <v>333</v>
      </c>
      <c r="J69" s="39" t="s">
        <v>116</v>
      </c>
      <c r="K69" s="39" t="s">
        <v>43</v>
      </c>
      <c r="L69" s="36" t="s">
        <v>44</v>
      </c>
      <c r="M69" s="59" t="s">
        <v>131</v>
      </c>
      <c r="N69" s="39" t="s">
        <v>255</v>
      </c>
      <c r="O69" s="39" t="s">
        <v>228</v>
      </c>
      <c r="P69" s="72" t="s">
        <v>334</v>
      </c>
      <c r="Q69" s="567" t="s">
        <v>632</v>
      </c>
      <c r="R69" s="643" t="s">
        <v>633</v>
      </c>
      <c r="S69" s="633"/>
      <c r="T69" s="333">
        <v>540000000</v>
      </c>
      <c r="U69" s="551">
        <v>540000000</v>
      </c>
      <c r="V69" s="614"/>
      <c r="W69" s="708">
        <v>540000000</v>
      </c>
      <c r="X69" s="431">
        <v>301405000</v>
      </c>
      <c r="Y69" s="431">
        <f t="shared" si="6"/>
        <v>238595000</v>
      </c>
      <c r="Z69" s="334"/>
      <c r="AA69" s="430">
        <f t="shared" si="5"/>
        <v>0</v>
      </c>
      <c r="AB69" s="334"/>
      <c r="AC69" s="336" t="s">
        <v>337</v>
      </c>
    </row>
    <row r="70" spans="1:29" s="40" customFormat="1" ht="70.349999999999994" customHeight="1" x14ac:dyDescent="0.25">
      <c r="A70" s="100" t="s">
        <v>221</v>
      </c>
      <c r="B70" s="21" t="s">
        <v>222</v>
      </c>
      <c r="C70" s="103">
        <v>2020110010206</v>
      </c>
      <c r="D70" s="106" t="s">
        <v>223</v>
      </c>
      <c r="E70" s="43" t="s">
        <v>224</v>
      </c>
      <c r="F70" s="72" t="s">
        <v>225</v>
      </c>
      <c r="G70" s="54" t="s">
        <v>53</v>
      </c>
      <c r="H70" s="55" t="s">
        <v>264</v>
      </c>
      <c r="I70" s="102" t="s">
        <v>338</v>
      </c>
      <c r="J70" s="39" t="s">
        <v>116</v>
      </c>
      <c r="K70" s="39" t="s">
        <v>43</v>
      </c>
      <c r="L70" s="36" t="s">
        <v>44</v>
      </c>
      <c r="M70" s="37" t="s">
        <v>45</v>
      </c>
      <c r="N70" s="38" t="s">
        <v>46</v>
      </c>
      <c r="O70" s="39" t="s">
        <v>228</v>
      </c>
      <c r="P70" s="72" t="s">
        <v>339</v>
      </c>
      <c r="Q70" s="644" t="s">
        <v>340</v>
      </c>
      <c r="R70" s="645" t="s">
        <v>341</v>
      </c>
      <c r="S70" s="633"/>
      <c r="T70" s="333">
        <v>206400000</v>
      </c>
      <c r="U70" s="551">
        <v>206400000</v>
      </c>
      <c r="V70" s="614"/>
      <c r="W70" s="431">
        <v>206400000</v>
      </c>
      <c r="X70" s="431">
        <v>206400000</v>
      </c>
      <c r="Y70" s="431">
        <f t="shared" si="6"/>
        <v>0</v>
      </c>
      <c r="Z70" s="334"/>
      <c r="AA70" s="430">
        <f t="shared" si="5"/>
        <v>0</v>
      </c>
      <c r="AB70" s="334"/>
      <c r="AC70" s="334"/>
    </row>
    <row r="71" spans="1:29" s="40" customFormat="1" ht="70.349999999999994" customHeight="1" x14ac:dyDescent="0.25">
      <c r="A71" s="100" t="s">
        <v>221</v>
      </c>
      <c r="B71" s="21" t="s">
        <v>222</v>
      </c>
      <c r="C71" s="103">
        <v>2020110010206</v>
      </c>
      <c r="D71" s="113" t="s">
        <v>342</v>
      </c>
      <c r="E71" s="113" t="s">
        <v>343</v>
      </c>
      <c r="F71" s="332" t="s">
        <v>225</v>
      </c>
      <c r="G71" s="54" t="s">
        <v>68</v>
      </c>
      <c r="H71" s="55" t="s">
        <v>69</v>
      </c>
      <c r="I71" s="102" t="s">
        <v>309</v>
      </c>
      <c r="J71" s="39" t="s">
        <v>43</v>
      </c>
      <c r="K71" s="39" t="s">
        <v>43</v>
      </c>
      <c r="L71" s="36" t="s">
        <v>44</v>
      </c>
      <c r="M71" s="37" t="s">
        <v>45</v>
      </c>
      <c r="N71" s="60" t="s">
        <v>310</v>
      </c>
      <c r="O71" s="39" t="s">
        <v>344</v>
      </c>
      <c r="P71" s="72" t="s">
        <v>345</v>
      </c>
      <c r="Q71" s="646"/>
      <c r="R71" s="646"/>
      <c r="S71" s="646"/>
      <c r="T71" s="333">
        <v>990856000</v>
      </c>
      <c r="U71" s="551">
        <v>990856000</v>
      </c>
      <c r="V71" s="617">
        <v>-690856000</v>
      </c>
      <c r="W71" s="708">
        <f>+U71+V71</f>
        <v>300000000</v>
      </c>
      <c r="X71" s="431">
        <f>508043049-241278049+26480000</f>
        <v>293245000</v>
      </c>
      <c r="Y71" s="431">
        <f t="shared" si="6"/>
        <v>6755000</v>
      </c>
      <c r="Z71" s="431">
        <v>244249000</v>
      </c>
      <c r="AA71" s="430">
        <f t="shared" si="5"/>
        <v>0.81416333333333335</v>
      </c>
      <c r="AB71" s="350">
        <f>62451000+138924000</f>
        <v>201375000</v>
      </c>
      <c r="AC71" s="215" t="s">
        <v>346</v>
      </c>
    </row>
    <row r="72" spans="1:29" s="40" customFormat="1" ht="70.349999999999994" customHeight="1" x14ac:dyDescent="0.25">
      <c r="A72" s="100" t="s">
        <v>221</v>
      </c>
      <c r="B72" s="21" t="s">
        <v>222</v>
      </c>
      <c r="C72" s="103">
        <v>2020110010206</v>
      </c>
      <c r="D72" s="113" t="s">
        <v>342</v>
      </c>
      <c r="E72" s="113" t="s">
        <v>343</v>
      </c>
      <c r="F72" s="332" t="s">
        <v>225</v>
      </c>
      <c r="G72" s="54" t="s">
        <v>68</v>
      </c>
      <c r="H72" s="55" t="s">
        <v>69</v>
      </c>
      <c r="I72" s="102" t="s">
        <v>309</v>
      </c>
      <c r="J72" s="39" t="s">
        <v>43</v>
      </c>
      <c r="K72" s="39" t="s">
        <v>43</v>
      </c>
      <c r="L72" s="36" t="s">
        <v>44</v>
      </c>
      <c r="M72" s="37" t="s">
        <v>45</v>
      </c>
      <c r="N72" s="60" t="s">
        <v>310</v>
      </c>
      <c r="O72" s="39" t="s">
        <v>344</v>
      </c>
      <c r="P72" s="72" t="s">
        <v>592</v>
      </c>
      <c r="Q72" s="646"/>
      <c r="R72" s="646"/>
      <c r="S72" s="646"/>
      <c r="T72" s="333"/>
      <c r="U72" s="551"/>
      <c r="V72" s="617">
        <v>8000000000</v>
      </c>
      <c r="W72" s="708">
        <f>+V72</f>
        <v>8000000000</v>
      </c>
      <c r="X72" s="431">
        <v>6050251719</v>
      </c>
      <c r="Y72" s="431"/>
      <c r="Z72" s="431">
        <v>6050251719</v>
      </c>
      <c r="AA72" s="430"/>
      <c r="AB72" s="350"/>
      <c r="AC72" s="215"/>
    </row>
    <row r="73" spans="1:29" s="40" customFormat="1" ht="93" customHeight="1" x14ac:dyDescent="0.25">
      <c r="A73" s="100" t="s">
        <v>221</v>
      </c>
      <c r="B73" s="21" t="s">
        <v>222</v>
      </c>
      <c r="C73" s="103">
        <v>2020110010206</v>
      </c>
      <c r="D73" s="113" t="s">
        <v>342</v>
      </c>
      <c r="E73" s="113" t="s">
        <v>343</v>
      </c>
      <c r="F73" s="332" t="s">
        <v>225</v>
      </c>
      <c r="G73" s="54" t="s">
        <v>68</v>
      </c>
      <c r="H73" s="55" t="s">
        <v>69</v>
      </c>
      <c r="I73" s="102" t="s">
        <v>309</v>
      </c>
      <c r="J73" s="39" t="s">
        <v>43</v>
      </c>
      <c r="K73" s="39" t="s">
        <v>43</v>
      </c>
      <c r="L73" s="36" t="s">
        <v>44</v>
      </c>
      <c r="M73" s="37" t="s">
        <v>45</v>
      </c>
      <c r="N73" s="60" t="s">
        <v>310</v>
      </c>
      <c r="O73" s="39" t="s">
        <v>344</v>
      </c>
      <c r="P73" s="114" t="s">
        <v>347</v>
      </c>
      <c r="Q73" s="647" t="s">
        <v>634</v>
      </c>
      <c r="R73" s="648" t="s">
        <v>635</v>
      </c>
      <c r="S73" s="649"/>
      <c r="T73" s="333">
        <v>1500000000</v>
      </c>
      <c r="U73" s="551">
        <v>1500000000</v>
      </c>
      <c r="V73" s="614"/>
      <c r="W73" s="708">
        <v>1500000000</v>
      </c>
      <c r="X73" s="437">
        <f>563008205+241278049</f>
        <v>804286254</v>
      </c>
      <c r="Y73" s="431">
        <f t="shared" si="6"/>
        <v>695713746</v>
      </c>
      <c r="Z73" s="431">
        <v>563008205</v>
      </c>
      <c r="AA73" s="430">
        <f t="shared" si="5"/>
        <v>0.37533880333333336</v>
      </c>
      <c r="AB73" s="431">
        <v>225203282</v>
      </c>
      <c r="AC73" s="215" t="s">
        <v>596</v>
      </c>
    </row>
    <row r="74" spans="1:29" s="40" customFormat="1" ht="70.349999999999994" customHeight="1" x14ac:dyDescent="0.25">
      <c r="A74" s="100" t="s">
        <v>221</v>
      </c>
      <c r="B74" s="21" t="s">
        <v>222</v>
      </c>
      <c r="C74" s="103">
        <v>2020110010206</v>
      </c>
      <c r="D74" s="113" t="s">
        <v>342</v>
      </c>
      <c r="E74" s="113" t="s">
        <v>351</v>
      </c>
      <c r="F74" s="72" t="s">
        <v>225</v>
      </c>
      <c r="G74" s="54" t="s">
        <v>60</v>
      </c>
      <c r="H74" s="55" t="s">
        <v>352</v>
      </c>
      <c r="I74" s="102" t="s">
        <v>353</v>
      </c>
      <c r="J74" s="39" t="s">
        <v>43</v>
      </c>
      <c r="K74" s="39" t="s">
        <v>43</v>
      </c>
      <c r="L74" s="36" t="s">
        <v>44</v>
      </c>
      <c r="M74" s="37" t="s">
        <v>45</v>
      </c>
      <c r="N74" s="108" t="s">
        <v>63</v>
      </c>
      <c r="O74" s="39" t="s">
        <v>344</v>
      </c>
      <c r="P74" s="72" t="s">
        <v>354</v>
      </c>
      <c r="Q74" s="567" t="s">
        <v>355</v>
      </c>
      <c r="R74" s="643" t="s">
        <v>356</v>
      </c>
      <c r="S74" s="633"/>
      <c r="T74" s="333">
        <v>1250000000</v>
      </c>
      <c r="U74" s="551">
        <v>1250000000</v>
      </c>
      <c r="V74" s="614"/>
      <c r="W74" s="431">
        <v>1250000000</v>
      </c>
      <c r="X74" s="431">
        <v>1219522528</v>
      </c>
      <c r="Y74" s="732">
        <f t="shared" si="6"/>
        <v>30477472</v>
      </c>
      <c r="Z74" s="431">
        <v>370678608</v>
      </c>
      <c r="AA74" s="430">
        <f t="shared" si="5"/>
        <v>0.29654288639999998</v>
      </c>
      <c r="AB74" s="334"/>
      <c r="AC74" s="301" t="s">
        <v>599</v>
      </c>
    </row>
    <row r="75" spans="1:29" s="40" customFormat="1" ht="70.349999999999994" customHeight="1" x14ac:dyDescent="0.25">
      <c r="A75" s="100" t="s">
        <v>221</v>
      </c>
      <c r="B75" s="21" t="s">
        <v>222</v>
      </c>
      <c r="C75" s="103">
        <v>2020110010206</v>
      </c>
      <c r="D75" s="113" t="s">
        <v>358</v>
      </c>
      <c r="E75" s="113" t="s">
        <v>359</v>
      </c>
      <c r="F75" s="72" t="s">
        <v>225</v>
      </c>
      <c r="G75" s="54" t="s">
        <v>60</v>
      </c>
      <c r="H75" s="55" t="s">
        <v>61</v>
      </c>
      <c r="I75" s="102" t="s">
        <v>141</v>
      </c>
      <c r="J75" s="39" t="s">
        <v>43</v>
      </c>
      <c r="K75" s="39" t="s">
        <v>43</v>
      </c>
      <c r="L75" s="36" t="s">
        <v>44</v>
      </c>
      <c r="M75" s="37" t="s">
        <v>45</v>
      </c>
      <c r="N75" s="38" t="s">
        <v>63</v>
      </c>
      <c r="O75" s="39" t="s">
        <v>344</v>
      </c>
      <c r="P75" s="114" t="s">
        <v>360</v>
      </c>
      <c r="Q75" s="647" t="s">
        <v>361</v>
      </c>
      <c r="R75" s="648" t="s">
        <v>362</v>
      </c>
      <c r="S75" s="649"/>
      <c r="T75" s="333">
        <v>1261170350</v>
      </c>
      <c r="U75" s="704">
        <v>1261170350</v>
      </c>
      <c r="V75" s="614"/>
      <c r="W75" s="431">
        <f>+U75</f>
        <v>1261170350</v>
      </c>
      <c r="X75" s="431">
        <v>1256227574</v>
      </c>
      <c r="Y75" s="431">
        <f t="shared" si="6"/>
        <v>4942776</v>
      </c>
      <c r="Z75" s="460">
        <f>57000000+909355910+221545664+68326000</f>
        <v>1256227574</v>
      </c>
      <c r="AA75" s="464">
        <f t="shared" si="5"/>
        <v>0.99608080224848294</v>
      </c>
      <c r="AB75" s="460">
        <f>24180000+77460675+135769784+143735889+144654355</f>
        <v>525800703</v>
      </c>
      <c r="AC75" s="432" t="s">
        <v>364</v>
      </c>
    </row>
    <row r="76" spans="1:29" s="40" customFormat="1" ht="70.349999999999994" customHeight="1" x14ac:dyDescent="0.25">
      <c r="A76" s="100" t="s">
        <v>221</v>
      </c>
      <c r="B76" s="21" t="s">
        <v>222</v>
      </c>
      <c r="C76" s="103">
        <v>2020110010206</v>
      </c>
      <c r="D76" s="113" t="s">
        <v>342</v>
      </c>
      <c r="E76" s="113" t="s">
        <v>351</v>
      </c>
      <c r="F76" s="72" t="s">
        <v>225</v>
      </c>
      <c r="G76" s="55" t="s">
        <v>40</v>
      </c>
      <c r="H76" s="55" t="s">
        <v>365</v>
      </c>
      <c r="I76" s="102" t="s">
        <v>227</v>
      </c>
      <c r="J76" s="39" t="s">
        <v>43</v>
      </c>
      <c r="K76" s="39" t="s">
        <v>43</v>
      </c>
      <c r="L76" s="39" t="s">
        <v>149</v>
      </c>
      <c r="M76" s="39" t="s">
        <v>150</v>
      </c>
      <c r="N76" s="72" t="s">
        <v>251</v>
      </c>
      <c r="O76" s="39" t="s">
        <v>344</v>
      </c>
      <c r="P76" s="72" t="s">
        <v>366</v>
      </c>
      <c r="Q76" s="618" t="s">
        <v>97</v>
      </c>
      <c r="R76" s="618" t="s">
        <v>97</v>
      </c>
      <c r="S76" s="100"/>
      <c r="T76" s="333">
        <v>3000000</v>
      </c>
      <c r="U76" s="651">
        <v>3000000</v>
      </c>
      <c r="V76" s="614"/>
      <c r="W76" s="708">
        <v>3000000</v>
      </c>
      <c r="X76" s="431">
        <v>2000000</v>
      </c>
      <c r="Y76" s="431">
        <f t="shared" si="6"/>
        <v>1000000</v>
      </c>
      <c r="Z76" s="460">
        <f>196142-35446</f>
        <v>160696</v>
      </c>
      <c r="AA76" s="430">
        <f>+Z76/W76</f>
        <v>5.3565333333333333E-2</v>
      </c>
      <c r="AB76" s="460">
        <f>108350+16900+70892-35446</f>
        <v>160696</v>
      </c>
      <c r="AC76" s="432" t="s">
        <v>367</v>
      </c>
    </row>
    <row r="77" spans="1:29" s="40" customFormat="1" ht="70.349999999999994" customHeight="1" x14ac:dyDescent="0.25">
      <c r="A77" s="100" t="s">
        <v>221</v>
      </c>
      <c r="B77" s="21" t="s">
        <v>222</v>
      </c>
      <c r="C77" s="103">
        <v>2020110010206</v>
      </c>
      <c r="D77" s="113" t="s">
        <v>342</v>
      </c>
      <c r="E77" s="113" t="s">
        <v>351</v>
      </c>
      <c r="F77" s="72" t="s">
        <v>225</v>
      </c>
      <c r="G77" s="54" t="s">
        <v>68</v>
      </c>
      <c r="H77" s="55" t="s">
        <v>69</v>
      </c>
      <c r="I77" s="107" t="s">
        <v>309</v>
      </c>
      <c r="J77" s="39" t="s">
        <v>43</v>
      </c>
      <c r="K77" s="39" t="s">
        <v>43</v>
      </c>
      <c r="L77" s="36" t="s">
        <v>44</v>
      </c>
      <c r="M77" s="37" t="s">
        <v>45</v>
      </c>
      <c r="N77" s="60" t="s">
        <v>310</v>
      </c>
      <c r="O77" s="39" t="s">
        <v>344</v>
      </c>
      <c r="P77" s="710" t="s">
        <v>368</v>
      </c>
      <c r="Q77" s="640" t="s">
        <v>369</v>
      </c>
      <c r="R77" s="654" t="s">
        <v>370</v>
      </c>
      <c r="S77" s="633"/>
      <c r="T77" s="333">
        <v>1911553000</v>
      </c>
      <c r="U77" s="551">
        <v>1911553000</v>
      </c>
      <c r="V77" s="733">
        <v>-972291880</v>
      </c>
      <c r="W77" s="708">
        <f>+U77+V77</f>
        <v>939261120</v>
      </c>
      <c r="X77" s="431">
        <v>29527095</v>
      </c>
      <c r="Y77" s="431">
        <f t="shared" si="6"/>
        <v>909734025</v>
      </c>
      <c r="Z77" s="334"/>
      <c r="AA77" s="430">
        <f t="shared" si="5"/>
        <v>0</v>
      </c>
      <c r="AB77" s="334"/>
      <c r="AC77" s="334"/>
    </row>
    <row r="78" spans="1:29" s="40" customFormat="1" ht="70.349999999999994" customHeight="1" x14ac:dyDescent="0.25">
      <c r="A78" s="100" t="s">
        <v>221</v>
      </c>
      <c r="B78" s="21" t="s">
        <v>222</v>
      </c>
      <c r="C78" s="103">
        <v>2020110010206</v>
      </c>
      <c r="D78" s="113" t="s">
        <v>342</v>
      </c>
      <c r="E78" s="113" t="s">
        <v>351</v>
      </c>
      <c r="F78" s="72" t="s">
        <v>225</v>
      </c>
      <c r="G78" s="39" t="s">
        <v>43</v>
      </c>
      <c r="H78" s="36" t="s">
        <v>44</v>
      </c>
      <c r="I78" s="37" t="s">
        <v>45</v>
      </c>
      <c r="J78" s="108" t="s">
        <v>63</v>
      </c>
      <c r="K78" s="39" t="s">
        <v>344</v>
      </c>
      <c r="L78" s="36" t="s">
        <v>44</v>
      </c>
      <c r="M78" s="37" t="s">
        <v>45</v>
      </c>
      <c r="N78" s="108" t="s">
        <v>63</v>
      </c>
      <c r="O78" s="39" t="s">
        <v>344</v>
      </c>
      <c r="P78" s="710" t="s">
        <v>602</v>
      </c>
      <c r="Q78" s="649"/>
      <c r="R78" s="734"/>
      <c r="S78" s="633"/>
      <c r="T78" s="333"/>
      <c r="U78" s="551"/>
      <c r="V78" s="733">
        <v>972291880</v>
      </c>
      <c r="W78" s="708">
        <f>+V78</f>
        <v>972291880</v>
      </c>
      <c r="X78" s="431">
        <v>972291880</v>
      </c>
      <c r="Y78" s="431"/>
      <c r="Z78" s="334"/>
      <c r="AA78" s="430"/>
      <c r="AB78" s="334"/>
      <c r="AC78" s="334"/>
    </row>
    <row r="79" spans="1:29" s="40" customFormat="1" ht="70.349999999999994" customHeight="1" x14ac:dyDescent="0.25">
      <c r="A79" s="100" t="s">
        <v>221</v>
      </c>
      <c r="B79" s="21" t="s">
        <v>222</v>
      </c>
      <c r="C79" s="103">
        <v>2020110010206</v>
      </c>
      <c r="D79" s="113" t="s">
        <v>342</v>
      </c>
      <c r="E79" s="113" t="s">
        <v>351</v>
      </c>
      <c r="F79" s="72" t="s">
        <v>225</v>
      </c>
      <c r="G79" s="54" t="s">
        <v>60</v>
      </c>
      <c r="H79" s="55" t="s">
        <v>61</v>
      </c>
      <c r="I79" s="102" t="s">
        <v>141</v>
      </c>
      <c r="J79" s="39" t="s">
        <v>43</v>
      </c>
      <c r="K79" s="39" t="s">
        <v>43</v>
      </c>
      <c r="L79" s="36" t="s">
        <v>44</v>
      </c>
      <c r="M79" s="37" t="s">
        <v>45</v>
      </c>
      <c r="N79" s="108" t="s">
        <v>63</v>
      </c>
      <c r="O79" s="39" t="s">
        <v>344</v>
      </c>
      <c r="P79" s="114" t="s">
        <v>360</v>
      </c>
      <c r="Q79" s="647" t="s">
        <v>636</v>
      </c>
      <c r="R79" s="648" t="s">
        <v>637</v>
      </c>
      <c r="S79" s="649"/>
      <c r="T79" s="333">
        <v>1120174650</v>
      </c>
      <c r="U79" s="333">
        <v>1120174650</v>
      </c>
      <c r="V79" s="350">
        <v>690856000</v>
      </c>
      <c r="W79" s="333">
        <f>+U79+V79</f>
        <v>1811030650</v>
      </c>
      <c r="X79" s="431">
        <v>1477954766</v>
      </c>
      <c r="Y79" s="431">
        <f>+W79-X79</f>
        <v>333075884</v>
      </c>
      <c r="Z79" s="431">
        <v>1268503610</v>
      </c>
      <c r="AA79" s="464">
        <f>+Z79/W79</f>
        <v>0.70043188391096534</v>
      </c>
      <c r="AB79" s="431">
        <f>12988491+90417581+135288838</f>
        <v>238694910</v>
      </c>
      <c r="AC79" s="336" t="s">
        <v>373</v>
      </c>
    </row>
    <row r="80" spans="1:29" s="40" customFormat="1" ht="70.349999999999994" customHeight="1" x14ac:dyDescent="0.25">
      <c r="A80" s="100" t="s">
        <v>221</v>
      </c>
      <c r="B80" s="21" t="s">
        <v>222</v>
      </c>
      <c r="C80" s="103">
        <v>2020110010206</v>
      </c>
      <c r="D80" s="113" t="s">
        <v>358</v>
      </c>
      <c r="E80" s="113" t="s">
        <v>374</v>
      </c>
      <c r="F80" s="72" t="s">
        <v>225</v>
      </c>
      <c r="G80" s="54" t="s">
        <v>68</v>
      </c>
      <c r="H80" s="55" t="s">
        <v>69</v>
      </c>
      <c r="I80" s="102" t="s">
        <v>309</v>
      </c>
      <c r="J80" s="39" t="s">
        <v>43</v>
      </c>
      <c r="K80" s="39" t="s">
        <v>43</v>
      </c>
      <c r="L80" s="36" t="s">
        <v>44</v>
      </c>
      <c r="M80" s="37" t="s">
        <v>45</v>
      </c>
      <c r="N80" s="60" t="s">
        <v>310</v>
      </c>
      <c r="O80" s="39" t="s">
        <v>344</v>
      </c>
      <c r="P80" s="141" t="s">
        <v>375</v>
      </c>
      <c r="Q80" s="656" t="s">
        <v>638</v>
      </c>
      <c r="R80" s="657" t="s">
        <v>377</v>
      </c>
      <c r="S80" s="658"/>
      <c r="T80" s="333">
        <v>450000000</v>
      </c>
      <c r="U80" s="551">
        <v>450000000</v>
      </c>
      <c r="V80" s="614"/>
      <c r="W80" s="708">
        <v>450000000</v>
      </c>
      <c r="X80" s="431">
        <v>216353468</v>
      </c>
      <c r="Y80" s="431">
        <f t="shared" si="6"/>
        <v>233646532</v>
      </c>
      <c r="Z80" s="431">
        <v>16353468</v>
      </c>
      <c r="AA80" s="430">
        <f t="shared" si="5"/>
        <v>3.6341039999999998E-2</v>
      </c>
      <c r="AB80" s="334"/>
      <c r="AC80" s="334"/>
    </row>
    <row r="81" spans="1:45" s="40" customFormat="1" ht="70.349999999999994" customHeight="1" x14ac:dyDescent="0.25">
      <c r="A81" s="100" t="s">
        <v>221</v>
      </c>
      <c r="B81" s="21" t="s">
        <v>222</v>
      </c>
      <c r="C81" s="103">
        <v>2020110010206</v>
      </c>
      <c r="D81" s="113" t="s">
        <v>378</v>
      </c>
      <c r="E81" s="140" t="s">
        <v>379</v>
      </c>
      <c r="F81" s="72" t="s">
        <v>225</v>
      </c>
      <c r="G81" s="54" t="s">
        <v>68</v>
      </c>
      <c r="H81" s="55" t="s">
        <v>69</v>
      </c>
      <c r="I81" s="102" t="s">
        <v>309</v>
      </c>
      <c r="J81" s="39" t="s">
        <v>43</v>
      </c>
      <c r="K81" s="39" t="s">
        <v>43</v>
      </c>
      <c r="L81" s="36" t="s">
        <v>44</v>
      </c>
      <c r="M81" s="37" t="s">
        <v>45</v>
      </c>
      <c r="N81" s="60" t="s">
        <v>310</v>
      </c>
      <c r="O81" s="39" t="s">
        <v>344</v>
      </c>
      <c r="P81" s="39" t="s">
        <v>380</v>
      </c>
      <c r="Q81" s="644" t="s">
        <v>381</v>
      </c>
      <c r="R81" s="645" t="s">
        <v>382</v>
      </c>
      <c r="S81" s="646"/>
      <c r="T81" s="333">
        <v>300000000</v>
      </c>
      <c r="U81" s="551">
        <v>300000000</v>
      </c>
      <c r="V81" s="614"/>
      <c r="W81" s="708">
        <v>300000000</v>
      </c>
      <c r="X81" s="431"/>
      <c r="Y81" s="431">
        <f t="shared" si="6"/>
        <v>300000000</v>
      </c>
      <c r="Z81" s="334"/>
      <c r="AA81" s="430">
        <f t="shared" si="5"/>
        <v>0</v>
      </c>
      <c r="AB81" s="334"/>
      <c r="AC81" s="334"/>
    </row>
    <row r="82" spans="1:45" s="731" customFormat="1" ht="70.349999999999994" customHeight="1" x14ac:dyDescent="0.25">
      <c r="A82" s="711" t="s">
        <v>221</v>
      </c>
      <c r="B82" s="712" t="s">
        <v>222</v>
      </c>
      <c r="C82" s="713">
        <v>2020110010206</v>
      </c>
      <c r="D82" s="714" t="s">
        <v>342</v>
      </c>
      <c r="E82" s="714" t="s">
        <v>351</v>
      </c>
      <c r="F82" s="715" t="s">
        <v>225</v>
      </c>
      <c r="G82" s="716" t="s">
        <v>68</v>
      </c>
      <c r="H82" s="717" t="s">
        <v>69</v>
      </c>
      <c r="I82" s="718" t="s">
        <v>309</v>
      </c>
      <c r="J82" s="717" t="s">
        <v>43</v>
      </c>
      <c r="K82" s="717" t="s">
        <v>43</v>
      </c>
      <c r="L82" s="717" t="s">
        <v>44</v>
      </c>
      <c r="M82" s="719" t="s">
        <v>45</v>
      </c>
      <c r="N82" s="720" t="s">
        <v>310</v>
      </c>
      <c r="O82" s="717" t="s">
        <v>344</v>
      </c>
      <c r="P82" s="721" t="s">
        <v>383</v>
      </c>
      <c r="Q82" s="722" t="s">
        <v>384</v>
      </c>
      <c r="R82" s="723" t="s">
        <v>385</v>
      </c>
      <c r="S82" s="724"/>
      <c r="T82" s="725">
        <v>8000000000</v>
      </c>
      <c r="U82" s="726">
        <v>8000000000</v>
      </c>
      <c r="V82" s="727">
        <v>-8000000000</v>
      </c>
      <c r="W82" s="728">
        <f>+U82+V82</f>
        <v>0</v>
      </c>
      <c r="X82" s="728"/>
      <c r="Y82" s="728">
        <f t="shared" si="6"/>
        <v>0</v>
      </c>
      <c r="Z82" s="729"/>
      <c r="AA82" s="730" t="e">
        <f t="shared" si="5"/>
        <v>#DIV/0!</v>
      </c>
      <c r="AB82" s="729"/>
      <c r="AC82" s="729"/>
    </row>
    <row r="83" spans="1:45" s="40" customFormat="1" ht="70.349999999999994" customHeight="1" x14ac:dyDescent="0.25">
      <c r="A83" s="100" t="s">
        <v>221</v>
      </c>
      <c r="B83" s="21" t="s">
        <v>222</v>
      </c>
      <c r="C83" s="103">
        <v>2020110010206</v>
      </c>
      <c r="D83" s="113" t="s">
        <v>342</v>
      </c>
      <c r="E83" s="113" t="s">
        <v>351</v>
      </c>
      <c r="F83" s="72" t="s">
        <v>225</v>
      </c>
      <c r="G83" s="54" t="s">
        <v>60</v>
      </c>
      <c r="H83" s="55" t="s">
        <v>352</v>
      </c>
      <c r="I83" s="102" t="s">
        <v>353</v>
      </c>
      <c r="J83" s="32" t="s">
        <v>86</v>
      </c>
      <c r="K83" s="32" t="s">
        <v>386</v>
      </c>
      <c r="L83" s="36" t="s">
        <v>44</v>
      </c>
      <c r="M83" s="37" t="s">
        <v>45</v>
      </c>
      <c r="N83" s="108" t="s">
        <v>63</v>
      </c>
      <c r="O83" s="39" t="s">
        <v>344</v>
      </c>
      <c r="P83" s="114" t="s">
        <v>387</v>
      </c>
      <c r="Q83" s="659" t="s">
        <v>388</v>
      </c>
      <c r="R83" s="660" t="s">
        <v>304</v>
      </c>
      <c r="S83" s="649"/>
      <c r="T83" s="355">
        <v>459795000</v>
      </c>
      <c r="U83" s="551">
        <v>459795000</v>
      </c>
      <c r="V83" s="614"/>
      <c r="W83" s="709">
        <v>459795000</v>
      </c>
      <c r="X83" s="431">
        <v>200000000</v>
      </c>
      <c r="Y83" s="431">
        <f t="shared" si="6"/>
        <v>259795000</v>
      </c>
      <c r="Z83" s="334"/>
      <c r="AA83" s="430">
        <f t="shared" si="5"/>
        <v>0</v>
      </c>
      <c r="AB83" s="334"/>
      <c r="AC83" s="334"/>
    </row>
    <row r="84" spans="1:45" s="40" customFormat="1" ht="245.25" customHeight="1" x14ac:dyDescent="0.25">
      <c r="A84" s="100" t="s">
        <v>221</v>
      </c>
      <c r="B84" s="21" t="s">
        <v>222</v>
      </c>
      <c r="C84" s="103">
        <v>2020110010206</v>
      </c>
      <c r="D84" s="100" t="s">
        <v>389</v>
      </c>
      <c r="E84" s="43" t="s">
        <v>390</v>
      </c>
      <c r="F84" s="72" t="s">
        <v>225</v>
      </c>
      <c r="G84" s="54" t="s">
        <v>60</v>
      </c>
      <c r="H84" s="55" t="s">
        <v>61</v>
      </c>
      <c r="I84" s="102" t="s">
        <v>141</v>
      </c>
      <c r="J84" s="39" t="s">
        <v>116</v>
      </c>
      <c r="K84" s="39" t="s">
        <v>43</v>
      </c>
      <c r="L84" s="36" t="s">
        <v>44</v>
      </c>
      <c r="M84" s="37" t="s">
        <v>45</v>
      </c>
      <c r="N84" s="38" t="s">
        <v>63</v>
      </c>
      <c r="O84" s="39" t="s">
        <v>391</v>
      </c>
      <c r="P84" s="100" t="s">
        <v>392</v>
      </c>
      <c r="Q84" s="624" t="s">
        <v>639</v>
      </c>
      <c r="R84" s="625" t="s">
        <v>640</v>
      </c>
      <c r="S84" s="100"/>
      <c r="T84" s="333">
        <v>3810540000</v>
      </c>
      <c r="U84" s="551">
        <v>3810540000</v>
      </c>
      <c r="V84" s="551">
        <f>1028930701-150000000</f>
        <v>878930701</v>
      </c>
      <c r="W84" s="431">
        <f>+U84+V84</f>
        <v>4689470701</v>
      </c>
      <c r="X84" s="431">
        <v>3208523850</v>
      </c>
      <c r="Y84" s="431">
        <f t="shared" si="6"/>
        <v>1480946851</v>
      </c>
      <c r="Z84" s="431">
        <v>2960643350</v>
      </c>
      <c r="AA84" s="430">
        <f t="shared" si="5"/>
        <v>0.63133848972948303</v>
      </c>
      <c r="AB84" s="431">
        <f>54291606+195164568+234156729+304060967</f>
        <v>787673870</v>
      </c>
      <c r="AC84" s="432" t="s">
        <v>395</v>
      </c>
    </row>
    <row r="85" spans="1:45" s="40" customFormat="1" ht="70.349999999999994" customHeight="1" x14ac:dyDescent="0.25">
      <c r="A85" s="100" t="s">
        <v>221</v>
      </c>
      <c r="B85" s="21" t="s">
        <v>222</v>
      </c>
      <c r="C85" s="103">
        <v>2020110010206</v>
      </c>
      <c r="D85" s="100" t="s">
        <v>396</v>
      </c>
      <c r="E85" s="43" t="s">
        <v>397</v>
      </c>
      <c r="F85" s="72" t="s">
        <v>225</v>
      </c>
      <c r="G85" s="54" t="s">
        <v>60</v>
      </c>
      <c r="H85" s="55" t="s">
        <v>61</v>
      </c>
      <c r="I85" s="102" t="s">
        <v>141</v>
      </c>
      <c r="J85" s="39" t="s">
        <v>116</v>
      </c>
      <c r="K85" s="39" t="s">
        <v>43</v>
      </c>
      <c r="L85" s="36" t="s">
        <v>44</v>
      </c>
      <c r="M85" s="37" t="s">
        <v>45</v>
      </c>
      <c r="N85" s="38" t="s">
        <v>63</v>
      </c>
      <c r="O85" s="39" t="s">
        <v>391</v>
      </c>
      <c r="P85" s="100" t="s">
        <v>398</v>
      </c>
      <c r="Q85" s="624" t="s">
        <v>399</v>
      </c>
      <c r="R85" s="625" t="s">
        <v>400</v>
      </c>
      <c r="S85" s="100"/>
      <c r="T85" s="333">
        <v>294780000</v>
      </c>
      <c r="U85" s="350">
        <v>294780000</v>
      </c>
      <c r="V85" s="614"/>
      <c r="W85" s="431">
        <v>294780000</v>
      </c>
      <c r="X85" s="431">
        <v>251940000</v>
      </c>
      <c r="Y85" s="431">
        <f>+U85-X85</f>
        <v>42840000</v>
      </c>
      <c r="Z85" s="431">
        <f>28050000+167280000+22950000</f>
        <v>218280000</v>
      </c>
      <c r="AA85" s="430">
        <f t="shared" si="5"/>
        <v>0.74048442906574397</v>
      </c>
      <c r="AB85" s="431">
        <f>16685000+29688000</f>
        <v>46373000</v>
      </c>
      <c r="AC85" s="336" t="s">
        <v>401</v>
      </c>
    </row>
    <row r="86" spans="1:45" s="40" customFormat="1" ht="70.349999999999994" customHeight="1" x14ac:dyDescent="0.25">
      <c r="A86" s="100" t="s">
        <v>221</v>
      </c>
      <c r="B86" s="21" t="s">
        <v>222</v>
      </c>
      <c r="C86" s="103">
        <v>2020110010206</v>
      </c>
      <c r="D86" s="21" t="s">
        <v>342</v>
      </c>
      <c r="E86" s="113" t="s">
        <v>351</v>
      </c>
      <c r="F86" s="72" t="s">
        <v>225</v>
      </c>
      <c r="G86" s="54" t="s">
        <v>60</v>
      </c>
      <c r="H86" s="55" t="s">
        <v>352</v>
      </c>
      <c r="I86" s="102" t="s">
        <v>353</v>
      </c>
      <c r="J86" s="60" t="s">
        <v>83</v>
      </c>
      <c r="K86" s="60" t="s">
        <v>84</v>
      </c>
      <c r="L86" s="36" t="s">
        <v>44</v>
      </c>
      <c r="M86" s="37" t="s">
        <v>45</v>
      </c>
      <c r="N86" s="108" t="s">
        <v>63</v>
      </c>
      <c r="O86" s="39" t="s">
        <v>344</v>
      </c>
      <c r="P86" s="100" t="s">
        <v>402</v>
      </c>
      <c r="Q86" s="567" t="s">
        <v>403</v>
      </c>
      <c r="R86" s="643" t="s">
        <v>404</v>
      </c>
      <c r="S86" s="100"/>
      <c r="T86" s="355">
        <v>190160000</v>
      </c>
      <c r="U86" s="551">
        <v>190160000</v>
      </c>
      <c r="V86" s="614"/>
      <c r="W86" s="708">
        <v>190160000</v>
      </c>
      <c r="X86" s="431">
        <v>120000000</v>
      </c>
      <c r="Y86" s="431">
        <f t="shared" ref="Y86:Y101" si="7">+W86-X86</f>
        <v>70160000</v>
      </c>
      <c r="Z86" s="431">
        <f>7871182+4674716+2810644</f>
        <v>15356542</v>
      </c>
      <c r="AA86" s="430">
        <f t="shared" si="5"/>
        <v>8.0755900294488855E-2</v>
      </c>
      <c r="AB86" s="334"/>
      <c r="AC86" s="334"/>
    </row>
    <row r="87" spans="1:45" s="40" customFormat="1" ht="70.349999999999994" customHeight="1" x14ac:dyDescent="0.25">
      <c r="A87" s="100" t="s">
        <v>221</v>
      </c>
      <c r="B87" s="21" t="s">
        <v>222</v>
      </c>
      <c r="C87" s="103">
        <v>2020110010206</v>
      </c>
      <c r="D87" s="21" t="s">
        <v>342</v>
      </c>
      <c r="E87" s="113" t="s">
        <v>351</v>
      </c>
      <c r="F87" s="72" t="s">
        <v>225</v>
      </c>
      <c r="G87" s="54"/>
      <c r="H87" s="55"/>
      <c r="I87" s="102"/>
      <c r="J87" s="39" t="s">
        <v>116</v>
      </c>
      <c r="K87" s="39" t="s">
        <v>43</v>
      </c>
      <c r="L87" s="36" t="s">
        <v>44</v>
      </c>
      <c r="M87" s="37" t="s">
        <v>45</v>
      </c>
      <c r="N87" s="38" t="s">
        <v>46</v>
      </c>
      <c r="O87" s="39" t="s">
        <v>344</v>
      </c>
      <c r="P87" s="100" t="s">
        <v>405</v>
      </c>
      <c r="Q87" s="567"/>
      <c r="R87" s="643"/>
      <c r="S87" s="100"/>
      <c r="T87" s="355"/>
      <c r="V87" s="551">
        <v>2000000000</v>
      </c>
      <c r="W87" s="431">
        <f>+V87</f>
        <v>2000000000</v>
      </c>
      <c r="X87" s="431">
        <v>2000000000</v>
      </c>
      <c r="Y87" s="431"/>
      <c r="Z87" s="334"/>
      <c r="AA87" s="430"/>
      <c r="AB87" s="334"/>
      <c r="AC87" s="334"/>
    </row>
    <row r="88" spans="1:45" s="40" customFormat="1" ht="70.349999999999994" customHeight="1" x14ac:dyDescent="0.25">
      <c r="A88" s="100" t="s">
        <v>221</v>
      </c>
      <c r="B88" s="21" t="s">
        <v>222</v>
      </c>
      <c r="C88" s="103">
        <v>2020110010206</v>
      </c>
      <c r="D88" s="21" t="s">
        <v>342</v>
      </c>
      <c r="E88" s="113" t="s">
        <v>351</v>
      </c>
      <c r="F88" s="72" t="s">
        <v>225</v>
      </c>
      <c r="G88" s="54" t="s">
        <v>60</v>
      </c>
      <c r="H88" s="55" t="s">
        <v>352</v>
      </c>
      <c r="I88" s="102" t="s">
        <v>353</v>
      </c>
      <c r="J88" s="43" t="s">
        <v>76</v>
      </c>
      <c r="K88" s="44" t="s">
        <v>77</v>
      </c>
      <c r="L88" s="36" t="s">
        <v>44</v>
      </c>
      <c r="M88" s="37" t="s">
        <v>45</v>
      </c>
      <c r="N88" s="108" t="s">
        <v>63</v>
      </c>
      <c r="O88" s="39" t="s">
        <v>344</v>
      </c>
      <c r="P88" s="100" t="s">
        <v>402</v>
      </c>
      <c r="Q88" s="100"/>
      <c r="R88" s="100"/>
      <c r="S88" s="100"/>
      <c r="T88" s="355">
        <v>131579000</v>
      </c>
      <c r="U88" s="551">
        <v>131579000</v>
      </c>
      <c r="V88" s="614"/>
      <c r="W88" s="708">
        <v>131579000</v>
      </c>
      <c r="Y88" s="431">
        <f t="shared" si="7"/>
        <v>131579000</v>
      </c>
      <c r="Z88" s="334"/>
      <c r="AA88" s="430">
        <f t="shared" si="5"/>
        <v>0</v>
      </c>
      <c r="AB88" s="334"/>
      <c r="AC88" s="334"/>
    </row>
    <row r="89" spans="1:45" s="40" customFormat="1" ht="70.349999999999994" customHeight="1" x14ac:dyDescent="0.25">
      <c r="A89" s="100" t="s">
        <v>221</v>
      </c>
      <c r="B89" s="21" t="s">
        <v>222</v>
      </c>
      <c r="C89" s="103">
        <v>2020110010206</v>
      </c>
      <c r="D89" s="21" t="s">
        <v>342</v>
      </c>
      <c r="E89" s="113" t="s">
        <v>351</v>
      </c>
      <c r="F89" s="72" t="s">
        <v>225</v>
      </c>
      <c r="G89" s="54" t="s">
        <v>60</v>
      </c>
      <c r="H89" s="55" t="s">
        <v>352</v>
      </c>
      <c r="I89" s="102" t="s">
        <v>353</v>
      </c>
      <c r="J89" s="139" t="s">
        <v>406</v>
      </c>
      <c r="K89" s="60" t="s">
        <v>407</v>
      </c>
      <c r="L89" s="36" t="s">
        <v>44</v>
      </c>
      <c r="M89" s="37" t="s">
        <v>45</v>
      </c>
      <c r="N89" s="108" t="s">
        <v>63</v>
      </c>
      <c r="O89" s="39" t="s">
        <v>344</v>
      </c>
      <c r="P89" s="100" t="s">
        <v>402</v>
      </c>
      <c r="Q89" s="567" t="s">
        <v>408</v>
      </c>
      <c r="R89" s="661" t="s">
        <v>409</v>
      </c>
      <c r="S89" s="100"/>
      <c r="T89" s="355">
        <v>2641000000</v>
      </c>
      <c r="U89" s="551">
        <v>2641000000</v>
      </c>
      <c r="V89" s="614"/>
      <c r="W89" s="708">
        <v>2641000000</v>
      </c>
      <c r="X89" s="431">
        <v>998581220</v>
      </c>
      <c r="Y89" s="431">
        <f>+W89-X90</f>
        <v>2641000000</v>
      </c>
      <c r="Z89" s="431">
        <v>30801758</v>
      </c>
      <c r="AA89" s="430">
        <f t="shared" si="5"/>
        <v>1.1662914804998106E-2</v>
      </c>
      <c r="AB89" s="334"/>
      <c r="AC89" s="334"/>
    </row>
    <row r="90" spans="1:45" s="40" customFormat="1" ht="70.349999999999994" customHeight="1" x14ac:dyDescent="0.25">
      <c r="A90" s="100" t="s">
        <v>221</v>
      </c>
      <c r="B90" s="21" t="s">
        <v>222</v>
      </c>
      <c r="C90" s="103">
        <v>2020110010206</v>
      </c>
      <c r="D90" s="100" t="s">
        <v>389</v>
      </c>
      <c r="E90" s="100" t="s">
        <v>410</v>
      </c>
      <c r="F90" s="72" t="s">
        <v>225</v>
      </c>
      <c r="G90" s="54" t="s">
        <v>68</v>
      </c>
      <c r="H90" s="104" t="s">
        <v>411</v>
      </c>
      <c r="I90" s="102" t="s">
        <v>412</v>
      </c>
      <c r="J90" s="32" t="s">
        <v>86</v>
      </c>
      <c r="K90" s="32" t="s">
        <v>386</v>
      </c>
      <c r="L90" s="36" t="s">
        <v>44</v>
      </c>
      <c r="M90" s="59" t="s">
        <v>131</v>
      </c>
      <c r="N90" s="60" t="s">
        <v>413</v>
      </c>
      <c r="O90" s="39" t="s">
        <v>391</v>
      </c>
      <c r="P90" s="100" t="s">
        <v>414</v>
      </c>
      <c r="Q90" s="618" t="s">
        <v>97</v>
      </c>
      <c r="R90" s="618" t="s">
        <v>97</v>
      </c>
      <c r="S90" s="100"/>
      <c r="T90" s="333">
        <v>17836621000</v>
      </c>
      <c r="U90" s="707">
        <v>17836621000</v>
      </c>
      <c r="V90" s="614"/>
      <c r="W90" s="709">
        <v>17836621000</v>
      </c>
      <c r="X90" s="431"/>
      <c r="Y90" s="431">
        <f t="shared" si="7"/>
        <v>17836621000</v>
      </c>
      <c r="Z90" s="334"/>
      <c r="AA90" s="430">
        <f t="shared" si="5"/>
        <v>0</v>
      </c>
      <c r="AB90" s="334"/>
      <c r="AC90" s="334"/>
    </row>
    <row r="91" spans="1:45" s="40" customFormat="1" ht="70.349999999999994" customHeight="1" x14ac:dyDescent="0.25">
      <c r="A91" s="100" t="s">
        <v>221</v>
      </c>
      <c r="B91" s="21" t="s">
        <v>222</v>
      </c>
      <c r="C91" s="103">
        <v>2020110010206</v>
      </c>
      <c r="D91" s="100" t="s">
        <v>389</v>
      </c>
      <c r="E91" s="100" t="s">
        <v>410</v>
      </c>
      <c r="F91" s="72" t="s">
        <v>225</v>
      </c>
      <c r="G91" s="54" t="s">
        <v>53</v>
      </c>
      <c r="H91" s="55" t="s">
        <v>155</v>
      </c>
      <c r="I91" s="102" t="s">
        <v>415</v>
      </c>
      <c r="J91" s="78" t="s">
        <v>86</v>
      </c>
      <c r="K91" s="78" t="s">
        <v>386</v>
      </c>
      <c r="L91" s="36" t="s">
        <v>44</v>
      </c>
      <c r="M91" s="60" t="s">
        <v>131</v>
      </c>
      <c r="N91" s="39" t="s">
        <v>416</v>
      </c>
      <c r="O91" s="39" t="s">
        <v>391</v>
      </c>
      <c r="P91" s="100" t="s">
        <v>417</v>
      </c>
      <c r="Q91" s="618" t="s">
        <v>97</v>
      </c>
      <c r="R91" s="618" t="s">
        <v>97</v>
      </c>
      <c r="S91" s="100"/>
      <c r="T91" s="333">
        <v>4000000000</v>
      </c>
      <c r="U91" s="707">
        <v>4000000000</v>
      </c>
      <c r="V91" s="614"/>
      <c r="W91" s="709">
        <v>4000000000</v>
      </c>
      <c r="X91" s="431"/>
      <c r="Y91" s="431">
        <f t="shared" si="7"/>
        <v>4000000000</v>
      </c>
      <c r="Z91" s="334"/>
      <c r="AA91" s="430">
        <f t="shared" si="5"/>
        <v>0</v>
      </c>
      <c r="AB91" s="334"/>
      <c r="AC91" s="334"/>
    </row>
    <row r="92" spans="1:45" s="40" customFormat="1" ht="70.349999999999994" customHeight="1" x14ac:dyDescent="0.25">
      <c r="A92" s="100" t="s">
        <v>221</v>
      </c>
      <c r="B92" s="21" t="s">
        <v>222</v>
      </c>
      <c r="C92" s="103">
        <v>2020110010206</v>
      </c>
      <c r="D92" s="100" t="s">
        <v>389</v>
      </c>
      <c r="E92" s="100" t="s">
        <v>410</v>
      </c>
      <c r="F92" s="72" t="s">
        <v>225</v>
      </c>
      <c r="G92" s="55" t="s">
        <v>40</v>
      </c>
      <c r="H92" s="55" t="s">
        <v>41</v>
      </c>
      <c r="I92" s="102" t="s">
        <v>418</v>
      </c>
      <c r="J92" s="78" t="s">
        <v>86</v>
      </c>
      <c r="K92" s="32" t="s">
        <v>386</v>
      </c>
      <c r="L92" s="36" t="s">
        <v>44</v>
      </c>
      <c r="M92" s="37" t="s">
        <v>45</v>
      </c>
      <c r="N92" s="38" t="s">
        <v>419</v>
      </c>
      <c r="O92" s="39" t="s">
        <v>391</v>
      </c>
      <c r="P92" s="100" t="s">
        <v>420</v>
      </c>
      <c r="Q92" s="618" t="s">
        <v>97</v>
      </c>
      <c r="R92" s="618" t="s">
        <v>97</v>
      </c>
      <c r="S92" s="100"/>
      <c r="T92" s="333">
        <v>500000000</v>
      </c>
      <c r="U92" s="707">
        <v>500000000</v>
      </c>
      <c r="V92" s="614"/>
      <c r="W92" s="709">
        <v>500000000</v>
      </c>
      <c r="X92" s="431"/>
      <c r="Y92" s="431">
        <f t="shared" si="7"/>
        <v>500000000</v>
      </c>
      <c r="Z92" s="334"/>
      <c r="AA92" s="430">
        <f t="shared" si="5"/>
        <v>0</v>
      </c>
      <c r="AB92" s="334"/>
      <c r="AC92" s="334"/>
    </row>
    <row r="93" spans="1:45" s="40" customFormat="1" ht="70.349999999999994" customHeight="1" x14ac:dyDescent="0.25">
      <c r="A93" s="100" t="s">
        <v>221</v>
      </c>
      <c r="B93" s="21" t="s">
        <v>222</v>
      </c>
      <c r="C93" s="103">
        <v>2020110010206</v>
      </c>
      <c r="D93" s="100" t="s">
        <v>389</v>
      </c>
      <c r="E93" s="100" t="s">
        <v>410</v>
      </c>
      <c r="F93" s="72" t="s">
        <v>225</v>
      </c>
      <c r="G93" s="55" t="s">
        <v>40</v>
      </c>
      <c r="H93" s="55" t="s">
        <v>41</v>
      </c>
      <c r="I93" s="102" t="s">
        <v>418</v>
      </c>
      <c r="J93" s="59" t="s">
        <v>83</v>
      </c>
      <c r="K93" s="60" t="s">
        <v>84</v>
      </c>
      <c r="L93" s="36" t="s">
        <v>44</v>
      </c>
      <c r="M93" s="37" t="s">
        <v>45</v>
      </c>
      <c r="N93" s="38" t="s">
        <v>419</v>
      </c>
      <c r="O93" s="39" t="s">
        <v>391</v>
      </c>
      <c r="P93" s="100" t="s">
        <v>420</v>
      </c>
      <c r="Q93" s="618" t="s">
        <v>97</v>
      </c>
      <c r="R93" s="618" t="s">
        <v>97</v>
      </c>
      <c r="S93" s="100"/>
      <c r="T93" s="333">
        <v>3500000000</v>
      </c>
      <c r="U93" s="551">
        <v>3500000000</v>
      </c>
      <c r="V93" s="614"/>
      <c r="W93" s="431">
        <v>3500000000</v>
      </c>
      <c r="X93" s="431"/>
      <c r="Y93" s="431">
        <f t="shared" si="7"/>
        <v>3500000000</v>
      </c>
      <c r="Z93" s="334"/>
      <c r="AA93" s="430">
        <f t="shared" si="5"/>
        <v>0</v>
      </c>
      <c r="AB93" s="334"/>
      <c r="AC93" s="334"/>
    </row>
    <row r="94" spans="1:45" s="40" customFormat="1" ht="70.349999999999994" customHeight="1" x14ac:dyDescent="0.25">
      <c r="A94" s="100" t="s">
        <v>221</v>
      </c>
      <c r="B94" s="21" t="s">
        <v>222</v>
      </c>
      <c r="C94" s="103">
        <v>2020110010206</v>
      </c>
      <c r="D94" s="100" t="s">
        <v>389</v>
      </c>
      <c r="E94" s="100" t="s">
        <v>421</v>
      </c>
      <c r="F94" s="72" t="s">
        <v>225</v>
      </c>
      <c r="G94" s="55" t="s">
        <v>40</v>
      </c>
      <c r="H94" s="55" t="s">
        <v>41</v>
      </c>
      <c r="I94" s="102" t="s">
        <v>422</v>
      </c>
      <c r="J94" s="39" t="s">
        <v>116</v>
      </c>
      <c r="K94" s="39" t="s">
        <v>43</v>
      </c>
      <c r="L94" s="36" t="s">
        <v>44</v>
      </c>
      <c r="M94" s="37" t="s">
        <v>45</v>
      </c>
      <c r="N94" s="38" t="s">
        <v>46</v>
      </c>
      <c r="O94" s="39" t="s">
        <v>391</v>
      </c>
      <c r="P94" s="100" t="s">
        <v>423</v>
      </c>
      <c r="Q94" s="100" t="s">
        <v>424</v>
      </c>
      <c r="R94" s="662">
        <v>33333584000</v>
      </c>
      <c r="S94" s="100"/>
      <c r="T94" s="333">
        <v>3333584000.3999996</v>
      </c>
      <c r="U94" s="551">
        <v>3333584000.3999996</v>
      </c>
      <c r="V94" s="617">
        <v>-1028930701</v>
      </c>
      <c r="W94" s="431">
        <f>+U94+V94</f>
        <v>2304653299.3999996</v>
      </c>
      <c r="X94" s="431">
        <v>2304653299</v>
      </c>
      <c r="Y94" s="431">
        <f t="shared" si="7"/>
        <v>0.39999961853027344</v>
      </c>
      <c r="Z94" s="431">
        <v>2304653299</v>
      </c>
      <c r="AA94" s="430">
        <f t="shared" si="5"/>
        <v>0.99999999982643828</v>
      </c>
      <c r="AB94" s="334"/>
      <c r="AC94" s="432" t="s">
        <v>425</v>
      </c>
    </row>
    <row r="95" spans="1:45" s="40" customFormat="1" ht="70.349999999999994" customHeight="1" x14ac:dyDescent="0.25">
      <c r="A95" s="100" t="s">
        <v>221</v>
      </c>
      <c r="B95" s="21" t="s">
        <v>222</v>
      </c>
      <c r="C95" s="103">
        <v>2020110010206</v>
      </c>
      <c r="D95" s="100" t="s">
        <v>426</v>
      </c>
      <c r="E95" s="100" t="s">
        <v>427</v>
      </c>
      <c r="F95" s="72" t="s">
        <v>225</v>
      </c>
      <c r="G95" s="55" t="s">
        <v>40</v>
      </c>
      <c r="H95" s="55" t="s">
        <v>41</v>
      </c>
      <c r="I95" s="102"/>
      <c r="J95" s="39" t="s">
        <v>116</v>
      </c>
      <c r="K95" s="39" t="s">
        <v>43</v>
      </c>
      <c r="L95" s="36" t="s">
        <v>44</v>
      </c>
      <c r="M95" s="37" t="s">
        <v>45</v>
      </c>
      <c r="N95" s="38" t="s">
        <v>63</v>
      </c>
      <c r="O95" s="39" t="s">
        <v>391</v>
      </c>
      <c r="P95" s="100" t="s">
        <v>428</v>
      </c>
      <c r="Q95" s="618" t="s">
        <v>97</v>
      </c>
      <c r="R95" s="618" t="s">
        <v>97</v>
      </c>
      <c r="S95" s="100"/>
      <c r="T95" s="333">
        <f>1722000000+17608562000</f>
        <v>19330562000</v>
      </c>
      <c r="U95" s="551">
        <v>19330562000</v>
      </c>
      <c r="V95" s="617">
        <v>-2000000000</v>
      </c>
      <c r="W95" s="431">
        <f>+U95+V95</f>
        <v>17330562000</v>
      </c>
      <c r="X95" s="431">
        <v>11095003465</v>
      </c>
      <c r="Y95" s="431">
        <f>+W95-X95</f>
        <v>6235558535</v>
      </c>
      <c r="Z95" s="431">
        <f>8290139440+2804864025</f>
        <v>11095003465</v>
      </c>
      <c r="AA95" s="430">
        <f>+Z95/W95</f>
        <v>0.64019871167478581</v>
      </c>
      <c r="AB95" s="334"/>
      <c r="AC95" s="336" t="s">
        <v>429</v>
      </c>
    </row>
    <row r="96" spans="1:45" s="40" customFormat="1" ht="70.349999999999994" customHeight="1" x14ac:dyDescent="0.25">
      <c r="A96" s="100" t="s">
        <v>221</v>
      </c>
      <c r="B96" s="21" t="s">
        <v>222</v>
      </c>
      <c r="C96" s="103">
        <v>2020110010206</v>
      </c>
      <c r="D96" s="113" t="s">
        <v>342</v>
      </c>
      <c r="E96" s="113" t="s">
        <v>351</v>
      </c>
      <c r="F96" s="72" t="s">
        <v>225</v>
      </c>
      <c r="G96" s="116"/>
      <c r="H96" s="117"/>
      <c r="I96" s="117"/>
      <c r="J96" s="47" t="s">
        <v>430</v>
      </c>
      <c r="K96" s="48" t="s">
        <v>431</v>
      </c>
      <c r="L96" s="36" t="s">
        <v>44</v>
      </c>
      <c r="M96" s="53" t="s">
        <v>131</v>
      </c>
      <c r="N96" s="72" t="s">
        <v>255</v>
      </c>
      <c r="O96" s="118" t="s">
        <v>432</v>
      </c>
      <c r="P96" s="115" t="s">
        <v>433</v>
      </c>
      <c r="Q96" s="618" t="s">
        <v>97</v>
      </c>
      <c r="R96" s="618" t="s">
        <v>97</v>
      </c>
      <c r="S96" s="115"/>
      <c r="T96" s="333">
        <v>1416000</v>
      </c>
      <c r="U96" s="551">
        <v>1416000</v>
      </c>
      <c r="V96" s="614"/>
      <c r="W96" s="708">
        <v>1416000</v>
      </c>
      <c r="X96" s="431">
        <v>1416000</v>
      </c>
      <c r="Y96" s="431">
        <f t="shared" si="7"/>
        <v>0</v>
      </c>
      <c r="Z96" s="431">
        <v>1416000</v>
      </c>
      <c r="AA96" s="430">
        <f t="shared" si="5"/>
        <v>1</v>
      </c>
      <c r="AB96" s="431">
        <v>1416000</v>
      </c>
      <c r="AC96" s="357" t="s">
        <v>434</v>
      </c>
      <c r="AQ96" s="50"/>
      <c r="AR96" s="50"/>
      <c r="AS96" s="50"/>
    </row>
    <row r="97" spans="1:45" s="40" customFormat="1" ht="70.349999999999994" customHeight="1" x14ac:dyDescent="0.25">
      <c r="A97" s="100" t="s">
        <v>221</v>
      </c>
      <c r="B97" s="21" t="s">
        <v>222</v>
      </c>
      <c r="C97" s="103">
        <v>2020110010206</v>
      </c>
      <c r="D97" s="113" t="s">
        <v>342</v>
      </c>
      <c r="E97" s="113" t="s">
        <v>351</v>
      </c>
      <c r="F97" s="72" t="s">
        <v>225</v>
      </c>
      <c r="G97" s="116"/>
      <c r="H97" s="117"/>
      <c r="I97" s="117"/>
      <c r="J97" s="119" t="s">
        <v>435</v>
      </c>
      <c r="K97" s="120" t="s">
        <v>436</v>
      </c>
      <c r="L97" s="36" t="s">
        <v>44</v>
      </c>
      <c r="M97" s="53" t="s">
        <v>131</v>
      </c>
      <c r="N97" s="72" t="s">
        <v>255</v>
      </c>
      <c r="O97" s="118" t="s">
        <v>432</v>
      </c>
      <c r="P97" s="115" t="s">
        <v>437</v>
      </c>
      <c r="Q97" s="618" t="s">
        <v>97</v>
      </c>
      <c r="R97" s="618" t="s">
        <v>97</v>
      </c>
      <c r="S97" s="115"/>
      <c r="T97" s="333">
        <v>90888000</v>
      </c>
      <c r="U97" s="551">
        <v>90888000</v>
      </c>
      <c r="V97" s="614"/>
      <c r="W97" s="708">
        <v>90888000</v>
      </c>
      <c r="X97" s="431">
        <v>90888000</v>
      </c>
      <c r="Y97" s="431">
        <f t="shared" si="7"/>
        <v>0</v>
      </c>
      <c r="Z97" s="431">
        <v>90888000</v>
      </c>
      <c r="AA97" s="430">
        <f t="shared" si="5"/>
        <v>1</v>
      </c>
      <c r="AB97" s="431">
        <v>90888000</v>
      </c>
      <c r="AC97" s="357" t="s">
        <v>434</v>
      </c>
      <c r="AQ97" s="50"/>
      <c r="AR97" s="50"/>
      <c r="AS97" s="50"/>
    </row>
    <row r="98" spans="1:45" s="40" customFormat="1" ht="140.25" customHeight="1" x14ac:dyDescent="0.25">
      <c r="A98" s="100" t="s">
        <v>221</v>
      </c>
      <c r="B98" s="21" t="s">
        <v>222</v>
      </c>
      <c r="C98" s="103">
        <v>2020110010206</v>
      </c>
      <c r="D98" s="100" t="s">
        <v>389</v>
      </c>
      <c r="E98" s="100" t="s">
        <v>410</v>
      </c>
      <c r="F98" s="72" t="s">
        <v>225</v>
      </c>
      <c r="G98" s="121"/>
      <c r="H98" s="121"/>
      <c r="I98" s="105"/>
      <c r="J98" s="119" t="s">
        <v>435</v>
      </c>
      <c r="K98" s="48" t="s">
        <v>436</v>
      </c>
      <c r="L98" s="36" t="s">
        <v>44</v>
      </c>
      <c r="M98" s="53" t="s">
        <v>131</v>
      </c>
      <c r="N98" s="39" t="s">
        <v>416</v>
      </c>
      <c r="O98" s="39" t="s">
        <v>391</v>
      </c>
      <c r="P98" s="115" t="s">
        <v>96</v>
      </c>
      <c r="Q98" s="618" t="s">
        <v>97</v>
      </c>
      <c r="R98" s="618" t="s">
        <v>97</v>
      </c>
      <c r="S98" s="115"/>
      <c r="T98" s="333">
        <v>8496804000</v>
      </c>
      <c r="U98" s="551">
        <v>8496804000</v>
      </c>
      <c r="V98" s="614"/>
      <c r="W98" s="708">
        <v>8496804000</v>
      </c>
      <c r="X98" s="431">
        <f>490454490+28966366+921121770+12092439</f>
        <v>1452635065</v>
      </c>
      <c r="Y98" s="431">
        <f t="shared" si="7"/>
        <v>7044168935</v>
      </c>
      <c r="Z98" s="431">
        <f>490454490+41058805</f>
        <v>531513295</v>
      </c>
      <c r="AA98" s="430">
        <f t="shared" si="5"/>
        <v>6.2554496372989182E-2</v>
      </c>
      <c r="AB98" s="431">
        <v>490454490</v>
      </c>
      <c r="AC98" s="336" t="s">
        <v>438</v>
      </c>
      <c r="AQ98" s="50"/>
      <c r="AR98" s="50"/>
      <c r="AS98" s="50"/>
    </row>
    <row r="99" spans="1:45" s="40" customFormat="1" ht="70.349999999999994" customHeight="1" x14ac:dyDescent="0.25">
      <c r="A99" s="100" t="s">
        <v>221</v>
      </c>
      <c r="B99" s="21" t="s">
        <v>222</v>
      </c>
      <c r="C99" s="103">
        <v>2020110010206</v>
      </c>
      <c r="D99" s="100" t="s">
        <v>389</v>
      </c>
      <c r="E99" s="100" t="s">
        <v>410</v>
      </c>
      <c r="F99" s="72" t="s">
        <v>225</v>
      </c>
      <c r="G99" s="122"/>
      <c r="H99" s="122"/>
      <c r="I99" s="123"/>
      <c r="J99" s="124" t="s">
        <v>439</v>
      </c>
      <c r="K99" s="48" t="s">
        <v>440</v>
      </c>
      <c r="L99" s="36" t="s">
        <v>44</v>
      </c>
      <c r="M99" s="125" t="s">
        <v>131</v>
      </c>
      <c r="N99" s="39" t="s">
        <v>416</v>
      </c>
      <c r="O99" s="126" t="s">
        <v>391</v>
      </c>
      <c r="P99" s="127" t="s">
        <v>96</v>
      </c>
      <c r="Q99" s="618" t="s">
        <v>97</v>
      </c>
      <c r="R99" s="618" t="s">
        <v>97</v>
      </c>
      <c r="S99" s="127"/>
      <c r="T99" s="333">
        <v>1383905000</v>
      </c>
      <c r="U99" s="551">
        <v>1383905000</v>
      </c>
      <c r="V99" s="614"/>
      <c r="W99" s="708">
        <v>1383905000</v>
      </c>
      <c r="X99" s="431"/>
      <c r="Y99" s="431">
        <f t="shared" si="7"/>
        <v>1383905000</v>
      </c>
      <c r="Z99" s="334"/>
      <c r="AA99" s="430">
        <f t="shared" si="5"/>
        <v>0</v>
      </c>
      <c r="AB99" s="334"/>
      <c r="AC99" s="334"/>
    </row>
    <row r="100" spans="1:45" s="40" customFormat="1" ht="70.349999999999994" customHeight="1" x14ac:dyDescent="0.25">
      <c r="A100" s="100" t="s">
        <v>221</v>
      </c>
      <c r="B100" s="21" t="s">
        <v>222</v>
      </c>
      <c r="C100" s="103">
        <v>2020110010206</v>
      </c>
      <c r="D100" s="106" t="s">
        <v>288</v>
      </c>
      <c r="E100" s="106" t="s">
        <v>289</v>
      </c>
      <c r="F100" s="72" t="s">
        <v>225</v>
      </c>
      <c r="G100" s="121"/>
      <c r="H100" s="121"/>
      <c r="I100" s="105"/>
      <c r="J100" s="119" t="s">
        <v>441</v>
      </c>
      <c r="K100" s="119" t="s">
        <v>99</v>
      </c>
      <c r="L100" s="36" t="s">
        <v>44</v>
      </c>
      <c r="M100" s="125" t="s">
        <v>131</v>
      </c>
      <c r="N100" s="39" t="s">
        <v>255</v>
      </c>
      <c r="O100" s="138" t="s">
        <v>442</v>
      </c>
      <c r="P100" s="115" t="s">
        <v>96</v>
      </c>
      <c r="Q100" s="618" t="s">
        <v>97</v>
      </c>
      <c r="R100" s="618" t="s">
        <v>97</v>
      </c>
      <c r="S100" s="115"/>
      <c r="T100" s="333">
        <v>25838000</v>
      </c>
      <c r="U100" s="551">
        <v>25838000</v>
      </c>
      <c r="V100" s="614"/>
      <c r="W100" s="708">
        <v>25838000</v>
      </c>
      <c r="X100" s="431"/>
      <c r="Y100" s="431">
        <f t="shared" si="7"/>
        <v>25838000</v>
      </c>
      <c r="Z100" s="334"/>
      <c r="AA100" s="430">
        <f t="shared" si="5"/>
        <v>0</v>
      </c>
      <c r="AB100" s="334"/>
      <c r="AC100" s="334"/>
    </row>
    <row r="101" spans="1:45" s="40" customFormat="1" ht="70.349999999999994" customHeight="1" x14ac:dyDescent="0.25">
      <c r="A101" s="100" t="s">
        <v>221</v>
      </c>
      <c r="B101" s="21" t="s">
        <v>222</v>
      </c>
      <c r="C101" s="103">
        <v>2020110010206</v>
      </c>
      <c r="D101" s="113" t="s">
        <v>342</v>
      </c>
      <c r="E101" s="113" t="s">
        <v>351</v>
      </c>
      <c r="F101" s="72" t="s">
        <v>225</v>
      </c>
      <c r="G101" s="121"/>
      <c r="H101" s="121"/>
      <c r="I101" s="105"/>
      <c r="J101" s="119" t="s">
        <v>441</v>
      </c>
      <c r="K101" s="119" t="s">
        <v>99</v>
      </c>
      <c r="L101" s="36" t="s">
        <v>44</v>
      </c>
      <c r="M101" s="53" t="s">
        <v>131</v>
      </c>
      <c r="N101" s="72" t="s">
        <v>255</v>
      </c>
      <c r="O101" s="118" t="s">
        <v>432</v>
      </c>
      <c r="P101" s="115" t="s">
        <v>443</v>
      </c>
      <c r="Q101" s="618" t="s">
        <v>97</v>
      </c>
      <c r="R101" s="618" t="s">
        <v>97</v>
      </c>
      <c r="S101" s="115"/>
      <c r="T101" s="333">
        <v>37074000</v>
      </c>
      <c r="U101" s="551">
        <v>37074000</v>
      </c>
      <c r="V101" s="614"/>
      <c r="W101" s="708">
        <v>37074000</v>
      </c>
      <c r="X101" s="431">
        <v>23964000</v>
      </c>
      <c r="Y101" s="431">
        <f t="shared" si="7"/>
        <v>13110000</v>
      </c>
      <c r="Z101" s="431">
        <v>23964000</v>
      </c>
      <c r="AA101" s="430">
        <f t="shared" si="5"/>
        <v>0.64638290985596369</v>
      </c>
      <c r="AB101" s="431">
        <v>23964000</v>
      </c>
      <c r="AC101" s="357" t="s">
        <v>434</v>
      </c>
    </row>
    <row r="102" spans="1:45" ht="15.75" x14ac:dyDescent="0.25">
      <c r="T102" s="137">
        <f t="shared" ref="T102:Z102" si="8">SUM(T6:T101)</f>
        <v>147117947000.39999</v>
      </c>
      <c r="U102" s="137">
        <f t="shared" si="8"/>
        <v>147117947000.39999</v>
      </c>
      <c r="V102" s="137">
        <f t="shared" si="8"/>
        <v>0</v>
      </c>
      <c r="W102" s="137">
        <f t="shared" si="8"/>
        <v>147108198008.39999</v>
      </c>
      <c r="X102" s="685">
        <f t="shared" si="8"/>
        <v>67198929158</v>
      </c>
      <c r="Y102" s="136">
        <f t="shared" si="8"/>
        <v>78006447943.399994</v>
      </c>
      <c r="Z102" s="136">
        <f t="shared" si="8"/>
        <v>48698271248</v>
      </c>
      <c r="AA102" s="135">
        <f t="shared" si="5"/>
        <v>0.33103709995291553</v>
      </c>
      <c r="AB102" s="134">
        <f>SUM(AB6:AB101)</f>
        <v>6560926001</v>
      </c>
      <c r="AC102" s="133"/>
    </row>
    <row r="103" spans="1:45" s="128" customFormat="1" ht="70.349999999999994" customHeight="1" x14ac:dyDescent="0.25">
      <c r="A103"/>
      <c r="B103"/>
      <c r="C103"/>
      <c r="D103"/>
      <c r="E103"/>
      <c r="F103"/>
      <c r="G103"/>
      <c r="H103"/>
      <c r="I103"/>
      <c r="J103"/>
      <c r="K103"/>
      <c r="L103"/>
      <c r="M103"/>
      <c r="N103"/>
      <c r="O103"/>
      <c r="P103"/>
      <c r="Q103"/>
      <c r="R103"/>
      <c r="S103"/>
      <c r="T103" s="4"/>
      <c r="U103"/>
      <c r="W103" s="4">
        <f>SUBTOTAL(9,W43:W101)</f>
        <v>119604788000.39999</v>
      </c>
      <c r="X103" s="214"/>
      <c r="Y103" s="4"/>
      <c r="Z103" s="4"/>
      <c r="AA103" s="4"/>
      <c r="AB103" s="4"/>
      <c r="AC103" s="129"/>
      <c r="AD103"/>
      <c r="AE103" s="131"/>
      <c r="AG103"/>
      <c r="AH103"/>
      <c r="AI103"/>
      <c r="AJ103"/>
      <c r="AK103"/>
      <c r="AL103"/>
      <c r="AM103"/>
      <c r="AN103"/>
      <c r="AO103"/>
      <c r="AP103"/>
      <c r="AQ103"/>
      <c r="AR103"/>
      <c r="AS103"/>
    </row>
    <row r="104" spans="1:45" s="128" customFormat="1" x14ac:dyDescent="0.25">
      <c r="A104"/>
      <c r="B104"/>
      <c r="C104"/>
      <c r="D104"/>
      <c r="E104"/>
      <c r="F104"/>
      <c r="G104"/>
      <c r="H104"/>
      <c r="I104"/>
      <c r="J104"/>
      <c r="K104"/>
      <c r="L104"/>
      <c r="M104"/>
      <c r="N104"/>
      <c r="O104"/>
      <c r="P104"/>
      <c r="Q104"/>
      <c r="R104"/>
      <c r="S104"/>
      <c r="T104"/>
      <c r="U104"/>
      <c r="V104"/>
      <c r="W104" s="4">
        <v>37295188947</v>
      </c>
      <c r="X104" s="214"/>
      <c r="Z104"/>
      <c r="AA104" s="129"/>
      <c r="AB104" s="4"/>
      <c r="AC104" s="131"/>
      <c r="AD104"/>
      <c r="AE104"/>
      <c r="AF104"/>
      <c r="AG104"/>
      <c r="AH104"/>
      <c r="AI104"/>
      <c r="AJ104"/>
      <c r="AK104"/>
      <c r="AL104"/>
      <c r="AM104"/>
      <c r="AN104"/>
      <c r="AO104"/>
      <c r="AP104"/>
      <c r="AQ104"/>
      <c r="AR104"/>
      <c r="AS104"/>
    </row>
    <row r="105" spans="1:45" s="128" customFormat="1" x14ac:dyDescent="0.25">
      <c r="A105"/>
      <c r="B105"/>
      <c r="C105"/>
      <c r="D105"/>
      <c r="E105"/>
      <c r="F105"/>
      <c r="G105"/>
      <c r="H105"/>
      <c r="I105"/>
      <c r="J105"/>
      <c r="K105"/>
      <c r="L105"/>
      <c r="M105"/>
      <c r="N105"/>
      <c r="O105"/>
      <c r="P105"/>
      <c r="Q105"/>
      <c r="R105"/>
      <c r="S105"/>
      <c r="T105" s="4"/>
      <c r="U105"/>
      <c r="V105" s="5"/>
      <c r="W105" s="4">
        <f>SUBTOTAL(9,W90:W93)</f>
        <v>25836621000</v>
      </c>
      <c r="X105" s="214"/>
      <c r="Y105" s="4"/>
      <c r="Z105"/>
      <c r="AA105" s="129"/>
      <c r="AB105"/>
      <c r="AC105" s="131"/>
      <c r="AD105"/>
      <c r="AE105"/>
      <c r="AF105"/>
      <c r="AG105"/>
      <c r="AH105"/>
      <c r="AI105"/>
      <c r="AJ105"/>
      <c r="AK105"/>
      <c r="AL105"/>
      <c r="AM105"/>
      <c r="AN105"/>
      <c r="AO105"/>
      <c r="AP105"/>
      <c r="AQ105"/>
      <c r="AR105"/>
      <c r="AS105"/>
    </row>
    <row r="106" spans="1:45" s="128" customFormat="1" x14ac:dyDescent="0.25">
      <c r="A106"/>
      <c r="B106"/>
      <c r="C106"/>
      <c r="D106"/>
      <c r="E106"/>
      <c r="F106"/>
      <c r="G106"/>
      <c r="H106"/>
      <c r="I106"/>
      <c r="J106"/>
      <c r="K106"/>
      <c r="L106"/>
      <c r="M106"/>
      <c r="N106"/>
      <c r="O106"/>
      <c r="P106"/>
      <c r="Q106"/>
      <c r="R106"/>
      <c r="S106"/>
      <c r="T106"/>
      <c r="U106"/>
      <c r="V106" s="5"/>
      <c r="W106" s="4">
        <v>24075000000</v>
      </c>
      <c r="X106" s="441"/>
      <c r="Z106"/>
      <c r="AA106" s="129"/>
      <c r="AB106"/>
      <c r="AC106" s="131"/>
      <c r="AD106"/>
      <c r="AE106"/>
      <c r="AF106"/>
      <c r="AG106"/>
      <c r="AH106"/>
      <c r="AI106"/>
      <c r="AJ106"/>
      <c r="AK106"/>
      <c r="AL106"/>
      <c r="AM106"/>
      <c r="AN106"/>
      <c r="AO106"/>
      <c r="AP106"/>
      <c r="AQ106"/>
      <c r="AR106"/>
      <c r="AS106"/>
    </row>
    <row r="107" spans="1:45" s="128" customFormat="1" ht="15.75" customHeight="1" x14ac:dyDescent="0.25">
      <c r="A107"/>
      <c r="B107"/>
      <c r="C107"/>
      <c r="D107"/>
      <c r="E107"/>
      <c r="F107"/>
      <c r="G107"/>
      <c r="H107"/>
      <c r="I107"/>
      <c r="J107"/>
      <c r="K107"/>
      <c r="L107"/>
      <c r="M107"/>
      <c r="N107"/>
      <c r="O107"/>
      <c r="P107"/>
      <c r="Q107"/>
      <c r="R107"/>
      <c r="S107"/>
      <c r="T107" s="6"/>
      <c r="U107"/>
      <c r="V107"/>
      <c r="W107" s="4"/>
      <c r="X107" s="441"/>
      <c r="Z107"/>
      <c r="AA107" s="129"/>
      <c r="AB107"/>
      <c r="AC107" s="131"/>
      <c r="AD107"/>
      <c r="AE107"/>
      <c r="AF107"/>
      <c r="AG107"/>
      <c r="AH107"/>
      <c r="AI107"/>
      <c r="AJ107"/>
      <c r="AK107"/>
      <c r="AL107"/>
      <c r="AM107"/>
      <c r="AN107"/>
      <c r="AO107"/>
      <c r="AP107"/>
      <c r="AQ107"/>
      <c r="AR107"/>
      <c r="AS107"/>
    </row>
    <row r="108" spans="1:45" s="128" customFormat="1" x14ac:dyDescent="0.25">
      <c r="A108"/>
      <c r="B108"/>
      <c r="C108"/>
      <c r="D108"/>
      <c r="E108"/>
      <c r="F108"/>
      <c r="G108"/>
      <c r="H108"/>
      <c r="I108"/>
      <c r="J108"/>
      <c r="K108"/>
      <c r="L108"/>
      <c r="M108"/>
      <c r="N108"/>
      <c r="O108"/>
      <c r="P108"/>
      <c r="Q108"/>
      <c r="R108"/>
      <c r="S108"/>
      <c r="T108"/>
      <c r="U108"/>
      <c r="V108" s="5"/>
      <c r="W108" s="4"/>
      <c r="X108" s="441"/>
      <c r="Z108" s="4"/>
      <c r="AA108" s="129"/>
      <c r="AB108"/>
      <c r="AC108" s="131"/>
      <c r="AD108"/>
      <c r="AE108"/>
      <c r="AF108"/>
      <c r="AG108"/>
      <c r="AH108"/>
      <c r="AI108"/>
      <c r="AJ108"/>
      <c r="AK108"/>
      <c r="AL108"/>
      <c r="AM108"/>
      <c r="AN108"/>
      <c r="AO108"/>
      <c r="AP108"/>
      <c r="AQ108"/>
      <c r="AR108"/>
      <c r="AS108"/>
    </row>
    <row r="109" spans="1:45" s="128" customFormat="1" x14ac:dyDescent="0.25">
      <c r="A109"/>
      <c r="B109"/>
      <c r="C109"/>
      <c r="D109"/>
      <c r="E109"/>
      <c r="F109"/>
      <c r="G109"/>
      <c r="H109"/>
      <c r="I109"/>
      <c r="J109"/>
      <c r="K109"/>
      <c r="L109"/>
      <c r="M109"/>
      <c r="N109"/>
      <c r="O109"/>
      <c r="P109"/>
      <c r="Q109"/>
      <c r="R109"/>
      <c r="S109"/>
      <c r="T109"/>
      <c r="U109"/>
      <c r="V109" s="5"/>
      <c r="W109" s="4"/>
      <c r="X109" s="441"/>
      <c r="Z109" s="442"/>
      <c r="AA109" s="129"/>
      <c r="AB109"/>
      <c r="AC109" s="131"/>
      <c r="AD109"/>
      <c r="AE109"/>
      <c r="AF109"/>
      <c r="AG109"/>
      <c r="AH109"/>
      <c r="AI109"/>
      <c r="AJ109"/>
      <c r="AK109"/>
      <c r="AL109"/>
      <c r="AM109"/>
      <c r="AN109"/>
      <c r="AO109"/>
      <c r="AP109"/>
      <c r="AQ109"/>
      <c r="AR109"/>
      <c r="AS109"/>
    </row>
    <row r="110" spans="1:45" s="128" customFormat="1" x14ac:dyDescent="0.25">
      <c r="A110"/>
      <c r="B110"/>
      <c r="C110"/>
      <c r="D110"/>
      <c r="E110"/>
      <c r="F110"/>
      <c r="G110"/>
      <c r="H110"/>
      <c r="I110"/>
      <c r="J110"/>
      <c r="K110"/>
      <c r="L110"/>
      <c r="M110"/>
      <c r="N110"/>
      <c r="O110"/>
      <c r="P110"/>
      <c r="Q110"/>
      <c r="R110"/>
      <c r="S110"/>
      <c r="T110"/>
      <c r="U110"/>
      <c r="V110"/>
      <c r="W110" s="4"/>
      <c r="X110" s="441"/>
      <c r="Z110" s="442"/>
      <c r="AA110" s="129"/>
      <c r="AB110"/>
      <c r="AC110" s="131"/>
      <c r="AD110"/>
      <c r="AE110"/>
      <c r="AF110"/>
      <c r="AG110"/>
      <c r="AH110"/>
      <c r="AI110"/>
      <c r="AJ110"/>
      <c r="AK110"/>
      <c r="AL110"/>
      <c r="AM110"/>
      <c r="AN110"/>
      <c r="AO110"/>
      <c r="AP110"/>
      <c r="AQ110"/>
      <c r="AR110"/>
      <c r="AS110"/>
    </row>
    <row r="111" spans="1:45" x14ac:dyDescent="0.25">
      <c r="O111"/>
      <c r="X111" s="441"/>
      <c r="Z111" s="442"/>
      <c r="AB111" s="4"/>
    </row>
    <row r="112" spans="1:45" x14ac:dyDescent="0.25">
      <c r="O112"/>
      <c r="X112" s="441"/>
      <c r="Z112" s="442"/>
      <c r="AB112" s="4"/>
    </row>
    <row r="113" spans="1:45" s="128" customFormat="1" x14ac:dyDescent="0.25">
      <c r="A113"/>
      <c r="B113"/>
      <c r="C113"/>
      <c r="D113"/>
      <c r="E113"/>
      <c r="F113"/>
      <c r="G113"/>
      <c r="H113"/>
      <c r="I113"/>
      <c r="J113"/>
      <c r="K113"/>
      <c r="L113"/>
      <c r="M113"/>
      <c r="N113"/>
      <c r="O113"/>
      <c r="P113"/>
      <c r="Q113"/>
      <c r="R113"/>
      <c r="S113"/>
      <c r="T113"/>
      <c r="U113"/>
      <c r="V113"/>
      <c r="W113" s="6"/>
      <c r="X113" s="441"/>
      <c r="Z113" s="442"/>
      <c r="AA113" s="129"/>
      <c r="AB113" s="6"/>
      <c r="AC113" s="131"/>
      <c r="AD113"/>
      <c r="AE113"/>
      <c r="AF113"/>
      <c r="AG113"/>
      <c r="AH113"/>
      <c r="AI113"/>
      <c r="AJ113"/>
      <c r="AK113"/>
      <c r="AL113"/>
      <c r="AM113"/>
      <c r="AN113"/>
      <c r="AO113"/>
      <c r="AP113"/>
      <c r="AQ113"/>
      <c r="AR113"/>
      <c r="AS113"/>
    </row>
    <row r="114" spans="1:45" x14ac:dyDescent="0.25">
      <c r="O114"/>
      <c r="X114" s="441"/>
      <c r="Z114" s="442"/>
    </row>
    <row r="115" spans="1:45" x14ac:dyDescent="0.25">
      <c r="O115"/>
      <c r="X115" s="441"/>
      <c r="Z115" s="442"/>
    </row>
    <row r="116" spans="1:45" x14ac:dyDescent="0.25">
      <c r="O116"/>
      <c r="X116" s="441"/>
      <c r="Z116" s="442"/>
    </row>
    <row r="117" spans="1:45" x14ac:dyDescent="0.25">
      <c r="O117"/>
      <c r="X117" s="441"/>
      <c r="Z117" s="442"/>
    </row>
    <row r="118" spans="1:45" x14ac:dyDescent="0.25">
      <c r="O118"/>
      <c r="X118" s="441"/>
      <c r="Z118" s="442"/>
    </row>
    <row r="119" spans="1:45" x14ac:dyDescent="0.25">
      <c r="O119"/>
      <c r="X119" s="441"/>
      <c r="Z119" s="442"/>
    </row>
    <row r="120" spans="1:45" x14ac:dyDescent="0.25">
      <c r="O120"/>
      <c r="X120" s="441"/>
      <c r="Z120" s="442"/>
    </row>
    <row r="121" spans="1:45" x14ac:dyDescent="0.25">
      <c r="O121"/>
      <c r="X121" s="441"/>
      <c r="Z121" s="442"/>
    </row>
    <row r="122" spans="1:45" x14ac:dyDescent="0.25">
      <c r="O122"/>
      <c r="X122" s="441"/>
      <c r="Z122" s="442"/>
    </row>
    <row r="123" spans="1:45" x14ac:dyDescent="0.25">
      <c r="O123"/>
      <c r="X123" s="441"/>
      <c r="Z123" s="442"/>
    </row>
    <row r="124" spans="1:45" x14ac:dyDescent="0.25">
      <c r="O124"/>
      <c r="X124" s="441"/>
    </row>
    <row r="125" spans="1:45" x14ac:dyDescent="0.25">
      <c r="O125"/>
      <c r="X125" s="441"/>
    </row>
    <row r="126" spans="1:45" x14ac:dyDescent="0.25">
      <c r="O126"/>
      <c r="X126" s="441"/>
    </row>
    <row r="127" spans="1:45" x14ac:dyDescent="0.25">
      <c r="O127"/>
      <c r="X127" s="441"/>
    </row>
    <row r="128" spans="1:45" x14ac:dyDescent="0.25">
      <c r="O128"/>
      <c r="X128" s="441"/>
    </row>
    <row r="129" spans="15:24" x14ac:dyDescent="0.25">
      <c r="O129"/>
      <c r="X129" s="441"/>
    </row>
    <row r="130" spans="15:24" x14ac:dyDescent="0.25">
      <c r="O130"/>
      <c r="X130" s="441"/>
    </row>
    <row r="131" spans="15:24" x14ac:dyDescent="0.25">
      <c r="O131"/>
      <c r="X131" s="441"/>
    </row>
    <row r="132" spans="15:24" x14ac:dyDescent="0.25">
      <c r="O132"/>
      <c r="X132" s="441"/>
    </row>
    <row r="133" spans="15:24" x14ac:dyDescent="0.25">
      <c r="O133"/>
      <c r="X133" s="441"/>
    </row>
    <row r="134" spans="15:24" x14ac:dyDescent="0.25">
      <c r="O134"/>
      <c r="X134" s="441"/>
    </row>
    <row r="135" spans="15:24" x14ac:dyDescent="0.25">
      <c r="O135"/>
      <c r="X135" s="441"/>
    </row>
    <row r="136" spans="15:24" x14ac:dyDescent="0.25">
      <c r="O136"/>
      <c r="X136" s="441"/>
    </row>
    <row r="137" spans="15:24" x14ac:dyDescent="0.25">
      <c r="O137"/>
      <c r="X137" s="441"/>
    </row>
    <row r="138" spans="15:24" x14ac:dyDescent="0.25">
      <c r="O138"/>
      <c r="X138" s="441"/>
    </row>
    <row r="139" spans="15:24" x14ac:dyDescent="0.25">
      <c r="O139"/>
      <c r="X139" s="441"/>
    </row>
    <row r="140" spans="15:24" x14ac:dyDescent="0.25">
      <c r="O140"/>
      <c r="X140" s="441"/>
    </row>
    <row r="141" spans="15:24" x14ac:dyDescent="0.25">
      <c r="O141"/>
      <c r="X141" s="441"/>
    </row>
    <row r="142" spans="15:24" x14ac:dyDescent="0.25">
      <c r="O142"/>
      <c r="X142" s="441"/>
    </row>
    <row r="143" spans="15:24" x14ac:dyDescent="0.25">
      <c r="O143"/>
      <c r="X143" s="441"/>
    </row>
    <row r="144" spans="15:24" x14ac:dyDescent="0.25">
      <c r="O144"/>
      <c r="X144" s="441"/>
    </row>
    <row r="145" spans="15:24" x14ac:dyDescent="0.25">
      <c r="O145"/>
      <c r="X145" s="441"/>
    </row>
    <row r="146" spans="15:24" x14ac:dyDescent="0.25">
      <c r="O146"/>
      <c r="X146" s="441"/>
    </row>
    <row r="147" spans="15:24" x14ac:dyDescent="0.25">
      <c r="O147"/>
      <c r="X147" s="441"/>
    </row>
    <row r="148" spans="15:24" x14ac:dyDescent="0.25">
      <c r="O148"/>
      <c r="X148" s="441"/>
    </row>
    <row r="149" spans="15:24" x14ac:dyDescent="0.25">
      <c r="O149"/>
    </row>
    <row r="150" spans="15:24" x14ac:dyDescent="0.25">
      <c r="O150"/>
    </row>
    <row r="151" spans="15:24" x14ac:dyDescent="0.25">
      <c r="O151"/>
    </row>
    <row r="152" spans="15:24" x14ac:dyDescent="0.25">
      <c r="O152"/>
    </row>
    <row r="153" spans="15:24" x14ac:dyDescent="0.25">
      <c r="O153"/>
    </row>
    <row r="154" spans="15:24" x14ac:dyDescent="0.25">
      <c r="O154"/>
    </row>
    <row r="155" spans="15:24" x14ac:dyDescent="0.25">
      <c r="O155"/>
    </row>
    <row r="156" spans="15:24" x14ac:dyDescent="0.25">
      <c r="O156"/>
    </row>
    <row r="157" spans="15:24" x14ac:dyDescent="0.25">
      <c r="O157"/>
    </row>
    <row r="158" spans="15:24" x14ac:dyDescent="0.25">
      <c r="O158"/>
    </row>
    <row r="159" spans="15:24" x14ac:dyDescent="0.25">
      <c r="O159"/>
    </row>
    <row r="160" spans="15:24" x14ac:dyDescent="0.25">
      <c r="O160"/>
    </row>
    <row r="161" spans="15:15" x14ac:dyDescent="0.25">
      <c r="O161"/>
    </row>
    <row r="162" spans="15:15" x14ac:dyDescent="0.25">
      <c r="O162"/>
    </row>
    <row r="163" spans="15:15" x14ac:dyDescent="0.25">
      <c r="O163"/>
    </row>
    <row r="164" spans="15:15" x14ac:dyDescent="0.25">
      <c r="O164"/>
    </row>
    <row r="165" spans="15:15" x14ac:dyDescent="0.25">
      <c r="O165"/>
    </row>
    <row r="166" spans="15:15" x14ac:dyDescent="0.25">
      <c r="O166"/>
    </row>
    <row r="167" spans="15:15" x14ac:dyDescent="0.25">
      <c r="O167"/>
    </row>
    <row r="168" spans="15:15" x14ac:dyDescent="0.25">
      <c r="O168"/>
    </row>
    <row r="169" spans="15:15" x14ac:dyDescent="0.25">
      <c r="O169"/>
    </row>
    <row r="170" spans="15:15" x14ac:dyDescent="0.25">
      <c r="O170"/>
    </row>
    <row r="171" spans="15:15" x14ac:dyDescent="0.25">
      <c r="O171"/>
    </row>
    <row r="172" spans="15:15" x14ac:dyDescent="0.25">
      <c r="O172"/>
    </row>
    <row r="173" spans="15:15" x14ac:dyDescent="0.25">
      <c r="O173"/>
    </row>
    <row r="174" spans="15:15" x14ac:dyDescent="0.25">
      <c r="O174"/>
    </row>
    <row r="175" spans="15:15" x14ac:dyDescent="0.25">
      <c r="O175"/>
    </row>
    <row r="176" spans="15:15" x14ac:dyDescent="0.25">
      <c r="O176"/>
    </row>
    <row r="177" spans="15:15" x14ac:dyDescent="0.25">
      <c r="O177"/>
    </row>
    <row r="178" spans="15:15" x14ac:dyDescent="0.25">
      <c r="O178"/>
    </row>
    <row r="179" spans="15:15" x14ac:dyDescent="0.25">
      <c r="O179"/>
    </row>
    <row r="180" spans="15:15" x14ac:dyDescent="0.25">
      <c r="O180"/>
    </row>
    <row r="181" spans="15:15" x14ac:dyDescent="0.25">
      <c r="O181"/>
    </row>
    <row r="182" spans="15:15" x14ac:dyDescent="0.25">
      <c r="O182"/>
    </row>
    <row r="183" spans="15:15" x14ac:dyDescent="0.25">
      <c r="O183"/>
    </row>
    <row r="184" spans="15:15" x14ac:dyDescent="0.25">
      <c r="O184"/>
    </row>
    <row r="185" spans="15:15" x14ac:dyDescent="0.25">
      <c r="O185"/>
    </row>
    <row r="186" spans="15:15" x14ac:dyDescent="0.25">
      <c r="O186"/>
    </row>
    <row r="187" spans="15:15" x14ac:dyDescent="0.25">
      <c r="O187"/>
    </row>
    <row r="188" spans="15:15" x14ac:dyDescent="0.25">
      <c r="O188"/>
    </row>
    <row r="189" spans="15:15" x14ac:dyDescent="0.25">
      <c r="O189"/>
    </row>
    <row r="190" spans="15:15" x14ac:dyDescent="0.25">
      <c r="O190"/>
    </row>
    <row r="191" spans="15:15" x14ac:dyDescent="0.25">
      <c r="O191"/>
    </row>
    <row r="192" spans="15:15" x14ac:dyDescent="0.25">
      <c r="O192"/>
    </row>
    <row r="193" spans="15:15" x14ac:dyDescent="0.25">
      <c r="O193"/>
    </row>
    <row r="194" spans="15:15" x14ac:dyDescent="0.25">
      <c r="O194"/>
    </row>
    <row r="195" spans="15:15" x14ac:dyDescent="0.25">
      <c r="O195"/>
    </row>
    <row r="196" spans="15:15" x14ac:dyDescent="0.25">
      <c r="O196"/>
    </row>
    <row r="197" spans="15:15" x14ac:dyDescent="0.25">
      <c r="O197"/>
    </row>
    <row r="198" spans="15:15" x14ac:dyDescent="0.25">
      <c r="O198"/>
    </row>
    <row r="199" spans="15:15" x14ac:dyDescent="0.25">
      <c r="O199"/>
    </row>
    <row r="200" spans="15:15" x14ac:dyDescent="0.25">
      <c r="O200"/>
    </row>
    <row r="201" spans="15:15" x14ac:dyDescent="0.25">
      <c r="O201"/>
    </row>
    <row r="202" spans="15:15" x14ac:dyDescent="0.25">
      <c r="O202"/>
    </row>
    <row r="203" spans="15:15" x14ac:dyDescent="0.25">
      <c r="O203"/>
    </row>
    <row r="204" spans="15:15" x14ac:dyDescent="0.25">
      <c r="O204"/>
    </row>
    <row r="205" spans="15:15" x14ac:dyDescent="0.25">
      <c r="O205"/>
    </row>
    <row r="206" spans="15:15" x14ac:dyDescent="0.25">
      <c r="O206"/>
    </row>
    <row r="207" spans="15:15" x14ac:dyDescent="0.25">
      <c r="O207"/>
    </row>
    <row r="208" spans="15:15" x14ac:dyDescent="0.25">
      <c r="O208"/>
    </row>
    <row r="209" spans="15:15" x14ac:dyDescent="0.25">
      <c r="O209"/>
    </row>
    <row r="210" spans="15:15" x14ac:dyDescent="0.25">
      <c r="O210"/>
    </row>
    <row r="211" spans="15:15" x14ac:dyDescent="0.25">
      <c r="O211"/>
    </row>
    <row r="212" spans="15:15" x14ac:dyDescent="0.25">
      <c r="O212"/>
    </row>
    <row r="213" spans="15:15" x14ac:dyDescent="0.25">
      <c r="O213"/>
    </row>
    <row r="214" spans="15:15" x14ac:dyDescent="0.25">
      <c r="O214"/>
    </row>
    <row r="215" spans="15:15" x14ac:dyDescent="0.25">
      <c r="O215"/>
    </row>
    <row r="216" spans="15:15" x14ac:dyDescent="0.25">
      <c r="O216"/>
    </row>
    <row r="217" spans="15:15" x14ac:dyDescent="0.25">
      <c r="O217"/>
    </row>
    <row r="218" spans="15:15" x14ac:dyDescent="0.25">
      <c r="O218"/>
    </row>
    <row r="219" spans="15:15" x14ac:dyDescent="0.25">
      <c r="O219"/>
    </row>
    <row r="220" spans="15:15" x14ac:dyDescent="0.25">
      <c r="O220"/>
    </row>
    <row r="221" spans="15:15" x14ac:dyDescent="0.25">
      <c r="O221"/>
    </row>
    <row r="222" spans="15:15" x14ac:dyDescent="0.25">
      <c r="O222"/>
    </row>
    <row r="223" spans="15:15" x14ac:dyDescent="0.25">
      <c r="O223"/>
    </row>
    <row r="224" spans="15:15" x14ac:dyDescent="0.25">
      <c r="O224"/>
    </row>
    <row r="225" spans="15:15" x14ac:dyDescent="0.25">
      <c r="O225"/>
    </row>
    <row r="226" spans="15:15" x14ac:dyDescent="0.25">
      <c r="O226"/>
    </row>
    <row r="227" spans="15:15" x14ac:dyDescent="0.25">
      <c r="O227"/>
    </row>
    <row r="228" spans="15:15" x14ac:dyDescent="0.25">
      <c r="O228"/>
    </row>
    <row r="229" spans="15:15" x14ac:dyDescent="0.25">
      <c r="O229"/>
    </row>
    <row r="230" spans="15:15" x14ac:dyDescent="0.25">
      <c r="O230"/>
    </row>
    <row r="231" spans="15:15" x14ac:dyDescent="0.25">
      <c r="O231"/>
    </row>
    <row r="232" spans="15:15" x14ac:dyDescent="0.25">
      <c r="O232"/>
    </row>
    <row r="233" spans="15:15" x14ac:dyDescent="0.25">
      <c r="O233"/>
    </row>
    <row r="234" spans="15:15" x14ac:dyDescent="0.25">
      <c r="O234"/>
    </row>
    <row r="235" spans="15:15" x14ac:dyDescent="0.25">
      <c r="O235"/>
    </row>
    <row r="236" spans="15:15" x14ac:dyDescent="0.25">
      <c r="O236"/>
    </row>
    <row r="237" spans="15:15" x14ac:dyDescent="0.25">
      <c r="O237"/>
    </row>
    <row r="238" spans="15:15" x14ac:dyDescent="0.25">
      <c r="O238"/>
    </row>
    <row r="239" spans="15:15" x14ac:dyDescent="0.25">
      <c r="O239"/>
    </row>
    <row r="240" spans="15:15" x14ac:dyDescent="0.25">
      <c r="O240"/>
    </row>
    <row r="241" spans="15:15" x14ac:dyDescent="0.25">
      <c r="O241"/>
    </row>
    <row r="242" spans="15:15" x14ac:dyDescent="0.25">
      <c r="O242"/>
    </row>
    <row r="243" spans="15:15" x14ac:dyDescent="0.25">
      <c r="O243"/>
    </row>
    <row r="244" spans="15:15" x14ac:dyDescent="0.25">
      <c r="O244"/>
    </row>
    <row r="245" spans="15:15" x14ac:dyDescent="0.25">
      <c r="O245"/>
    </row>
    <row r="246" spans="15:15" x14ac:dyDescent="0.25">
      <c r="O246"/>
    </row>
    <row r="247" spans="15:15" x14ac:dyDescent="0.25">
      <c r="O247"/>
    </row>
    <row r="248" spans="15:15" x14ac:dyDescent="0.25">
      <c r="O248"/>
    </row>
    <row r="249" spans="15:15" x14ac:dyDescent="0.25">
      <c r="O249"/>
    </row>
    <row r="250" spans="15:15" x14ac:dyDescent="0.25">
      <c r="O250"/>
    </row>
    <row r="251" spans="15:15" x14ac:dyDescent="0.25">
      <c r="O251"/>
    </row>
    <row r="252" spans="15:15" x14ac:dyDescent="0.25">
      <c r="O252"/>
    </row>
    <row r="253" spans="15:15" x14ac:dyDescent="0.25">
      <c r="O253"/>
    </row>
    <row r="254" spans="15:15" x14ac:dyDescent="0.25">
      <c r="O254"/>
    </row>
    <row r="255" spans="15:15" x14ac:dyDescent="0.25">
      <c r="O255"/>
    </row>
    <row r="256" spans="15:15" x14ac:dyDescent="0.25">
      <c r="O256"/>
    </row>
    <row r="257" spans="15:15" x14ac:dyDescent="0.25">
      <c r="O257"/>
    </row>
    <row r="258" spans="15:15" x14ac:dyDescent="0.25">
      <c r="O258"/>
    </row>
    <row r="259" spans="15:15" x14ac:dyDescent="0.25">
      <c r="O259"/>
    </row>
    <row r="260" spans="15:15" x14ac:dyDescent="0.25">
      <c r="O260"/>
    </row>
    <row r="261" spans="15:15" x14ac:dyDescent="0.25">
      <c r="O261"/>
    </row>
    <row r="262" spans="15:15" x14ac:dyDescent="0.25">
      <c r="O262"/>
    </row>
    <row r="263" spans="15:15" x14ac:dyDescent="0.25">
      <c r="O263"/>
    </row>
    <row r="264" spans="15:15" x14ac:dyDescent="0.25">
      <c r="O264"/>
    </row>
    <row r="265" spans="15:15" x14ac:dyDescent="0.25">
      <c r="O265"/>
    </row>
    <row r="266" spans="15:15" x14ac:dyDescent="0.25">
      <c r="O266"/>
    </row>
    <row r="267" spans="15:15" x14ac:dyDescent="0.25">
      <c r="O267"/>
    </row>
    <row r="268" spans="15:15" x14ac:dyDescent="0.25">
      <c r="O268"/>
    </row>
    <row r="269" spans="15:15" x14ac:dyDescent="0.25">
      <c r="O269"/>
    </row>
    <row r="270" spans="15:15" x14ac:dyDescent="0.25">
      <c r="O270"/>
    </row>
    <row r="271" spans="15:15" x14ac:dyDescent="0.25">
      <c r="O271"/>
    </row>
    <row r="272" spans="15:15" x14ac:dyDescent="0.25">
      <c r="O272"/>
    </row>
    <row r="273" spans="15:15" x14ac:dyDescent="0.25">
      <c r="O273"/>
    </row>
    <row r="274" spans="15:15" x14ac:dyDescent="0.25">
      <c r="O274"/>
    </row>
    <row r="275" spans="15:15" x14ac:dyDescent="0.25">
      <c r="O275"/>
    </row>
    <row r="276" spans="15:15" x14ac:dyDescent="0.25">
      <c r="O276"/>
    </row>
    <row r="277" spans="15:15" x14ac:dyDescent="0.25">
      <c r="O277"/>
    </row>
    <row r="278" spans="15:15" x14ac:dyDescent="0.25">
      <c r="O278"/>
    </row>
    <row r="279" spans="15:15" x14ac:dyDescent="0.25">
      <c r="O279"/>
    </row>
    <row r="280" spans="15:15" x14ac:dyDescent="0.25">
      <c r="O280"/>
    </row>
    <row r="281" spans="15:15" x14ac:dyDescent="0.25">
      <c r="O281"/>
    </row>
    <row r="282" spans="15:15" x14ac:dyDescent="0.25">
      <c r="O282"/>
    </row>
    <row r="283" spans="15:15" x14ac:dyDescent="0.25">
      <c r="O283"/>
    </row>
    <row r="284" spans="15:15" x14ac:dyDescent="0.25">
      <c r="O284"/>
    </row>
    <row r="285" spans="15:15" x14ac:dyDescent="0.25">
      <c r="O285"/>
    </row>
    <row r="286" spans="15:15" x14ac:dyDescent="0.25">
      <c r="O286"/>
    </row>
    <row r="287" spans="15:15" x14ac:dyDescent="0.25">
      <c r="O287"/>
    </row>
    <row r="288" spans="15:15" x14ac:dyDescent="0.25">
      <c r="O288"/>
    </row>
    <row r="289" spans="15:15" x14ac:dyDescent="0.25">
      <c r="O289"/>
    </row>
    <row r="290" spans="15:15" x14ac:dyDescent="0.25">
      <c r="O290"/>
    </row>
    <row r="291" spans="15:15" x14ac:dyDescent="0.25">
      <c r="O291"/>
    </row>
    <row r="292" spans="15:15" x14ac:dyDescent="0.25">
      <c r="O292"/>
    </row>
    <row r="293" spans="15:15" x14ac:dyDescent="0.25">
      <c r="O293"/>
    </row>
    <row r="294" spans="15:15" x14ac:dyDescent="0.25">
      <c r="O294"/>
    </row>
    <row r="295" spans="15:15" x14ac:dyDescent="0.25">
      <c r="O295"/>
    </row>
    <row r="296" spans="15:15" x14ac:dyDescent="0.25">
      <c r="O296"/>
    </row>
    <row r="297" spans="15:15" x14ac:dyDescent="0.25">
      <c r="O297"/>
    </row>
    <row r="298" spans="15:15" x14ac:dyDescent="0.25">
      <c r="O298"/>
    </row>
    <row r="299" spans="15:15" x14ac:dyDescent="0.25">
      <c r="O299"/>
    </row>
    <row r="300" spans="15:15" x14ac:dyDescent="0.25">
      <c r="O300"/>
    </row>
    <row r="301" spans="15:15" x14ac:dyDescent="0.25">
      <c r="O301"/>
    </row>
    <row r="302" spans="15:15" x14ac:dyDescent="0.25">
      <c r="O302"/>
    </row>
    <row r="303" spans="15:15" x14ac:dyDescent="0.25">
      <c r="O303"/>
    </row>
    <row r="304" spans="15:15" x14ac:dyDescent="0.25">
      <c r="O304"/>
    </row>
    <row r="305" spans="15:15" x14ac:dyDescent="0.25">
      <c r="O305"/>
    </row>
    <row r="306" spans="15:15" x14ac:dyDescent="0.25">
      <c r="O306"/>
    </row>
    <row r="307" spans="15:15" x14ac:dyDescent="0.25">
      <c r="O307"/>
    </row>
    <row r="308" spans="15:15" x14ac:dyDescent="0.25">
      <c r="O308"/>
    </row>
    <row r="309" spans="15:15" x14ac:dyDescent="0.25">
      <c r="O309"/>
    </row>
    <row r="310" spans="15:15" x14ac:dyDescent="0.25">
      <c r="O310"/>
    </row>
    <row r="311" spans="15:15" x14ac:dyDescent="0.25">
      <c r="O311"/>
    </row>
    <row r="312" spans="15:15" x14ac:dyDescent="0.25">
      <c r="O312"/>
    </row>
    <row r="313" spans="15:15" x14ac:dyDescent="0.25">
      <c r="O313"/>
    </row>
    <row r="314" spans="15:15" x14ac:dyDescent="0.25">
      <c r="O314"/>
    </row>
    <row r="315" spans="15:15" x14ac:dyDescent="0.25">
      <c r="O315"/>
    </row>
    <row r="316" spans="15:15" x14ac:dyDescent="0.25">
      <c r="O316"/>
    </row>
    <row r="317" spans="15:15" x14ac:dyDescent="0.25">
      <c r="O317"/>
    </row>
    <row r="318" spans="15:15" x14ac:dyDescent="0.25">
      <c r="O318"/>
    </row>
    <row r="319" spans="15:15" x14ac:dyDescent="0.25">
      <c r="O319"/>
    </row>
    <row r="320" spans="15:15" x14ac:dyDescent="0.25">
      <c r="O320"/>
    </row>
    <row r="321" spans="15:15" x14ac:dyDescent="0.25">
      <c r="O321"/>
    </row>
    <row r="322" spans="15:15" x14ac:dyDescent="0.25">
      <c r="O322"/>
    </row>
    <row r="323" spans="15:15" x14ac:dyDescent="0.25">
      <c r="O323"/>
    </row>
    <row r="324" spans="15:15" x14ac:dyDescent="0.25">
      <c r="O324"/>
    </row>
    <row r="325" spans="15:15" x14ac:dyDescent="0.25">
      <c r="O325"/>
    </row>
    <row r="326" spans="15:15" x14ac:dyDescent="0.25">
      <c r="O326"/>
    </row>
    <row r="327" spans="15:15" x14ac:dyDescent="0.25">
      <c r="O327"/>
    </row>
    <row r="328" spans="15:15" x14ac:dyDescent="0.25">
      <c r="O328"/>
    </row>
    <row r="329" spans="15:15" x14ac:dyDescent="0.25">
      <c r="O329"/>
    </row>
    <row r="330" spans="15:15" x14ac:dyDescent="0.25">
      <c r="O330"/>
    </row>
    <row r="331" spans="15:15" x14ac:dyDescent="0.25">
      <c r="O331"/>
    </row>
    <row r="332" spans="15:15" x14ac:dyDescent="0.25">
      <c r="O332"/>
    </row>
    <row r="333" spans="15:15" x14ac:dyDescent="0.25">
      <c r="O333"/>
    </row>
    <row r="334" spans="15:15" x14ac:dyDescent="0.25">
      <c r="O334"/>
    </row>
    <row r="335" spans="15:15" x14ac:dyDescent="0.25">
      <c r="O335"/>
    </row>
    <row r="336" spans="15:15" x14ac:dyDescent="0.25">
      <c r="O336"/>
    </row>
  </sheetData>
  <autoFilter ref="A5:AC106" xr:uid="{00000000-0009-0000-0000-000006000000}"/>
  <mergeCells count="2">
    <mergeCell ref="G3:I3"/>
    <mergeCell ref="L3:N3"/>
  </mergeCells>
  <dataValidations count="18">
    <dataValidation type="list" allowBlank="1" showInputMessage="1" showErrorMessage="1" sqref="A43 A64:A86 A45:A62 A88:A101" xr:uid="{00000000-0002-0000-0600-000000000000}">
      <formula1>$A$344:$A$347</formula1>
    </dataValidation>
    <dataValidation type="list" allowBlank="1" showInputMessage="1" showErrorMessage="1" sqref="B43 B64:B86 B45:B62 B88:B101" xr:uid="{00000000-0002-0000-0600-000001000000}">
      <formula1>$B$344:$B$348</formula1>
    </dataValidation>
    <dataValidation type="list" allowBlank="1" showInputMessage="1" showErrorMessage="1" sqref="C43 C64:C86 C45:C62 C88:C101" xr:uid="{00000000-0002-0000-0600-000002000000}">
      <formula1>$C$344:$C$348</formula1>
    </dataValidation>
    <dataValidation showInputMessage="1" showErrorMessage="1" sqref="D79:D80" xr:uid="{00000000-0002-0000-0600-000003000000}"/>
    <dataValidation showDropDown="1" showInputMessage="1" showErrorMessage="1" sqref="D85" xr:uid="{00000000-0002-0000-0600-000004000000}"/>
    <dataValidation type="list" allowBlank="1" showInputMessage="1" showErrorMessage="1" sqref="D101 D71:D78 D86 D81:D83 D96:D97 D88:D89" xr:uid="{00000000-0002-0000-0600-000005000000}">
      <formula1>$E$379:$E$390</formula1>
    </dataValidation>
    <dataValidation type="list" allowBlank="1" showInputMessage="1" showErrorMessage="1" sqref="D94 D98:D99" xr:uid="{00000000-0002-0000-0600-000006000000}">
      <formula1>$E$374:$E$385</formula1>
    </dataValidation>
    <dataValidation type="list" allowBlank="1" showInputMessage="1" showErrorMessage="1" sqref="D84 D90:D93" xr:uid="{00000000-0002-0000-0600-000007000000}">
      <formula1>$E$365:$E$376</formula1>
    </dataValidation>
    <dataValidation type="list" allowBlank="1" showInputMessage="1" showErrorMessage="1" sqref="A44" xr:uid="{00000000-0002-0000-0600-000008000000}">
      <formula1>$A$348:$A$351</formula1>
    </dataValidation>
    <dataValidation type="list" allowBlank="1" showInputMessage="1" showErrorMessage="1" sqref="B44" xr:uid="{00000000-0002-0000-0600-000009000000}">
      <formula1>$B$348:$B$352</formula1>
    </dataValidation>
    <dataValidation type="list" allowBlank="1" showInputMessage="1" showErrorMessage="1" sqref="C44" xr:uid="{00000000-0002-0000-0600-00000A000000}">
      <formula1>$C$348:$C$352</formula1>
    </dataValidation>
    <dataValidation type="list" allowBlank="1" showInputMessage="1" showErrorMessage="1" sqref="A63" xr:uid="{00000000-0002-0000-0600-00000B000000}">
      <formula1>$A$347:$A$350</formula1>
    </dataValidation>
    <dataValidation type="list" allowBlank="1" showInputMessage="1" showErrorMessage="1" sqref="B63" xr:uid="{00000000-0002-0000-0600-00000C000000}">
      <formula1>$B$347:$B$351</formula1>
    </dataValidation>
    <dataValidation type="list" allowBlank="1" showInputMessage="1" showErrorMessage="1" sqref="C63" xr:uid="{00000000-0002-0000-0600-00000D000000}">
      <formula1>$C$347:$C$351</formula1>
    </dataValidation>
    <dataValidation type="list" allowBlank="1" showInputMessage="1" showErrorMessage="1" sqref="A87" xr:uid="{00000000-0002-0000-0600-00000E000000}">
      <formula1>$A$346:$A$349</formula1>
    </dataValidation>
    <dataValidation type="list" allowBlank="1" showInputMessage="1" showErrorMessage="1" sqref="B87" xr:uid="{00000000-0002-0000-0600-00000F000000}">
      <formula1>$B$346:$B$350</formula1>
    </dataValidation>
    <dataValidation type="list" allowBlank="1" showInputMessage="1" showErrorMessage="1" sqref="C87" xr:uid="{00000000-0002-0000-0600-000010000000}">
      <formula1>$C$346:$C$350</formula1>
    </dataValidation>
    <dataValidation type="list" allowBlank="1" showInputMessage="1" showErrorMessage="1" sqref="D87" xr:uid="{00000000-0002-0000-0600-000011000000}">
      <formula1>$E$381:$E$392</formula1>
    </dataValidation>
  </dataValidation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F1127"/>
  <sheetViews>
    <sheetView tabSelected="1" topLeftCell="G1" zoomScale="70" zoomScaleNormal="70" workbookViewId="0">
      <selection activeCell="N1136" sqref="N1136"/>
    </sheetView>
  </sheetViews>
  <sheetFormatPr baseColWidth="10" defaultColWidth="11.42578125" defaultRowHeight="15" x14ac:dyDescent="0.2"/>
  <cols>
    <col min="1" max="1" width="15.28515625" style="1315" bestFit="1" customWidth="1"/>
    <col min="2" max="2" width="22.5703125" style="1296" customWidth="1"/>
    <col min="3" max="3" width="33.85546875" style="1316" customWidth="1"/>
    <col min="4" max="4" width="22.85546875" style="1204" customWidth="1"/>
    <col min="5" max="5" width="33.42578125" style="1297" customWidth="1"/>
    <col min="6" max="6" width="60" style="1295" customWidth="1"/>
    <col min="7" max="7" width="19.5703125" style="1317" customWidth="1"/>
    <col min="8" max="8" width="19.140625" style="1317" customWidth="1"/>
    <col min="9" max="9" width="20.28515625" style="1318" customWidth="1"/>
    <col min="10" max="10" width="22.42578125" style="1204" customWidth="1"/>
    <col min="11" max="11" width="20.7109375" style="1204" customWidth="1"/>
    <col min="12" max="12" width="32.85546875" style="1297" customWidth="1"/>
    <col min="13" max="13" width="28" style="1336" customWidth="1"/>
    <col min="14" max="14" width="42.7109375" style="1204" customWidth="1"/>
    <col min="15" max="15" width="38.42578125" style="1204" customWidth="1"/>
    <col min="16" max="16" width="24.7109375" style="1314" customWidth="1"/>
    <col min="17" max="20" width="24.7109375" style="1314" hidden="1" customWidth="1"/>
    <col min="21" max="22" width="24.7109375" style="1322" hidden="1" customWidth="1"/>
    <col min="23" max="24" width="24.7109375" style="1314" hidden="1" customWidth="1"/>
    <col min="25" max="40" width="24.7109375" style="1314" customWidth="1"/>
    <col min="41" max="41" width="33.28515625" style="1314" customWidth="1"/>
    <col min="42" max="42" width="32.140625" style="1314" customWidth="1"/>
    <col min="43" max="43" width="26.7109375" style="1314" customWidth="1"/>
    <col min="44" max="44" width="27.28515625" style="1314" customWidth="1"/>
    <col min="45" max="45" width="16.85546875" style="1314" customWidth="1"/>
    <col min="46" max="46" width="19" style="1314" customWidth="1"/>
    <col min="47" max="47" width="93.7109375" style="1314" customWidth="1"/>
    <col min="48" max="48" width="11.85546875" style="1314" customWidth="1"/>
    <col min="49" max="49" width="10.85546875" style="1314" customWidth="1"/>
    <col min="50" max="50" width="43.28515625" style="1314" customWidth="1"/>
    <col min="51" max="51" width="9" style="1314" customWidth="1"/>
    <col min="52" max="84" width="11.42578125" style="1314"/>
    <col min="85" max="16384" width="11.42578125" style="1204"/>
  </cols>
  <sheetData>
    <row r="1" spans="1:84" s="1156" customFormat="1" x14ac:dyDescent="0.25">
      <c r="A1" s="1395" t="s">
        <v>641</v>
      </c>
      <c r="B1" s="1395"/>
      <c r="C1" s="1395"/>
      <c r="D1" s="1395"/>
      <c r="E1" s="1395"/>
      <c r="F1" s="1395"/>
      <c r="G1" s="1395"/>
      <c r="H1" s="1395"/>
      <c r="I1" s="1395"/>
      <c r="J1" s="1395"/>
      <c r="K1" s="1395"/>
      <c r="L1" s="1395"/>
      <c r="M1" s="1155"/>
      <c r="N1" s="1155"/>
      <c r="O1" s="1155"/>
      <c r="P1" s="1311"/>
      <c r="Q1" s="1311"/>
      <c r="R1" s="1311"/>
      <c r="S1" s="1311"/>
      <c r="T1" s="1311"/>
      <c r="U1" s="1321"/>
      <c r="V1" s="1321"/>
      <c r="W1" s="1311"/>
      <c r="X1" s="1311"/>
      <c r="Y1" s="1311"/>
      <c r="Z1" s="1311"/>
      <c r="AA1" s="1311"/>
      <c r="AB1" s="1311"/>
      <c r="AC1" s="1311"/>
      <c r="AD1" s="1311"/>
      <c r="AE1" s="1311"/>
      <c r="AF1" s="1311"/>
      <c r="AG1" s="1311"/>
      <c r="AH1" s="1311"/>
      <c r="AI1" s="1311"/>
      <c r="AJ1" s="1311"/>
      <c r="AK1" s="1311"/>
      <c r="AL1" s="1311"/>
      <c r="AM1" s="1311"/>
      <c r="AN1" s="1311"/>
      <c r="AO1" s="1311"/>
      <c r="AP1" s="1311"/>
      <c r="AQ1" s="1311"/>
      <c r="AR1" s="1311"/>
      <c r="AS1" s="1311"/>
      <c r="AT1" s="1311"/>
      <c r="AU1" s="1311"/>
      <c r="AV1" s="1311"/>
      <c r="AW1" s="1311"/>
      <c r="AX1" s="1311"/>
      <c r="AY1" s="1311"/>
      <c r="AZ1" s="1311"/>
      <c r="BA1" s="1311"/>
      <c r="BB1" s="1311"/>
      <c r="BC1" s="1311"/>
      <c r="BD1" s="1311"/>
      <c r="BE1" s="1311"/>
      <c r="BF1" s="1311"/>
      <c r="BG1" s="1311"/>
      <c r="BH1" s="1311"/>
      <c r="BI1" s="1311"/>
      <c r="BJ1" s="1311"/>
      <c r="BK1" s="1311"/>
      <c r="BL1" s="1311"/>
      <c r="BM1" s="1311"/>
      <c r="BN1" s="1311"/>
      <c r="BO1" s="1311"/>
      <c r="BP1" s="1311"/>
      <c r="BQ1" s="1311"/>
      <c r="BR1" s="1311"/>
      <c r="BS1" s="1311"/>
      <c r="BT1" s="1311"/>
      <c r="BU1" s="1311"/>
      <c r="BV1" s="1311"/>
      <c r="BW1" s="1311"/>
      <c r="BX1" s="1311"/>
      <c r="BY1" s="1311"/>
      <c r="BZ1" s="1311"/>
      <c r="CA1" s="1311"/>
      <c r="CB1" s="1311"/>
      <c r="CC1" s="1311"/>
      <c r="CD1" s="1311"/>
      <c r="CE1" s="1311"/>
      <c r="CF1" s="1311"/>
    </row>
    <row r="2" spans="1:84" s="1156" customFormat="1" x14ac:dyDescent="0.25">
      <c r="A2" s="1395" t="s">
        <v>642</v>
      </c>
      <c r="B2" s="1395"/>
      <c r="C2" s="1395"/>
      <c r="D2" s="1395"/>
      <c r="E2" s="1395"/>
      <c r="F2" s="1395"/>
      <c r="G2" s="1395"/>
      <c r="H2" s="1395"/>
      <c r="I2" s="1395"/>
      <c r="J2" s="1395"/>
      <c r="K2" s="1395"/>
      <c r="L2" s="1395"/>
      <c r="M2" s="1334"/>
      <c r="N2" s="1155"/>
      <c r="O2" s="1155"/>
      <c r="P2" s="1311"/>
      <c r="Q2" s="1311"/>
      <c r="R2" s="1311"/>
      <c r="S2" s="1311"/>
      <c r="T2" s="1311"/>
      <c r="U2" s="1321"/>
      <c r="V2" s="1321"/>
      <c r="W2" s="1311"/>
      <c r="X2" s="1311"/>
      <c r="Y2" s="1311"/>
      <c r="Z2" s="1311"/>
      <c r="AA2" s="1311"/>
      <c r="AB2" s="1311"/>
      <c r="AC2" s="1311"/>
      <c r="AD2" s="1311"/>
      <c r="AE2" s="1311"/>
      <c r="AF2" s="1311"/>
      <c r="AG2" s="1311"/>
      <c r="AH2" s="1311"/>
      <c r="AI2" s="1311"/>
      <c r="AJ2" s="1311"/>
      <c r="AK2" s="1311"/>
      <c r="AL2" s="1311"/>
      <c r="AM2" s="1311"/>
      <c r="AN2" s="1311"/>
      <c r="AO2" s="1311"/>
      <c r="AP2" s="1311"/>
      <c r="AQ2" s="1311"/>
      <c r="AR2" s="1311"/>
      <c r="AS2" s="1311"/>
      <c r="AT2" s="1311"/>
      <c r="AU2" s="1311"/>
      <c r="AV2" s="1311"/>
      <c r="AW2" s="1311"/>
      <c r="AX2" s="1311"/>
      <c r="AY2" s="1311"/>
      <c r="AZ2" s="1311"/>
      <c r="BA2" s="1311"/>
      <c r="BB2" s="1311"/>
      <c r="BC2" s="1311"/>
      <c r="BD2" s="1311"/>
      <c r="BE2" s="1311"/>
      <c r="BF2" s="1311"/>
      <c r="BG2" s="1311"/>
      <c r="BH2" s="1311"/>
      <c r="BI2" s="1311"/>
      <c r="BJ2" s="1311"/>
      <c r="BK2" s="1311"/>
      <c r="BL2" s="1311"/>
      <c r="BM2" s="1311"/>
      <c r="BN2" s="1311"/>
      <c r="BO2" s="1311"/>
      <c r="BP2" s="1311"/>
      <c r="BQ2" s="1311"/>
      <c r="BR2" s="1311"/>
      <c r="BS2" s="1311"/>
      <c r="BT2" s="1311"/>
      <c r="BU2" s="1311"/>
      <c r="BV2" s="1311"/>
      <c r="BW2" s="1311"/>
      <c r="BX2" s="1311"/>
      <c r="BY2" s="1311"/>
      <c r="BZ2" s="1311"/>
      <c r="CA2" s="1311"/>
      <c r="CB2" s="1311"/>
      <c r="CC2" s="1311"/>
      <c r="CD2" s="1311"/>
      <c r="CE2" s="1311"/>
      <c r="CF2" s="1311"/>
    </row>
    <row r="3" spans="1:84" s="1156" customFormat="1" x14ac:dyDescent="0.25">
      <c r="A3" s="1333"/>
      <c r="B3" s="1333"/>
      <c r="C3" s="1333"/>
      <c r="D3" s="1333"/>
      <c r="E3" s="1333"/>
      <c r="F3" s="1333"/>
      <c r="G3" s="1333"/>
      <c r="H3" s="1333"/>
      <c r="I3" s="1333"/>
      <c r="J3" s="1333"/>
      <c r="K3" s="1333"/>
      <c r="L3" s="1333"/>
      <c r="M3" s="1333"/>
      <c r="N3" s="1333"/>
      <c r="O3" s="1333"/>
      <c r="P3" s="1311"/>
      <c r="Q3" s="1311"/>
      <c r="R3" s="1311"/>
      <c r="S3" s="1311"/>
      <c r="T3" s="1311"/>
      <c r="U3" s="1321"/>
      <c r="V3" s="1321"/>
      <c r="W3" s="1311"/>
      <c r="X3" s="1311"/>
      <c r="Y3" s="1311"/>
      <c r="Z3" s="1311"/>
      <c r="AA3" s="1311"/>
      <c r="AB3" s="1311"/>
      <c r="AC3" s="1311"/>
      <c r="AD3" s="1311"/>
      <c r="AE3" s="1311"/>
      <c r="AF3" s="1311"/>
      <c r="AG3" s="1311"/>
      <c r="AH3" s="1311"/>
      <c r="AI3" s="1311"/>
      <c r="AJ3" s="1311"/>
      <c r="AK3" s="1311"/>
      <c r="AL3" s="1311"/>
      <c r="AM3" s="1311"/>
      <c r="AN3" s="1311"/>
      <c r="AO3" s="1311"/>
      <c r="AP3" s="1311"/>
      <c r="AQ3" s="1311"/>
      <c r="AR3" s="1311"/>
      <c r="AS3" s="1311"/>
      <c r="AT3" s="1311"/>
      <c r="AU3" s="1311"/>
      <c r="AV3" s="1311"/>
      <c r="AW3" s="1311"/>
      <c r="AX3" s="1311"/>
      <c r="AY3" s="1311"/>
      <c r="AZ3" s="1311"/>
      <c r="BA3" s="1311"/>
      <c r="BB3" s="1311"/>
      <c r="BC3" s="1311"/>
      <c r="BD3" s="1311"/>
      <c r="BE3" s="1311"/>
      <c r="BF3" s="1311"/>
      <c r="BG3" s="1311"/>
      <c r="BH3" s="1311"/>
      <c r="BI3" s="1311"/>
      <c r="BJ3" s="1311"/>
      <c r="BK3" s="1311"/>
      <c r="BL3" s="1311"/>
      <c r="BM3" s="1311"/>
      <c r="BN3" s="1311"/>
      <c r="BO3" s="1311"/>
      <c r="BP3" s="1311"/>
      <c r="BQ3" s="1311"/>
      <c r="BR3" s="1311"/>
      <c r="BS3" s="1311"/>
      <c r="BT3" s="1311"/>
      <c r="BU3" s="1311"/>
      <c r="BV3" s="1311"/>
      <c r="BW3" s="1311"/>
      <c r="BX3" s="1311"/>
      <c r="BY3" s="1311"/>
      <c r="BZ3" s="1311"/>
      <c r="CA3" s="1311"/>
      <c r="CB3" s="1311"/>
      <c r="CC3" s="1311"/>
      <c r="CD3" s="1311"/>
      <c r="CE3" s="1311"/>
      <c r="CF3" s="1311"/>
    </row>
    <row r="4" spans="1:84" s="1156" customFormat="1" x14ac:dyDescent="0.2">
      <c r="A4" s="1311"/>
      <c r="B4" s="1157"/>
      <c r="C4" s="1197"/>
      <c r="D4" s="1158"/>
      <c r="E4" s="1157"/>
      <c r="G4" s="1312"/>
      <c r="H4" s="1312"/>
      <c r="I4" s="1159"/>
      <c r="J4" s="1158"/>
      <c r="K4" s="1158"/>
      <c r="L4" s="1337"/>
      <c r="M4" s="1395" t="s">
        <v>643</v>
      </c>
      <c r="N4" s="1396"/>
      <c r="P4" s="1311"/>
      <c r="Q4" s="1311"/>
      <c r="R4" s="1311"/>
      <c r="S4" s="1311"/>
      <c r="T4" s="1311"/>
      <c r="U4" s="1321"/>
      <c r="V4" s="1321"/>
      <c r="W4" s="1311"/>
      <c r="X4" s="1311"/>
      <c r="Y4" s="1311"/>
      <c r="Z4" s="1311"/>
      <c r="AA4" s="1311"/>
      <c r="AB4" s="1311"/>
      <c r="AC4" s="1311"/>
      <c r="AD4" s="1311"/>
      <c r="AE4" s="1311"/>
      <c r="AF4" s="1311"/>
      <c r="AG4" s="1311"/>
      <c r="AH4" s="1311"/>
      <c r="AI4" s="1311"/>
      <c r="AJ4" s="1314" t="s">
        <v>644</v>
      </c>
      <c r="AK4" s="1314"/>
      <c r="AL4" s="1314"/>
      <c r="AM4" s="1314"/>
      <c r="AN4" s="1311"/>
      <c r="AO4" s="1311"/>
      <c r="AP4" s="1311"/>
      <c r="AQ4" s="1311"/>
      <c r="AR4" s="1311"/>
      <c r="AS4" s="1311"/>
      <c r="AT4" s="1311"/>
      <c r="AU4" s="1311"/>
      <c r="AV4" s="1311"/>
      <c r="AW4" s="1311"/>
      <c r="AX4" s="1311"/>
      <c r="AY4" s="1311"/>
      <c r="AZ4" s="1311"/>
      <c r="BA4" s="1311"/>
      <c r="BB4" s="1311"/>
      <c r="BC4" s="1311"/>
      <c r="BD4" s="1311"/>
      <c r="BE4" s="1311"/>
      <c r="BF4" s="1311"/>
      <c r="BG4" s="1311"/>
      <c r="BH4" s="1311"/>
      <c r="BI4" s="1311"/>
      <c r="BJ4" s="1311"/>
      <c r="BK4" s="1311"/>
      <c r="BL4" s="1311"/>
      <c r="BM4" s="1311"/>
      <c r="BN4" s="1311"/>
      <c r="BO4" s="1311"/>
      <c r="BP4" s="1311"/>
      <c r="BQ4" s="1311"/>
      <c r="BR4" s="1311"/>
      <c r="BS4" s="1311"/>
      <c r="BT4" s="1311"/>
      <c r="BU4" s="1311"/>
      <c r="BV4" s="1311"/>
      <c r="BW4" s="1311"/>
      <c r="BX4" s="1311"/>
      <c r="BY4" s="1311"/>
      <c r="BZ4" s="1311"/>
      <c r="CA4" s="1311"/>
      <c r="CB4" s="1311"/>
      <c r="CC4" s="1311"/>
      <c r="CD4" s="1311"/>
      <c r="CE4" s="1311"/>
      <c r="CF4" s="1311"/>
    </row>
    <row r="5" spans="1:84" s="1156" customFormat="1" x14ac:dyDescent="0.2">
      <c r="A5" s="1313"/>
      <c r="B5" s="1161"/>
      <c r="C5" s="1197"/>
      <c r="D5" s="1160"/>
      <c r="E5" s="1157"/>
      <c r="G5" s="1312"/>
      <c r="H5" s="1312"/>
      <c r="I5" s="1157"/>
      <c r="K5" s="1324"/>
      <c r="L5" s="1163"/>
      <c r="M5" s="1334">
        <f>+SUBTOTAL(9,M8:M3705)</f>
        <v>77098219</v>
      </c>
      <c r="N5" s="1165"/>
      <c r="O5" s="1165"/>
      <c r="P5" s="1325"/>
      <c r="Q5" s="1311"/>
      <c r="R5" s="1320"/>
      <c r="S5" s="1320">
        <f>+SUBTOTAL(9,S8:S1037)</f>
        <v>42000000</v>
      </c>
      <c r="T5" s="1320"/>
      <c r="U5" s="1320">
        <f>+SUBTOTAL(9,U8:U1037)</f>
        <v>42000000</v>
      </c>
      <c r="V5" s="1320">
        <f>+SUBTOTAL(9,V8:V1127)</f>
        <v>14000000</v>
      </c>
      <c r="W5" s="1311"/>
      <c r="X5" s="1311"/>
      <c r="Y5" s="1311"/>
      <c r="Z5" s="1311"/>
      <c r="AA5" s="1311"/>
      <c r="AB5" s="1311"/>
      <c r="AC5" s="1311"/>
      <c r="AD5" s="1311"/>
      <c r="AE5" s="1311"/>
      <c r="AF5" s="1311"/>
      <c r="AG5" s="1311"/>
      <c r="AH5" s="1311"/>
      <c r="AI5" s="1311"/>
      <c r="AJ5" s="1314">
        <v>7637</v>
      </c>
      <c r="AK5" s="1314" t="s">
        <v>645</v>
      </c>
      <c r="AL5" s="1314" t="s">
        <v>646</v>
      </c>
      <c r="AM5" s="1314" t="s">
        <v>647</v>
      </c>
      <c r="AN5" s="1311"/>
      <c r="AO5" s="1311"/>
      <c r="AP5" s="1311"/>
      <c r="AQ5" s="1311"/>
      <c r="AR5" s="1311"/>
      <c r="AS5" s="1311"/>
      <c r="AT5" s="1311"/>
      <c r="AU5" s="1311"/>
      <c r="AV5" s="1311"/>
      <c r="AW5" s="1311"/>
      <c r="AX5" s="1311"/>
      <c r="AY5" s="1311"/>
      <c r="AZ5" s="1311"/>
      <c r="BA5" s="1311"/>
      <c r="BB5" s="1311"/>
      <c r="BC5" s="1311"/>
      <c r="BD5" s="1311"/>
      <c r="BE5" s="1311"/>
      <c r="BF5" s="1311"/>
      <c r="BG5" s="1311"/>
      <c r="BH5" s="1311"/>
      <c r="BI5" s="1311"/>
      <c r="BJ5" s="1311"/>
      <c r="BK5" s="1311"/>
      <c r="BL5" s="1311"/>
      <c r="BM5" s="1311"/>
      <c r="BN5" s="1311"/>
      <c r="BO5" s="1311"/>
      <c r="BP5" s="1311"/>
      <c r="BQ5" s="1311"/>
      <c r="BR5" s="1311"/>
      <c r="BS5" s="1311"/>
      <c r="BT5" s="1311"/>
      <c r="BU5" s="1311"/>
      <c r="BV5" s="1311"/>
      <c r="BW5" s="1311"/>
      <c r="BX5" s="1311"/>
      <c r="BY5" s="1311"/>
      <c r="BZ5" s="1311"/>
      <c r="CA5" s="1311"/>
      <c r="CB5" s="1311"/>
      <c r="CC5" s="1311"/>
      <c r="CD5" s="1311"/>
      <c r="CE5" s="1311"/>
      <c r="CF5" s="1311"/>
    </row>
    <row r="6" spans="1:84" s="1156" customFormat="1" x14ac:dyDescent="0.2">
      <c r="X6" s="1325">
        <f>+X5-V5</f>
        <v>-14000000</v>
      </c>
      <c r="Y6" s="1311"/>
      <c r="Z6" s="1311"/>
      <c r="AA6" s="1311"/>
      <c r="AB6" s="1311"/>
      <c r="AC6" s="1311"/>
      <c r="AD6" s="1311"/>
      <c r="AE6" s="1311"/>
      <c r="AF6" s="1311"/>
      <c r="AG6" s="1311"/>
      <c r="AH6" s="1311"/>
      <c r="AI6" s="1311"/>
      <c r="AJ6" s="1314">
        <v>7655</v>
      </c>
      <c r="AK6" s="1314" t="s">
        <v>648</v>
      </c>
      <c r="AL6" s="1314" t="s">
        <v>649</v>
      </c>
      <c r="AM6" s="1314" t="s">
        <v>650</v>
      </c>
      <c r="AN6" s="1311"/>
      <c r="AO6" s="1311"/>
      <c r="AP6" s="1311"/>
      <c r="AQ6" s="1311"/>
      <c r="AR6" s="1311"/>
      <c r="AS6" s="1311"/>
      <c r="AT6" s="1311"/>
      <c r="AU6" s="1311"/>
      <c r="AV6" s="1311"/>
      <c r="AW6" s="1311"/>
      <c r="AX6" s="1311"/>
      <c r="AY6" s="1311"/>
      <c r="AZ6" s="1311"/>
      <c r="BA6" s="1311"/>
      <c r="BB6" s="1311"/>
      <c r="BC6" s="1311"/>
      <c r="BD6" s="1311"/>
      <c r="BE6" s="1311"/>
      <c r="BF6" s="1311"/>
      <c r="BG6" s="1311"/>
      <c r="BH6" s="1311"/>
      <c r="BI6" s="1311"/>
      <c r="BJ6" s="1311"/>
      <c r="BK6" s="1311"/>
      <c r="BL6" s="1311"/>
      <c r="BM6" s="1311"/>
      <c r="BN6" s="1311"/>
      <c r="BO6" s="1311"/>
      <c r="BP6" s="1311"/>
      <c r="BQ6" s="1311"/>
      <c r="BR6" s="1311"/>
      <c r="BS6" s="1311"/>
      <c r="BT6" s="1311"/>
      <c r="BU6" s="1311"/>
      <c r="BV6" s="1311"/>
      <c r="BW6" s="1311"/>
      <c r="BX6" s="1311"/>
      <c r="BY6" s="1311"/>
      <c r="BZ6" s="1311"/>
      <c r="CA6" s="1311"/>
      <c r="CB6" s="1311"/>
      <c r="CC6" s="1311"/>
      <c r="CD6" s="1311"/>
      <c r="CE6" s="1311"/>
      <c r="CF6" s="1311"/>
    </row>
    <row r="7" spans="1:84" s="1156" customFormat="1" ht="90" x14ac:dyDescent="0.2">
      <c r="A7" s="1166" t="s">
        <v>651</v>
      </c>
      <c r="B7" s="1166" t="s">
        <v>644</v>
      </c>
      <c r="C7" s="1166" t="s">
        <v>652</v>
      </c>
      <c r="D7" s="1166" t="s">
        <v>653</v>
      </c>
      <c r="E7" s="1166" t="s">
        <v>654</v>
      </c>
      <c r="F7" s="1166" t="s">
        <v>655</v>
      </c>
      <c r="G7" s="1166" t="s">
        <v>656</v>
      </c>
      <c r="H7" s="1166" t="s">
        <v>657</v>
      </c>
      <c r="I7" s="1166" t="s">
        <v>658</v>
      </c>
      <c r="J7" s="1166" t="s">
        <v>659</v>
      </c>
      <c r="K7" s="1166" t="s">
        <v>660</v>
      </c>
      <c r="L7" s="1168" t="s">
        <v>661</v>
      </c>
      <c r="M7" s="1335" t="s">
        <v>662</v>
      </c>
      <c r="N7" s="1166" t="s">
        <v>663</v>
      </c>
      <c r="O7" s="1166" t="s">
        <v>664</v>
      </c>
      <c r="P7" s="1166" t="s">
        <v>665</v>
      </c>
      <c r="Q7" s="1319" t="s">
        <v>666</v>
      </c>
      <c r="R7" s="1319" t="s">
        <v>667</v>
      </c>
      <c r="S7" s="1319" t="s">
        <v>668</v>
      </c>
      <c r="T7" s="1319" t="s">
        <v>669</v>
      </c>
      <c r="U7" s="1323" t="s">
        <v>670</v>
      </c>
      <c r="V7" s="1323" t="s">
        <v>671</v>
      </c>
      <c r="W7" s="1319" t="s">
        <v>672</v>
      </c>
      <c r="AJ7" s="1204">
        <v>7658</v>
      </c>
      <c r="AK7" s="1204" t="s">
        <v>673</v>
      </c>
      <c r="AL7" s="1204" t="s">
        <v>674</v>
      </c>
      <c r="AM7" s="1204" t="s">
        <v>675</v>
      </c>
    </row>
    <row r="8" spans="1:84" ht="105" hidden="1" x14ac:dyDescent="0.2">
      <c r="A8" s="1169">
        <v>2022001</v>
      </c>
      <c r="B8" s="1169">
        <v>7637</v>
      </c>
      <c r="C8" s="1326" t="s">
        <v>645</v>
      </c>
      <c r="D8" s="1170" t="s">
        <v>674</v>
      </c>
      <c r="E8" s="1171">
        <v>80111600</v>
      </c>
      <c r="F8" s="1172" t="s">
        <v>676</v>
      </c>
      <c r="G8" s="1228">
        <v>44562</v>
      </c>
      <c r="H8" s="1228">
        <v>44592</v>
      </c>
      <c r="I8" s="1173">
        <v>11</v>
      </c>
      <c r="J8" s="1173" t="s">
        <v>677</v>
      </c>
      <c r="K8" s="1174" t="s">
        <v>678</v>
      </c>
      <c r="L8" s="1175" t="s">
        <v>679</v>
      </c>
      <c r="M8" s="1176">
        <f>70100000-43032640-20000000-7067360</f>
        <v>0</v>
      </c>
      <c r="N8" s="1186" t="s">
        <v>680</v>
      </c>
      <c r="O8" s="1171" t="s">
        <v>681</v>
      </c>
      <c r="P8" s="1170" t="s">
        <v>682</v>
      </c>
      <c r="Q8" s="1156"/>
      <c r="R8" s="1266">
        <v>0</v>
      </c>
      <c r="S8" s="1266"/>
      <c r="T8" s="1266">
        <f>+'PAA V30'!$R8-'PAA V30'!$S8</f>
        <v>0</v>
      </c>
      <c r="U8" s="1266"/>
      <c r="V8" s="1266"/>
      <c r="W8" s="1331"/>
      <c r="X8" s="1204"/>
      <c r="Y8" s="1204"/>
      <c r="Z8" s="1204"/>
      <c r="AA8" s="1204"/>
      <c r="AB8" s="1204"/>
      <c r="AC8" s="1204"/>
      <c r="AD8" s="1204"/>
      <c r="AE8" s="1204"/>
      <c r="AF8" s="1204"/>
      <c r="AG8" s="1204"/>
      <c r="AH8" s="1204"/>
      <c r="AI8" s="1204"/>
      <c r="AJ8" s="1204" t="s">
        <v>459</v>
      </c>
      <c r="AK8" s="1204"/>
      <c r="AL8" s="1204" t="s">
        <v>683</v>
      </c>
      <c r="AM8" s="1204" t="s">
        <v>684</v>
      </c>
      <c r="AN8" s="1204"/>
      <c r="AO8" s="1204"/>
      <c r="AP8" s="1204"/>
      <c r="AQ8" s="1204"/>
      <c r="AR8" s="1204"/>
      <c r="AS8" s="1204"/>
      <c r="AT8" s="1204"/>
      <c r="AU8" s="1204"/>
      <c r="AV8" s="1204"/>
      <c r="AW8" s="1204"/>
      <c r="AX8" s="1204"/>
      <c r="AY8" s="1204"/>
      <c r="AZ8" s="1204"/>
      <c r="BA8" s="1204"/>
      <c r="BB8" s="1204"/>
      <c r="BC8" s="1204"/>
      <c r="BD8" s="1204"/>
      <c r="BE8" s="1204"/>
      <c r="BF8" s="1204"/>
      <c r="BG8" s="1204"/>
      <c r="BH8" s="1204"/>
      <c r="BI8" s="1204"/>
      <c r="BJ8" s="1204"/>
      <c r="BK8" s="1204"/>
      <c r="BL8" s="1204"/>
      <c r="BM8" s="1204"/>
      <c r="BN8" s="1204"/>
      <c r="BO8" s="1204"/>
      <c r="BP8" s="1204"/>
      <c r="BQ8" s="1204"/>
      <c r="BR8" s="1204"/>
      <c r="BS8" s="1204"/>
      <c r="BT8" s="1204"/>
      <c r="BU8" s="1204"/>
      <c r="BV8" s="1204"/>
      <c r="BW8" s="1204"/>
      <c r="BX8" s="1204"/>
      <c r="BY8" s="1204"/>
      <c r="BZ8" s="1204"/>
      <c r="CA8" s="1204"/>
      <c r="CB8" s="1204"/>
      <c r="CC8" s="1204"/>
      <c r="CD8" s="1204"/>
      <c r="CE8" s="1204"/>
      <c r="CF8" s="1204"/>
    </row>
    <row r="9" spans="1:84" ht="105" hidden="1" x14ac:dyDescent="0.2">
      <c r="A9" s="1169">
        <v>2022002</v>
      </c>
      <c r="B9" s="1169">
        <v>7637</v>
      </c>
      <c r="C9" s="1326" t="s">
        <v>645</v>
      </c>
      <c r="D9" s="1170" t="s">
        <v>674</v>
      </c>
      <c r="E9" s="1171">
        <v>80111600</v>
      </c>
      <c r="F9" s="1172" t="s">
        <v>685</v>
      </c>
      <c r="G9" s="1228">
        <v>44562</v>
      </c>
      <c r="H9" s="1228">
        <v>44592</v>
      </c>
      <c r="I9" s="1173">
        <v>11</v>
      </c>
      <c r="J9" s="1173" t="s">
        <v>677</v>
      </c>
      <c r="K9" s="1174" t="s">
        <v>678</v>
      </c>
      <c r="L9" s="1175" t="s">
        <v>679</v>
      </c>
      <c r="M9" s="1176">
        <f>77000000-2200000</f>
        <v>74800000</v>
      </c>
      <c r="N9" s="1186" t="s">
        <v>680</v>
      </c>
      <c r="O9" s="1171" t="s">
        <v>681</v>
      </c>
      <c r="P9" s="1170" t="s">
        <v>682</v>
      </c>
      <c r="Q9" s="1204"/>
      <c r="R9" s="1266">
        <v>74800000</v>
      </c>
      <c r="S9" s="1327">
        <v>74800000</v>
      </c>
      <c r="T9" s="1327">
        <f>+'PAA V30'!$R9-'PAA V30'!$S9</f>
        <v>0</v>
      </c>
      <c r="U9" s="1327">
        <v>74800000</v>
      </c>
      <c r="V9" s="1327">
        <v>29240000</v>
      </c>
      <c r="W9" s="1327"/>
      <c r="X9" s="1204"/>
      <c r="Y9" s="1204"/>
      <c r="Z9" s="1204"/>
      <c r="AA9" s="1204"/>
      <c r="AB9" s="1204"/>
      <c r="AC9" s="1204"/>
      <c r="AD9" s="1204"/>
      <c r="AE9" s="1204"/>
      <c r="AF9" s="1204"/>
      <c r="AG9" s="1204"/>
      <c r="AH9" s="1204"/>
      <c r="AI9" s="1204"/>
      <c r="AJ9" s="1204"/>
      <c r="AK9" s="1204"/>
      <c r="AL9" s="1204" t="s">
        <v>686</v>
      </c>
      <c r="AM9" s="1204" t="s">
        <v>687</v>
      </c>
      <c r="AN9" s="1204"/>
      <c r="AO9" s="1204"/>
      <c r="AP9" s="1204"/>
      <c r="AQ9" s="1204"/>
      <c r="AR9" s="1204"/>
      <c r="AS9" s="1204"/>
      <c r="AT9" s="1204"/>
      <c r="AU9" s="1204"/>
      <c r="AV9" s="1204"/>
      <c r="AW9" s="1204"/>
      <c r="AX9" s="1204"/>
      <c r="AY9" s="1204"/>
      <c r="AZ9" s="1204"/>
      <c r="BA9" s="1204"/>
      <c r="BB9" s="1204"/>
      <c r="BC9" s="1204"/>
      <c r="BD9" s="1204"/>
      <c r="BE9" s="1204"/>
      <c r="BF9" s="1204"/>
      <c r="BG9" s="1204"/>
      <c r="BH9" s="1204"/>
      <c r="BI9" s="1204"/>
      <c r="BJ9" s="1204"/>
      <c r="BK9" s="1204"/>
      <c r="BL9" s="1204"/>
      <c r="BM9" s="1204"/>
      <c r="BN9" s="1204"/>
      <c r="BO9" s="1204"/>
      <c r="BP9" s="1204"/>
      <c r="BQ9" s="1204"/>
      <c r="BR9" s="1204"/>
      <c r="BS9" s="1204"/>
      <c r="BT9" s="1204"/>
      <c r="BU9" s="1204"/>
      <c r="BV9" s="1204"/>
      <c r="BW9" s="1204"/>
      <c r="BX9" s="1204"/>
      <c r="BY9" s="1204"/>
      <c r="BZ9" s="1204"/>
      <c r="CA9" s="1204"/>
      <c r="CB9" s="1204"/>
      <c r="CC9" s="1204"/>
      <c r="CD9" s="1204"/>
      <c r="CE9" s="1204"/>
      <c r="CF9" s="1204"/>
    </row>
    <row r="10" spans="1:84" ht="105" hidden="1" x14ac:dyDescent="0.2">
      <c r="A10" s="1169">
        <v>2022003</v>
      </c>
      <c r="B10" s="1169">
        <v>7637</v>
      </c>
      <c r="C10" s="1326" t="s">
        <v>645</v>
      </c>
      <c r="D10" s="1170" t="s">
        <v>674</v>
      </c>
      <c r="E10" s="1171">
        <v>80111600</v>
      </c>
      <c r="F10" s="1172" t="s">
        <v>688</v>
      </c>
      <c r="G10" s="1228">
        <v>44562</v>
      </c>
      <c r="H10" s="1228">
        <v>44592</v>
      </c>
      <c r="I10" s="1173">
        <v>11</v>
      </c>
      <c r="J10" s="1173" t="s">
        <v>677</v>
      </c>
      <c r="K10" s="1174" t="s">
        <v>678</v>
      </c>
      <c r="L10" s="1175" t="s">
        <v>679</v>
      </c>
      <c r="M10" s="1176">
        <f>77000000-8800000-18600000</f>
        <v>49600000</v>
      </c>
      <c r="N10" s="1344" t="s">
        <v>689</v>
      </c>
      <c r="O10" s="1171" t="s">
        <v>681</v>
      </c>
      <c r="P10" s="1170" t="s">
        <v>682</v>
      </c>
      <c r="Q10" s="1204"/>
      <c r="R10" s="1266">
        <v>49600000</v>
      </c>
      <c r="S10" s="1327">
        <v>49600000</v>
      </c>
      <c r="T10" s="1327">
        <f>+'PAA V30'!$R10-'PAA V30'!$S10</f>
        <v>0</v>
      </c>
      <c r="U10" s="1327">
        <v>49600000</v>
      </c>
      <c r="V10" s="1327">
        <v>24800000</v>
      </c>
      <c r="W10" s="1327"/>
      <c r="X10" s="1204"/>
      <c r="Y10" s="1204"/>
      <c r="Z10" s="1204"/>
      <c r="AA10" s="1204"/>
      <c r="AB10" s="1204"/>
      <c r="AC10" s="1204"/>
      <c r="AD10" s="1204"/>
      <c r="AE10" s="1204"/>
      <c r="AF10" s="1204"/>
      <c r="AG10" s="1204"/>
      <c r="AH10" s="1204"/>
      <c r="AI10" s="1204"/>
      <c r="AJ10" s="1204"/>
      <c r="AK10" s="1204"/>
      <c r="AL10" s="1204" t="s">
        <v>690</v>
      </c>
      <c r="AM10" s="1204" t="s">
        <v>691</v>
      </c>
      <c r="AN10" s="1204"/>
      <c r="AO10" s="1204"/>
      <c r="AP10" s="1204"/>
      <c r="AQ10" s="1204"/>
      <c r="AR10" s="1204"/>
      <c r="AS10" s="1204"/>
      <c r="AT10" s="1204"/>
      <c r="AU10" s="1204"/>
      <c r="AV10" s="1204"/>
      <c r="AW10" s="1204"/>
      <c r="AX10" s="1204"/>
      <c r="AY10" s="1204"/>
      <c r="AZ10" s="1204"/>
      <c r="BA10" s="1204"/>
      <c r="BB10" s="1204"/>
      <c r="BC10" s="1204"/>
      <c r="BD10" s="1204"/>
      <c r="BE10" s="1204"/>
      <c r="BF10" s="1204"/>
      <c r="BG10" s="1204"/>
      <c r="BH10" s="1204"/>
      <c r="BI10" s="1204"/>
      <c r="BJ10" s="1204"/>
      <c r="BK10" s="1204"/>
      <c r="BL10" s="1204"/>
      <c r="BM10" s="1204"/>
      <c r="BN10" s="1204"/>
      <c r="BO10" s="1204"/>
      <c r="BP10" s="1204"/>
      <c r="BQ10" s="1204"/>
      <c r="BR10" s="1204"/>
      <c r="BS10" s="1204"/>
      <c r="BT10" s="1204"/>
      <c r="BU10" s="1204"/>
      <c r="BV10" s="1204"/>
      <c r="BW10" s="1204"/>
      <c r="BX10" s="1204"/>
      <c r="BY10" s="1204"/>
      <c r="BZ10" s="1204"/>
      <c r="CA10" s="1204"/>
      <c r="CB10" s="1204"/>
      <c r="CC10" s="1204"/>
      <c r="CD10" s="1204"/>
      <c r="CE10" s="1204"/>
      <c r="CF10" s="1204"/>
    </row>
    <row r="11" spans="1:84" ht="105" hidden="1" x14ac:dyDescent="0.2">
      <c r="A11" s="1169">
        <v>2022004</v>
      </c>
      <c r="B11" s="1169">
        <v>7637</v>
      </c>
      <c r="C11" s="1326" t="s">
        <v>645</v>
      </c>
      <c r="D11" s="1170" t="s">
        <v>674</v>
      </c>
      <c r="E11" s="1171">
        <v>80111600</v>
      </c>
      <c r="F11" s="1172" t="s">
        <v>692</v>
      </c>
      <c r="G11" s="1228">
        <v>44562</v>
      </c>
      <c r="H11" s="1228">
        <v>44592</v>
      </c>
      <c r="I11" s="1173">
        <v>11</v>
      </c>
      <c r="J11" s="1173" t="s">
        <v>677</v>
      </c>
      <c r="K11" s="1174" t="s">
        <v>678</v>
      </c>
      <c r="L11" s="1175" t="s">
        <v>679</v>
      </c>
      <c r="M11" s="1176">
        <f>77000000-2200000</f>
        <v>74800000</v>
      </c>
      <c r="N11" s="1186" t="s">
        <v>680</v>
      </c>
      <c r="O11" s="1171" t="s">
        <v>681</v>
      </c>
      <c r="P11" s="1170" t="s">
        <v>682</v>
      </c>
      <c r="Q11" s="1204"/>
      <c r="R11" s="1266">
        <v>74800000</v>
      </c>
      <c r="S11" s="1327">
        <v>74800000</v>
      </c>
      <c r="T11" s="1327">
        <f>+'PAA V30'!$R11-'PAA V30'!$S11</f>
        <v>0</v>
      </c>
      <c r="U11" s="1327">
        <v>74800000</v>
      </c>
      <c r="V11" s="1327">
        <v>28560000</v>
      </c>
      <c r="W11" s="1327"/>
      <c r="X11" s="1204"/>
      <c r="Y11" s="1204"/>
      <c r="Z11" s="1204"/>
      <c r="AA11" s="1204"/>
      <c r="AB11" s="1204"/>
      <c r="AC11" s="1204"/>
      <c r="AD11" s="1204"/>
      <c r="AE11" s="1204"/>
      <c r="AF11" s="1204"/>
      <c r="AG11" s="1204"/>
      <c r="AH11" s="1204"/>
      <c r="AI11" s="1204"/>
      <c r="AJ11" s="1204"/>
      <c r="AK11" s="1204"/>
      <c r="AL11" s="1204" t="s">
        <v>693</v>
      </c>
      <c r="AM11" s="1204" t="s">
        <v>694</v>
      </c>
      <c r="AN11" s="1204"/>
      <c r="AO11" s="1204"/>
      <c r="AP11" s="1204"/>
      <c r="AQ11" s="1204"/>
      <c r="AR11" s="1204"/>
      <c r="AS11" s="1204"/>
      <c r="AT11" s="1204"/>
      <c r="AU11" s="1204"/>
      <c r="AV11" s="1204"/>
      <c r="AW11" s="1204"/>
      <c r="AX11" s="1204"/>
      <c r="AY11" s="1204"/>
      <c r="AZ11" s="1204"/>
      <c r="BA11" s="1204"/>
      <c r="BB11" s="1204"/>
      <c r="BC11" s="1204"/>
      <c r="BD11" s="1204"/>
      <c r="BE11" s="1204"/>
      <c r="BF11" s="1204"/>
      <c r="BG11" s="1204"/>
      <c r="BH11" s="1204"/>
      <c r="BI11" s="1204"/>
      <c r="BJ11" s="1204"/>
      <c r="BK11" s="1204"/>
      <c r="BL11" s="1204"/>
      <c r="BM11" s="1204"/>
      <c r="BN11" s="1204"/>
      <c r="BO11" s="1204"/>
      <c r="BP11" s="1204"/>
      <c r="BQ11" s="1204"/>
      <c r="BR11" s="1204"/>
      <c r="BS11" s="1204"/>
      <c r="BT11" s="1204"/>
      <c r="BU11" s="1204"/>
      <c r="BV11" s="1204"/>
      <c r="BW11" s="1204"/>
      <c r="BX11" s="1204"/>
      <c r="BY11" s="1204"/>
      <c r="BZ11" s="1204"/>
      <c r="CA11" s="1204"/>
      <c r="CB11" s="1204"/>
      <c r="CC11" s="1204"/>
      <c r="CD11" s="1204"/>
      <c r="CE11" s="1204"/>
      <c r="CF11" s="1204"/>
    </row>
    <row r="12" spans="1:84" ht="105" hidden="1" x14ac:dyDescent="0.2">
      <c r="A12" s="1169">
        <v>2022005</v>
      </c>
      <c r="B12" s="1169">
        <v>7637</v>
      </c>
      <c r="C12" s="1326" t="s">
        <v>645</v>
      </c>
      <c r="D12" s="1170" t="s">
        <v>674</v>
      </c>
      <c r="E12" s="1171">
        <v>80111600</v>
      </c>
      <c r="F12" s="1172" t="s">
        <v>695</v>
      </c>
      <c r="G12" s="1228">
        <v>44562</v>
      </c>
      <c r="H12" s="1228">
        <v>44592</v>
      </c>
      <c r="I12" s="1173">
        <v>6</v>
      </c>
      <c r="J12" s="1173" t="s">
        <v>677</v>
      </c>
      <c r="K12" s="1174" t="s">
        <v>678</v>
      </c>
      <c r="L12" s="1175" t="s">
        <v>679</v>
      </c>
      <c r="M12" s="1176">
        <f>77000000-20400000-1100000-13600000-1100000</f>
        <v>40800000</v>
      </c>
      <c r="N12" s="1186" t="s">
        <v>680</v>
      </c>
      <c r="O12" s="1171" t="s">
        <v>681</v>
      </c>
      <c r="P12" s="1170" t="s">
        <v>682</v>
      </c>
      <c r="Q12" s="1204"/>
      <c r="R12" s="1266">
        <v>40800000</v>
      </c>
      <c r="S12" s="1327">
        <v>40800000</v>
      </c>
      <c r="T12" s="1327">
        <f>+'PAA V30'!$R12-'PAA V30'!$S12</f>
        <v>0</v>
      </c>
      <c r="U12" s="1327">
        <v>40800000</v>
      </c>
      <c r="V12" s="1327">
        <v>27200000</v>
      </c>
      <c r="W12" s="1327"/>
      <c r="X12" s="1204"/>
      <c r="Y12" s="1204"/>
      <c r="Z12" s="1204"/>
      <c r="AA12" s="1204"/>
      <c r="AB12" s="1204"/>
      <c r="AC12" s="1204"/>
      <c r="AD12" s="1204"/>
      <c r="AE12" s="1204"/>
      <c r="AF12" s="1204"/>
      <c r="AG12" s="1204"/>
      <c r="AH12" s="1204"/>
      <c r="AI12" s="1204"/>
      <c r="AJ12" s="1204"/>
      <c r="AK12" s="1204"/>
      <c r="AL12" s="1204" t="s">
        <v>696</v>
      </c>
      <c r="AM12" s="1204" t="s">
        <v>697</v>
      </c>
      <c r="AN12" s="1204"/>
      <c r="AO12" s="1204"/>
      <c r="AP12" s="1204"/>
      <c r="AQ12" s="1204"/>
      <c r="AR12" s="1204"/>
      <c r="AS12" s="1204"/>
      <c r="AT12" s="1204"/>
      <c r="AU12" s="1204"/>
      <c r="AV12" s="1204"/>
      <c r="AW12" s="1204"/>
      <c r="AX12" s="1204"/>
      <c r="AY12" s="1204"/>
      <c r="AZ12" s="1204"/>
      <c r="BA12" s="1204"/>
      <c r="BB12" s="1204"/>
      <c r="BC12" s="1204"/>
      <c r="BD12" s="1204"/>
      <c r="BE12" s="1204"/>
      <c r="BF12" s="1204"/>
      <c r="BG12" s="1204"/>
      <c r="BH12" s="1204"/>
      <c r="BI12" s="1204"/>
      <c r="BJ12" s="1204"/>
      <c r="BK12" s="1204"/>
      <c r="BL12" s="1204"/>
      <c r="BM12" s="1204"/>
      <c r="BN12" s="1204"/>
      <c r="BO12" s="1204"/>
      <c r="BP12" s="1204"/>
      <c r="BQ12" s="1204"/>
      <c r="BR12" s="1204"/>
      <c r="BS12" s="1204"/>
      <c r="BT12" s="1204"/>
      <c r="BU12" s="1204"/>
      <c r="BV12" s="1204"/>
      <c r="BW12" s="1204"/>
      <c r="BX12" s="1204"/>
      <c r="BY12" s="1204"/>
      <c r="BZ12" s="1204"/>
      <c r="CA12" s="1204"/>
      <c r="CB12" s="1204"/>
      <c r="CC12" s="1204"/>
      <c r="CD12" s="1204"/>
      <c r="CE12" s="1204"/>
      <c r="CF12" s="1204"/>
    </row>
    <row r="13" spans="1:84" ht="105" hidden="1" x14ac:dyDescent="0.2">
      <c r="A13" s="1169">
        <v>2022006</v>
      </c>
      <c r="B13" s="1169">
        <v>7637</v>
      </c>
      <c r="C13" s="1326" t="s">
        <v>645</v>
      </c>
      <c r="D13" s="1170" t="s">
        <v>674</v>
      </c>
      <c r="E13" s="1171">
        <v>80111600</v>
      </c>
      <c r="F13" s="1172" t="s">
        <v>698</v>
      </c>
      <c r="G13" s="1228">
        <v>44562</v>
      </c>
      <c r="H13" s="1228">
        <v>44592</v>
      </c>
      <c r="I13" s="1173">
        <v>11</v>
      </c>
      <c r="J13" s="1173" t="s">
        <v>677</v>
      </c>
      <c r="K13" s="1174" t="s">
        <v>678</v>
      </c>
      <c r="L13" s="1175" t="s">
        <v>679</v>
      </c>
      <c r="M13" s="1176">
        <f>66000000-18000000</f>
        <v>48000000</v>
      </c>
      <c r="N13" s="1186" t="s">
        <v>680</v>
      </c>
      <c r="O13" s="1171" t="s">
        <v>681</v>
      </c>
      <c r="P13" s="1170" t="s">
        <v>682</v>
      </c>
      <c r="Q13" s="1204"/>
      <c r="R13" s="1266">
        <v>48000000</v>
      </c>
      <c r="S13" s="1327">
        <v>48000000</v>
      </c>
      <c r="T13" s="1327">
        <f>+'PAA V30'!$R13-'PAA V30'!$S13</f>
        <v>0</v>
      </c>
      <c r="U13" s="1327">
        <v>48000000</v>
      </c>
      <c r="V13" s="1327">
        <v>24000000</v>
      </c>
      <c r="W13" s="1327"/>
      <c r="X13" s="1204"/>
      <c r="Y13" s="1204"/>
      <c r="Z13" s="1204"/>
      <c r="AA13" s="1204"/>
      <c r="AB13" s="1204"/>
      <c r="AC13" s="1204"/>
      <c r="AD13" s="1204"/>
      <c r="AE13" s="1204"/>
      <c r="AF13" s="1204"/>
      <c r="AG13" s="1204"/>
      <c r="AH13" s="1204"/>
      <c r="AI13" s="1204"/>
      <c r="AJ13" s="1204"/>
      <c r="AK13" s="1204"/>
      <c r="AL13" s="1204" t="s">
        <v>699</v>
      </c>
      <c r="AM13" s="1204" t="s">
        <v>700</v>
      </c>
      <c r="AN13" s="1204"/>
      <c r="AO13" s="1204"/>
      <c r="AP13" s="1204"/>
      <c r="AQ13" s="1204"/>
      <c r="AR13" s="1204"/>
      <c r="AS13" s="1204"/>
      <c r="AT13" s="1204"/>
      <c r="AU13" s="1204"/>
      <c r="AV13" s="1204"/>
      <c r="AW13" s="1204"/>
      <c r="AX13" s="1204"/>
      <c r="AY13" s="1204"/>
      <c r="AZ13" s="1204"/>
      <c r="BA13" s="1204"/>
      <c r="BB13" s="1204"/>
      <c r="BC13" s="1204"/>
      <c r="BD13" s="1204"/>
      <c r="BE13" s="1204"/>
      <c r="BF13" s="1204"/>
      <c r="BG13" s="1204"/>
      <c r="BH13" s="1204"/>
      <c r="BI13" s="1204"/>
      <c r="BJ13" s="1204"/>
      <c r="BK13" s="1204"/>
      <c r="BL13" s="1204"/>
      <c r="BM13" s="1204"/>
      <c r="BN13" s="1204"/>
      <c r="BO13" s="1204"/>
      <c r="BP13" s="1204"/>
      <c r="BQ13" s="1204"/>
      <c r="BR13" s="1204"/>
      <c r="BS13" s="1204"/>
      <c r="BT13" s="1204"/>
      <c r="BU13" s="1204"/>
      <c r="BV13" s="1204"/>
      <c r="BW13" s="1204"/>
      <c r="BX13" s="1204"/>
      <c r="BY13" s="1204"/>
      <c r="BZ13" s="1204"/>
      <c r="CA13" s="1204"/>
      <c r="CB13" s="1204"/>
      <c r="CC13" s="1204"/>
      <c r="CD13" s="1204"/>
      <c r="CE13" s="1204"/>
      <c r="CF13" s="1204"/>
    </row>
    <row r="14" spans="1:84" ht="105" hidden="1" x14ac:dyDescent="0.2">
      <c r="A14" s="1169">
        <v>2022007</v>
      </c>
      <c r="B14" s="1169">
        <v>7637</v>
      </c>
      <c r="C14" s="1326" t="s">
        <v>645</v>
      </c>
      <c r="D14" s="1170" t="s">
        <v>674</v>
      </c>
      <c r="E14" s="1171">
        <v>80111600</v>
      </c>
      <c r="F14" s="1172" t="s">
        <v>701</v>
      </c>
      <c r="G14" s="1228">
        <v>44562</v>
      </c>
      <c r="H14" s="1228">
        <v>44592</v>
      </c>
      <c r="I14" s="1173">
        <v>11</v>
      </c>
      <c r="J14" s="1173" t="s">
        <v>677</v>
      </c>
      <c r="K14" s="1174" t="s">
        <v>678</v>
      </c>
      <c r="L14" s="1175" t="s">
        <v>679</v>
      </c>
      <c r="M14" s="1176">
        <f>77000000-2200000</f>
        <v>74800000</v>
      </c>
      <c r="N14" s="1186" t="s">
        <v>680</v>
      </c>
      <c r="O14" s="1171" t="s">
        <v>681</v>
      </c>
      <c r="P14" s="1170" t="s">
        <v>682</v>
      </c>
      <c r="Q14" s="1204"/>
      <c r="R14" s="1266">
        <v>74800000</v>
      </c>
      <c r="S14" s="1327">
        <v>74800000</v>
      </c>
      <c r="T14" s="1327">
        <f>+'PAA V30'!$R14-'PAA V30'!$S14</f>
        <v>0</v>
      </c>
      <c r="U14" s="1327">
        <v>74800000</v>
      </c>
      <c r="V14" s="1327">
        <v>29240000</v>
      </c>
      <c r="W14" s="1327"/>
      <c r="X14" s="1204"/>
      <c r="Y14" s="1204"/>
      <c r="Z14" s="1204"/>
      <c r="AA14" s="1204"/>
      <c r="AB14" s="1204"/>
      <c r="AC14" s="1204"/>
      <c r="AD14" s="1204"/>
      <c r="AE14" s="1204"/>
      <c r="AF14" s="1204"/>
      <c r="AG14" s="1204"/>
      <c r="AH14" s="1204"/>
      <c r="AI14" s="1204"/>
      <c r="AJ14" s="1204"/>
      <c r="AK14" s="1204"/>
      <c r="AL14" s="1204" t="s">
        <v>702</v>
      </c>
      <c r="AM14" s="1204" t="s">
        <v>703</v>
      </c>
      <c r="AN14" s="1204"/>
      <c r="AO14" s="1204"/>
      <c r="AP14" s="1204"/>
      <c r="AQ14" s="1204"/>
      <c r="AR14" s="1204"/>
      <c r="AS14" s="1204"/>
      <c r="AT14" s="1204"/>
      <c r="AU14" s="1204"/>
      <c r="AV14" s="1204"/>
      <c r="AW14" s="1204"/>
      <c r="AX14" s="1204"/>
      <c r="AY14" s="1204"/>
      <c r="AZ14" s="1204"/>
      <c r="BA14" s="1204"/>
      <c r="BB14" s="1204"/>
      <c r="BC14" s="1204"/>
      <c r="BD14" s="1204"/>
      <c r="BE14" s="1204"/>
      <c r="BF14" s="1204"/>
      <c r="BG14" s="1204"/>
      <c r="BH14" s="1204"/>
      <c r="BI14" s="1204"/>
      <c r="BJ14" s="1204"/>
      <c r="BK14" s="1204"/>
      <c r="BL14" s="1204"/>
      <c r="BM14" s="1204"/>
      <c r="BN14" s="1204"/>
      <c r="BO14" s="1204"/>
      <c r="BP14" s="1204"/>
      <c r="BQ14" s="1204"/>
      <c r="BR14" s="1204"/>
      <c r="BS14" s="1204"/>
      <c r="BT14" s="1204"/>
      <c r="BU14" s="1204"/>
      <c r="BV14" s="1204"/>
      <c r="BW14" s="1204"/>
      <c r="BX14" s="1204"/>
      <c r="BY14" s="1204"/>
      <c r="BZ14" s="1204"/>
      <c r="CA14" s="1204"/>
      <c r="CB14" s="1204"/>
      <c r="CC14" s="1204"/>
      <c r="CD14" s="1204"/>
      <c r="CE14" s="1204"/>
      <c r="CF14" s="1204"/>
    </row>
    <row r="15" spans="1:84" ht="105" hidden="1" x14ac:dyDescent="0.2">
      <c r="A15" s="1169">
        <v>2022008</v>
      </c>
      <c r="B15" s="1169">
        <v>7637</v>
      </c>
      <c r="C15" s="1326" t="s">
        <v>645</v>
      </c>
      <c r="D15" s="1170" t="s">
        <v>674</v>
      </c>
      <c r="E15" s="1171">
        <v>80111600</v>
      </c>
      <c r="F15" s="1172" t="s">
        <v>704</v>
      </c>
      <c r="G15" s="1228">
        <v>44562</v>
      </c>
      <c r="H15" s="1228">
        <v>44592</v>
      </c>
      <c r="I15" s="1173">
        <v>11</v>
      </c>
      <c r="J15" s="1173" t="s">
        <v>677</v>
      </c>
      <c r="K15" s="1174" t="s">
        <v>678</v>
      </c>
      <c r="L15" s="1175" t="s">
        <v>679</v>
      </c>
      <c r="M15" s="1176">
        <f>77000000-2200000</f>
        <v>74800000</v>
      </c>
      <c r="N15" s="1186" t="s">
        <v>680</v>
      </c>
      <c r="O15" s="1171" t="s">
        <v>681</v>
      </c>
      <c r="P15" s="1170" t="s">
        <v>682</v>
      </c>
      <c r="Q15" s="1204"/>
      <c r="R15" s="1266">
        <v>74800000</v>
      </c>
      <c r="S15" s="1327">
        <v>74800000</v>
      </c>
      <c r="T15" s="1327">
        <f>+'PAA V30'!$R15-'PAA V30'!$S15</f>
        <v>0</v>
      </c>
      <c r="U15" s="1327">
        <v>74800000</v>
      </c>
      <c r="V15" s="1327">
        <v>27880000</v>
      </c>
      <c r="W15" s="1327"/>
      <c r="X15" s="1204"/>
      <c r="Y15" s="1204"/>
      <c r="Z15" s="1204"/>
      <c r="AA15" s="1204"/>
      <c r="AB15" s="1204"/>
      <c r="AC15" s="1204"/>
      <c r="AD15" s="1204"/>
      <c r="AE15" s="1204"/>
      <c r="AF15" s="1204"/>
      <c r="AG15" s="1204"/>
      <c r="AH15" s="1204"/>
      <c r="AI15" s="1204"/>
      <c r="AJ15" s="1204"/>
      <c r="AK15" s="1204"/>
      <c r="AL15" s="1204"/>
      <c r="AM15" s="1204" t="s">
        <v>705</v>
      </c>
      <c r="AN15" s="1204"/>
      <c r="AO15" s="1204"/>
      <c r="AP15" s="1204"/>
      <c r="AQ15" s="1204"/>
      <c r="AR15" s="1204"/>
      <c r="AS15" s="1204"/>
      <c r="AT15" s="1204"/>
      <c r="AU15" s="1204"/>
      <c r="AV15" s="1204"/>
      <c r="AW15" s="1204"/>
      <c r="AX15" s="1204"/>
      <c r="AY15" s="1204"/>
      <c r="AZ15" s="1204"/>
      <c r="BA15" s="1204"/>
      <c r="BB15" s="1204"/>
      <c r="BC15" s="1204"/>
      <c r="BD15" s="1204"/>
      <c r="BE15" s="1204"/>
      <c r="BF15" s="1204"/>
      <c r="BG15" s="1204"/>
      <c r="BH15" s="1204"/>
      <c r="BI15" s="1204"/>
      <c r="BJ15" s="1204"/>
      <c r="BK15" s="1204"/>
      <c r="BL15" s="1204"/>
      <c r="BM15" s="1204"/>
      <c r="BN15" s="1204"/>
      <c r="BO15" s="1204"/>
      <c r="BP15" s="1204"/>
      <c r="BQ15" s="1204"/>
      <c r="BR15" s="1204"/>
      <c r="BS15" s="1204"/>
      <c r="BT15" s="1204"/>
      <c r="BU15" s="1204"/>
      <c r="BV15" s="1204"/>
      <c r="BW15" s="1204"/>
      <c r="BX15" s="1204"/>
      <c r="BY15" s="1204"/>
      <c r="BZ15" s="1204"/>
      <c r="CA15" s="1204"/>
      <c r="CB15" s="1204"/>
      <c r="CC15" s="1204"/>
      <c r="CD15" s="1204"/>
      <c r="CE15" s="1204"/>
      <c r="CF15" s="1204"/>
    </row>
    <row r="16" spans="1:84" ht="105" hidden="1" x14ac:dyDescent="0.2">
      <c r="A16" s="1169">
        <v>2022009</v>
      </c>
      <c r="B16" s="1169">
        <v>7637</v>
      </c>
      <c r="C16" s="1326" t="s">
        <v>645</v>
      </c>
      <c r="D16" s="1170" t="s">
        <v>674</v>
      </c>
      <c r="E16" s="1171">
        <v>80111600</v>
      </c>
      <c r="F16" s="1172" t="s">
        <v>706</v>
      </c>
      <c r="G16" s="1228">
        <v>44562</v>
      </c>
      <c r="H16" s="1228">
        <v>44592</v>
      </c>
      <c r="I16" s="1173">
        <v>11</v>
      </c>
      <c r="J16" s="1173" t="s">
        <v>677</v>
      </c>
      <c r="K16" s="1174" t="s">
        <v>678</v>
      </c>
      <c r="L16" s="1175" t="s">
        <v>679</v>
      </c>
      <c r="M16" s="1176">
        <f>77000000-8800000-18600000</f>
        <v>49600000</v>
      </c>
      <c r="N16" s="1344" t="s">
        <v>707</v>
      </c>
      <c r="O16" s="1171" t="s">
        <v>681</v>
      </c>
      <c r="P16" s="1170" t="s">
        <v>682</v>
      </c>
      <c r="Q16" s="1204"/>
      <c r="R16" s="1266">
        <v>49600000</v>
      </c>
      <c r="S16" s="1327">
        <v>49600000</v>
      </c>
      <c r="T16" s="1327">
        <f>+'PAA V30'!$R16-'PAA V30'!$S16</f>
        <v>0</v>
      </c>
      <c r="U16" s="1327">
        <v>49600000</v>
      </c>
      <c r="V16" s="1327">
        <v>24800000</v>
      </c>
      <c r="W16" s="1327"/>
      <c r="X16" s="1204"/>
      <c r="Y16" s="1204"/>
      <c r="Z16" s="1204"/>
      <c r="AA16" s="1204"/>
      <c r="AB16" s="1204"/>
      <c r="AC16" s="1204"/>
      <c r="AD16" s="1204"/>
      <c r="AE16" s="1204"/>
      <c r="AF16" s="1204"/>
      <c r="AG16" s="1204"/>
      <c r="AH16" s="1204"/>
      <c r="AI16" s="1204"/>
      <c r="AJ16" s="1204"/>
      <c r="AK16" s="1204"/>
      <c r="AL16" s="1204"/>
      <c r="AM16" s="1204" t="s">
        <v>708</v>
      </c>
      <c r="AN16" s="1204"/>
      <c r="AO16" s="1204"/>
      <c r="AP16" s="1204"/>
      <c r="AQ16" s="1204"/>
      <c r="AR16" s="1204"/>
      <c r="AS16" s="1204"/>
      <c r="AT16" s="1204"/>
      <c r="AU16" s="1204"/>
      <c r="AV16" s="1204"/>
      <c r="AW16" s="1204"/>
      <c r="AX16" s="1204"/>
      <c r="AY16" s="1204"/>
      <c r="AZ16" s="1204"/>
      <c r="BA16" s="1204"/>
      <c r="BB16" s="1204"/>
      <c r="BC16" s="1204"/>
      <c r="BD16" s="1204"/>
      <c r="BE16" s="1204"/>
      <c r="BF16" s="1204"/>
      <c r="BG16" s="1204"/>
      <c r="BH16" s="1204"/>
      <c r="BI16" s="1204"/>
      <c r="BJ16" s="1204"/>
      <c r="BK16" s="1204"/>
      <c r="BL16" s="1204"/>
      <c r="BM16" s="1204"/>
      <c r="BN16" s="1204"/>
      <c r="BO16" s="1204"/>
      <c r="BP16" s="1204"/>
      <c r="BQ16" s="1204"/>
      <c r="BR16" s="1204"/>
      <c r="BS16" s="1204"/>
      <c r="BT16" s="1204"/>
      <c r="BU16" s="1204"/>
      <c r="BV16" s="1204"/>
      <c r="BW16" s="1204"/>
      <c r="BX16" s="1204"/>
      <c r="BY16" s="1204"/>
      <c r="BZ16" s="1204"/>
      <c r="CA16" s="1204"/>
      <c r="CB16" s="1204"/>
      <c r="CC16" s="1204"/>
      <c r="CD16" s="1204"/>
      <c r="CE16" s="1204"/>
      <c r="CF16" s="1204"/>
    </row>
    <row r="17" spans="1:39" s="1204" customFormat="1" ht="105" hidden="1" x14ac:dyDescent="0.2">
      <c r="A17" s="1169">
        <v>2022010</v>
      </c>
      <c r="B17" s="1169">
        <v>7637</v>
      </c>
      <c r="C17" s="1326" t="s">
        <v>645</v>
      </c>
      <c r="D17" s="1170" t="s">
        <v>674</v>
      </c>
      <c r="E17" s="1171">
        <v>80111600</v>
      </c>
      <c r="F17" s="1172" t="s">
        <v>709</v>
      </c>
      <c r="G17" s="1228">
        <v>44562</v>
      </c>
      <c r="H17" s="1228">
        <v>44592</v>
      </c>
      <c r="I17" s="1173">
        <v>11</v>
      </c>
      <c r="J17" s="1173" t="s">
        <v>677</v>
      </c>
      <c r="K17" s="1174" t="s">
        <v>678</v>
      </c>
      <c r="L17" s="1175" t="s">
        <v>679</v>
      </c>
      <c r="M17" s="1176">
        <f>66000000-16400000</f>
        <v>49600000</v>
      </c>
      <c r="N17" s="1186" t="s">
        <v>680</v>
      </c>
      <c r="O17" s="1171" t="s">
        <v>681</v>
      </c>
      <c r="P17" s="1170" t="s">
        <v>682</v>
      </c>
      <c r="R17" s="1266">
        <v>49600000</v>
      </c>
      <c r="S17" s="1327">
        <v>49600000</v>
      </c>
      <c r="T17" s="1327">
        <f>+'PAA V30'!$R17-'PAA V30'!$S17</f>
        <v>0</v>
      </c>
      <c r="U17" s="1327">
        <v>49600000</v>
      </c>
      <c r="V17" s="1327">
        <v>24800000</v>
      </c>
      <c r="W17" s="1327"/>
      <c r="AM17" s="1204" t="s">
        <v>710</v>
      </c>
    </row>
    <row r="18" spans="1:39" s="1204" customFormat="1" ht="105" hidden="1" x14ac:dyDescent="0.2">
      <c r="A18" s="1169">
        <v>2022011</v>
      </c>
      <c r="B18" s="1169">
        <v>7637</v>
      </c>
      <c r="C18" s="1326" t="s">
        <v>645</v>
      </c>
      <c r="D18" s="1170" t="s">
        <v>674</v>
      </c>
      <c r="E18" s="1171">
        <v>80111600</v>
      </c>
      <c r="F18" s="1172" t="s">
        <v>711</v>
      </c>
      <c r="G18" s="1228">
        <v>44562</v>
      </c>
      <c r="H18" s="1228">
        <v>44592</v>
      </c>
      <c r="I18" s="1173">
        <v>11</v>
      </c>
      <c r="J18" s="1173" t="s">
        <v>677</v>
      </c>
      <c r="K18" s="1174" t="s">
        <v>678</v>
      </c>
      <c r="L18" s="1175" t="s">
        <v>679</v>
      </c>
      <c r="M18" s="1176">
        <f>33000000-9000000</f>
        <v>24000000</v>
      </c>
      <c r="N18" s="1186" t="s">
        <v>680</v>
      </c>
      <c r="O18" s="1171" t="s">
        <v>681</v>
      </c>
      <c r="P18" s="1170" t="s">
        <v>682</v>
      </c>
      <c r="R18" s="1266">
        <v>24000000</v>
      </c>
      <c r="S18" s="1327">
        <v>24000000</v>
      </c>
      <c r="T18" s="1327">
        <f>+'PAA V30'!$R18-'PAA V30'!$S18</f>
        <v>0</v>
      </c>
      <c r="U18" s="1327">
        <v>24000000</v>
      </c>
      <c r="V18" s="1327">
        <v>12300000</v>
      </c>
      <c r="W18" s="1327"/>
      <c r="AM18" s="1204" t="s">
        <v>712</v>
      </c>
    </row>
    <row r="19" spans="1:39" s="1204" customFormat="1" ht="105" hidden="1" x14ac:dyDescent="0.2">
      <c r="A19" s="1169">
        <v>2022012</v>
      </c>
      <c r="B19" s="1169">
        <v>7637</v>
      </c>
      <c r="C19" s="1326" t="s">
        <v>645</v>
      </c>
      <c r="D19" s="1170" t="s">
        <v>674</v>
      </c>
      <c r="E19" s="1171">
        <v>80111600</v>
      </c>
      <c r="F19" s="1172" t="s">
        <v>713</v>
      </c>
      <c r="G19" s="1228">
        <v>44562</v>
      </c>
      <c r="H19" s="1228">
        <v>44592</v>
      </c>
      <c r="I19" s="1173">
        <v>11</v>
      </c>
      <c r="J19" s="1173" t="s">
        <v>677</v>
      </c>
      <c r="K19" s="1174" t="s">
        <v>678</v>
      </c>
      <c r="L19" s="1175" t="s">
        <v>679</v>
      </c>
      <c r="M19" s="1176">
        <v>49500000</v>
      </c>
      <c r="N19" s="1186" t="s">
        <v>680</v>
      </c>
      <c r="O19" s="1171" t="s">
        <v>681</v>
      </c>
      <c r="P19" s="1170" t="s">
        <v>682</v>
      </c>
      <c r="R19" s="1266">
        <v>49500000</v>
      </c>
      <c r="S19" s="1327">
        <v>49500000</v>
      </c>
      <c r="T19" s="1327">
        <f>+'PAA V30'!$R19-'PAA V30'!$S19</f>
        <v>0</v>
      </c>
      <c r="U19" s="1327">
        <v>49500000</v>
      </c>
      <c r="V19" s="1327">
        <v>19650000</v>
      </c>
      <c r="W19" s="1327"/>
      <c r="AM19" s="1204" t="s">
        <v>714</v>
      </c>
    </row>
    <row r="20" spans="1:39" s="1204" customFormat="1" ht="105" hidden="1" x14ac:dyDescent="0.2">
      <c r="A20" s="1169">
        <v>2022013</v>
      </c>
      <c r="B20" s="1169">
        <v>7637</v>
      </c>
      <c r="C20" s="1326" t="s">
        <v>645</v>
      </c>
      <c r="D20" s="1170" t="s">
        <v>674</v>
      </c>
      <c r="E20" s="1171">
        <v>80111600</v>
      </c>
      <c r="F20" s="1172" t="s">
        <v>715</v>
      </c>
      <c r="G20" s="1228">
        <v>44562</v>
      </c>
      <c r="H20" s="1228">
        <v>44592</v>
      </c>
      <c r="I20" s="1173">
        <v>11</v>
      </c>
      <c r="J20" s="1173" t="s">
        <v>677</v>
      </c>
      <c r="K20" s="1174" t="s">
        <v>678</v>
      </c>
      <c r="L20" s="1175" t="s">
        <v>679</v>
      </c>
      <c r="M20" s="1176">
        <v>49500000</v>
      </c>
      <c r="N20" s="1186" t="s">
        <v>680</v>
      </c>
      <c r="O20" s="1171" t="s">
        <v>681</v>
      </c>
      <c r="P20" s="1170" t="s">
        <v>682</v>
      </c>
      <c r="R20" s="1266">
        <v>49500000</v>
      </c>
      <c r="S20" s="1327">
        <v>49500000</v>
      </c>
      <c r="T20" s="1327">
        <f>+'PAA V30'!$R20-'PAA V30'!$S20</f>
        <v>0</v>
      </c>
      <c r="U20" s="1327">
        <v>49500000</v>
      </c>
      <c r="V20" s="1327">
        <v>18000000</v>
      </c>
      <c r="W20" s="1327"/>
      <c r="AM20" s="1204" t="s">
        <v>716</v>
      </c>
    </row>
    <row r="21" spans="1:39" s="1204" customFormat="1" ht="105" hidden="1" x14ac:dyDescent="0.2">
      <c r="A21" s="1169">
        <v>2022014</v>
      </c>
      <c r="B21" s="1169">
        <v>7637</v>
      </c>
      <c r="C21" s="1326" t="s">
        <v>645</v>
      </c>
      <c r="D21" s="1170" t="s">
        <v>674</v>
      </c>
      <c r="E21" s="1171">
        <v>80111600</v>
      </c>
      <c r="F21" s="1172" t="s">
        <v>717</v>
      </c>
      <c r="G21" s="1228">
        <v>44562</v>
      </c>
      <c r="H21" s="1228">
        <v>44592</v>
      </c>
      <c r="I21" s="1173">
        <v>11</v>
      </c>
      <c r="J21" s="1173" t="s">
        <v>677</v>
      </c>
      <c r="K21" s="1174" t="s">
        <v>678</v>
      </c>
      <c r="L21" s="1175" t="s">
        <v>679</v>
      </c>
      <c r="M21" s="1176">
        <f>77000000-20400000-2200000</f>
        <v>54400000</v>
      </c>
      <c r="N21" s="1344" t="s">
        <v>707</v>
      </c>
      <c r="O21" s="1171" t="s">
        <v>681</v>
      </c>
      <c r="P21" s="1170" t="s">
        <v>682</v>
      </c>
      <c r="R21" s="1266">
        <v>54400000</v>
      </c>
      <c r="S21" s="1327">
        <v>54400000</v>
      </c>
      <c r="T21" s="1327">
        <f>+'PAA V30'!$R21-'PAA V30'!$S21</f>
        <v>0</v>
      </c>
      <c r="U21" s="1327">
        <v>54400000</v>
      </c>
      <c r="V21" s="1327">
        <v>29466666</v>
      </c>
      <c r="W21" s="1327"/>
      <c r="AM21" s="1204" t="s">
        <v>718</v>
      </c>
    </row>
    <row r="22" spans="1:39" s="1204" customFormat="1" ht="105" hidden="1" x14ac:dyDescent="0.2">
      <c r="A22" s="1169">
        <v>2022015</v>
      </c>
      <c r="B22" s="1169">
        <v>7637</v>
      </c>
      <c r="C22" s="1326" t="s">
        <v>645</v>
      </c>
      <c r="D22" s="1170" t="s">
        <v>674</v>
      </c>
      <c r="E22" s="1171">
        <v>80111600</v>
      </c>
      <c r="F22" s="1172" t="s">
        <v>719</v>
      </c>
      <c r="G22" s="1228">
        <v>44562</v>
      </c>
      <c r="H22" s="1228">
        <v>44592</v>
      </c>
      <c r="I22" s="1173">
        <v>11</v>
      </c>
      <c r="J22" s="1173" t="s">
        <v>677</v>
      </c>
      <c r="K22" s="1174" t="s">
        <v>678</v>
      </c>
      <c r="L22" s="1175" t="s">
        <v>679</v>
      </c>
      <c r="M22" s="1176">
        <f>77000000-20400000-2200000</f>
        <v>54400000</v>
      </c>
      <c r="N22" s="1186" t="s">
        <v>680</v>
      </c>
      <c r="O22" s="1171" t="s">
        <v>681</v>
      </c>
      <c r="P22" s="1170" t="s">
        <v>682</v>
      </c>
      <c r="R22" s="1266">
        <v>54400000</v>
      </c>
      <c r="S22" s="1327">
        <v>54400000</v>
      </c>
      <c r="T22" s="1327">
        <f>+'PAA V30'!$R22-'PAA V30'!$S22</f>
        <v>0</v>
      </c>
      <c r="U22" s="1327">
        <v>54400000</v>
      </c>
      <c r="V22" s="1327">
        <v>27880000</v>
      </c>
      <c r="W22" s="1327"/>
      <c r="AM22" s="1204" t="s">
        <v>677</v>
      </c>
    </row>
    <row r="23" spans="1:39" s="1204" customFormat="1" ht="105" hidden="1" x14ac:dyDescent="0.2">
      <c r="A23" s="1169">
        <v>2022016</v>
      </c>
      <c r="B23" s="1169">
        <v>7637</v>
      </c>
      <c r="C23" s="1326" t="s">
        <v>645</v>
      </c>
      <c r="D23" s="1170" t="s">
        <v>674</v>
      </c>
      <c r="E23" s="1171">
        <v>80111600</v>
      </c>
      <c r="F23" s="1172" t="s">
        <v>720</v>
      </c>
      <c r="G23" s="1228">
        <v>44562</v>
      </c>
      <c r="H23" s="1228">
        <v>44592</v>
      </c>
      <c r="I23" s="1173">
        <v>6</v>
      </c>
      <c r="J23" s="1173" t="s">
        <v>677</v>
      </c>
      <c r="K23" s="1174" t="s">
        <v>678</v>
      </c>
      <c r="L23" s="1175" t="s">
        <v>679</v>
      </c>
      <c r="M23" s="1176">
        <f>49500000-15000000-4500000</f>
        <v>30000000</v>
      </c>
      <c r="N23" s="1344" t="s">
        <v>707</v>
      </c>
      <c r="O23" s="1171" t="s">
        <v>681</v>
      </c>
      <c r="P23" s="1170" t="s">
        <v>682</v>
      </c>
      <c r="R23" s="1266">
        <v>30000000</v>
      </c>
      <c r="S23" s="1327">
        <v>30000000</v>
      </c>
      <c r="T23" s="1327">
        <f>+'PAA V30'!$R23-'PAA V30'!$S23</f>
        <v>0</v>
      </c>
      <c r="U23" s="1327">
        <v>30000000</v>
      </c>
      <c r="V23" s="1327">
        <v>20000000</v>
      </c>
      <c r="W23" s="1327"/>
      <c r="AM23" s="1204" t="s">
        <v>721</v>
      </c>
    </row>
    <row r="24" spans="1:39" s="1204" customFormat="1" ht="105" hidden="1" x14ac:dyDescent="0.2">
      <c r="A24" s="1169">
        <v>2022017</v>
      </c>
      <c r="B24" s="1169">
        <v>7637</v>
      </c>
      <c r="C24" s="1326" t="s">
        <v>645</v>
      </c>
      <c r="D24" s="1170" t="s">
        <v>674</v>
      </c>
      <c r="E24" s="1171">
        <v>80111600</v>
      </c>
      <c r="F24" s="1172" t="s">
        <v>722</v>
      </c>
      <c r="G24" s="1228">
        <v>44562</v>
      </c>
      <c r="H24" s="1228">
        <v>44592</v>
      </c>
      <c r="I24" s="1173">
        <v>11</v>
      </c>
      <c r="J24" s="1173" t="s">
        <v>677</v>
      </c>
      <c r="K24" s="1174" t="s">
        <v>678</v>
      </c>
      <c r="L24" s="1175" t="s">
        <v>679</v>
      </c>
      <c r="M24" s="1176">
        <f>33000000-15600000-532640</f>
        <v>16867360</v>
      </c>
      <c r="N24" s="1186" t="s">
        <v>680</v>
      </c>
      <c r="O24" s="1171" t="s">
        <v>681</v>
      </c>
      <c r="P24" s="1170" t="s">
        <v>682</v>
      </c>
      <c r="R24" s="1266">
        <v>16800000</v>
      </c>
      <c r="S24" s="1327">
        <v>16800000</v>
      </c>
      <c r="T24" s="1327">
        <f>+'PAA V30'!$R24-'PAA V30'!$S24</f>
        <v>0</v>
      </c>
      <c r="U24" s="1327">
        <v>16800000</v>
      </c>
      <c r="V24" s="1327">
        <v>11666667</v>
      </c>
      <c r="W24" s="1327"/>
      <c r="AK24" s="1204" t="s">
        <v>723</v>
      </c>
    </row>
    <row r="25" spans="1:39" s="1204" customFormat="1" ht="105" hidden="1" x14ac:dyDescent="0.2">
      <c r="A25" s="1169">
        <v>2022018</v>
      </c>
      <c r="B25" s="1169">
        <v>7637</v>
      </c>
      <c r="C25" s="1326" t="s">
        <v>645</v>
      </c>
      <c r="D25" s="1170" t="s">
        <v>674</v>
      </c>
      <c r="E25" s="1171">
        <v>80111600</v>
      </c>
      <c r="F25" s="1172" t="s">
        <v>724</v>
      </c>
      <c r="G25" s="1228">
        <v>44562</v>
      </c>
      <c r="H25" s="1228">
        <v>44592</v>
      </c>
      <c r="I25" s="1173">
        <v>11</v>
      </c>
      <c r="J25" s="1173" t="s">
        <v>677</v>
      </c>
      <c r="K25" s="1174" t="s">
        <v>678</v>
      </c>
      <c r="L25" s="1175" t="s">
        <v>679</v>
      </c>
      <c r="M25" s="1176">
        <f>29500000-9000000-3400000</f>
        <v>17100000</v>
      </c>
      <c r="N25" s="1186" t="s">
        <v>680</v>
      </c>
      <c r="O25" s="1171" t="s">
        <v>681</v>
      </c>
      <c r="P25" s="1170" t="s">
        <v>682</v>
      </c>
      <c r="R25" s="1266">
        <v>24000000</v>
      </c>
      <c r="S25" s="1327">
        <v>24000000</v>
      </c>
      <c r="T25" s="1327">
        <f>+'PAA V30'!$R25-'PAA V30'!$S25</f>
        <v>0</v>
      </c>
      <c r="U25" s="1327">
        <v>24000000</v>
      </c>
      <c r="V25" s="1327">
        <v>12000000</v>
      </c>
      <c r="W25" s="1327"/>
      <c r="AK25" s="1204" t="s">
        <v>725</v>
      </c>
    </row>
    <row r="26" spans="1:39" s="1204" customFormat="1" ht="105" hidden="1" x14ac:dyDescent="0.2">
      <c r="A26" s="1169">
        <v>2022019</v>
      </c>
      <c r="B26" s="1169">
        <v>7637</v>
      </c>
      <c r="C26" s="1326" t="s">
        <v>645</v>
      </c>
      <c r="D26" s="1170" t="s">
        <v>674</v>
      </c>
      <c r="E26" s="1171">
        <v>80111600</v>
      </c>
      <c r="F26" s="1172" t="s">
        <v>726</v>
      </c>
      <c r="G26" s="1228">
        <v>44562</v>
      </c>
      <c r="H26" s="1228">
        <v>44592</v>
      </c>
      <c r="I26" s="1173">
        <v>11</v>
      </c>
      <c r="J26" s="1173" t="s">
        <v>677</v>
      </c>
      <c r="K26" s="1174" t="s">
        <v>678</v>
      </c>
      <c r="L26" s="1175" t="s">
        <v>679</v>
      </c>
      <c r="M26" s="1176">
        <f>68200000-16450000-10350000</f>
        <v>41400000</v>
      </c>
      <c r="N26" s="1186" t="s">
        <v>680</v>
      </c>
      <c r="O26" s="1171" t="s">
        <v>681</v>
      </c>
      <c r="P26" s="1170" t="s">
        <v>682</v>
      </c>
      <c r="R26" s="1266">
        <v>41400000</v>
      </c>
      <c r="S26" s="1327">
        <v>41400000</v>
      </c>
      <c r="T26" s="1327">
        <f>+'PAA V30'!$R26-'PAA V30'!$S26</f>
        <v>0</v>
      </c>
      <c r="U26" s="1327">
        <v>41400000</v>
      </c>
      <c r="V26" s="1327">
        <v>17250000</v>
      </c>
      <c r="W26" s="1327"/>
      <c r="AK26" s="1204" t="s">
        <v>727</v>
      </c>
    </row>
    <row r="27" spans="1:39" s="1204" customFormat="1" ht="105" hidden="1" x14ac:dyDescent="0.2">
      <c r="A27" s="1169">
        <v>2022020</v>
      </c>
      <c r="B27" s="1169">
        <v>7637</v>
      </c>
      <c r="C27" s="1326" t="s">
        <v>645</v>
      </c>
      <c r="D27" s="1170" t="s">
        <v>674</v>
      </c>
      <c r="E27" s="1171">
        <v>80111600</v>
      </c>
      <c r="F27" s="1172" t="s">
        <v>728</v>
      </c>
      <c r="G27" s="1228">
        <v>44562</v>
      </c>
      <c r="H27" s="1228">
        <v>44592</v>
      </c>
      <c r="I27" s="1173">
        <v>11</v>
      </c>
      <c r="J27" s="1173" t="s">
        <v>677</v>
      </c>
      <c r="K27" s="1174" t="s">
        <v>678</v>
      </c>
      <c r="L27" s="1175" t="s">
        <v>679</v>
      </c>
      <c r="M27" s="1176">
        <f>49500000-13500000</f>
        <v>36000000</v>
      </c>
      <c r="N27" s="1186" t="s">
        <v>680</v>
      </c>
      <c r="O27" s="1171" t="s">
        <v>681</v>
      </c>
      <c r="P27" s="1170" t="s">
        <v>682</v>
      </c>
      <c r="R27" s="1266">
        <v>36000000</v>
      </c>
      <c r="S27" s="1327">
        <v>36000000</v>
      </c>
      <c r="T27" s="1327">
        <f>+'PAA V30'!$R27-'PAA V30'!$S27</f>
        <v>0</v>
      </c>
      <c r="U27" s="1327">
        <v>36000000</v>
      </c>
      <c r="V27" s="1327">
        <v>18900000</v>
      </c>
      <c r="W27" s="1327"/>
      <c r="AK27" s="1204" t="s">
        <v>729</v>
      </c>
    </row>
    <row r="28" spans="1:39" s="1204" customFormat="1" ht="105" hidden="1" x14ac:dyDescent="0.2">
      <c r="A28" s="1169">
        <v>2022022</v>
      </c>
      <c r="B28" s="1169">
        <v>7637</v>
      </c>
      <c r="C28" s="1326" t="s">
        <v>645</v>
      </c>
      <c r="D28" s="1170" t="s">
        <v>674</v>
      </c>
      <c r="E28" s="1173" t="s">
        <v>730</v>
      </c>
      <c r="F28" s="1172" t="s">
        <v>731</v>
      </c>
      <c r="G28" s="1228">
        <v>44621</v>
      </c>
      <c r="H28" s="1228">
        <v>44681</v>
      </c>
      <c r="I28" s="1173">
        <v>1</v>
      </c>
      <c r="J28" s="1173" t="s">
        <v>721</v>
      </c>
      <c r="K28" s="1174" t="s">
        <v>678</v>
      </c>
      <c r="L28" s="1175" t="s">
        <v>732</v>
      </c>
      <c r="M28" s="1176">
        <f>600000000-13361620-945888-1281233-5000000-12095659</f>
        <v>567315600</v>
      </c>
      <c r="N28" s="1186" t="s">
        <v>680</v>
      </c>
      <c r="O28" s="1171" t="s">
        <v>681</v>
      </c>
      <c r="P28" s="1218" t="s">
        <v>682</v>
      </c>
      <c r="R28" s="1266">
        <v>567315600</v>
      </c>
      <c r="S28" s="1327">
        <v>567315600</v>
      </c>
      <c r="T28" s="1327">
        <f>+'PAA V30'!$R28-'PAA V30'!$S28</f>
        <v>0</v>
      </c>
      <c r="U28" s="1327">
        <v>567315600</v>
      </c>
      <c r="V28" s="1327"/>
      <c r="W28" s="1327"/>
      <c r="AK28" s="1204" t="s">
        <v>733</v>
      </c>
    </row>
    <row r="29" spans="1:39" s="1204" customFormat="1" ht="105" hidden="1" x14ac:dyDescent="0.2">
      <c r="A29" s="1169">
        <v>2022023</v>
      </c>
      <c r="B29" s="1169">
        <v>7637</v>
      </c>
      <c r="C29" s="1326" t="s">
        <v>645</v>
      </c>
      <c r="D29" s="1170" t="s">
        <v>674</v>
      </c>
      <c r="E29" s="1173">
        <v>81112401</v>
      </c>
      <c r="F29" s="1172" t="s">
        <v>734</v>
      </c>
      <c r="G29" s="1228">
        <v>44714</v>
      </c>
      <c r="H29" s="1228">
        <v>44746</v>
      </c>
      <c r="I29" s="1173">
        <v>10</v>
      </c>
      <c r="J29" s="1173" t="s">
        <v>721</v>
      </c>
      <c r="K29" s="1174" t="s">
        <v>678</v>
      </c>
      <c r="L29" s="1175" t="s">
        <v>732</v>
      </c>
      <c r="M29" s="1176">
        <f>195700000-26723240-1891777-118550434</f>
        <v>48534549</v>
      </c>
      <c r="N29" s="1186" t="s">
        <v>680</v>
      </c>
      <c r="O29" s="1171" t="s">
        <v>681</v>
      </c>
      <c r="P29" s="1350" t="s">
        <v>682</v>
      </c>
      <c r="R29" s="1266">
        <v>167084983</v>
      </c>
      <c r="S29" s="1327">
        <v>167084983</v>
      </c>
      <c r="T29" s="1327">
        <f>+'PAA V30'!$R29-'PAA V30'!$S29</f>
        <v>0</v>
      </c>
      <c r="U29" s="1327"/>
      <c r="V29" s="1327"/>
      <c r="W29" s="1327"/>
      <c r="AK29" s="1204" t="s">
        <v>735</v>
      </c>
    </row>
    <row r="30" spans="1:39" s="1204" customFormat="1" ht="105" hidden="1" x14ac:dyDescent="0.2">
      <c r="A30" s="1169">
        <v>2022024</v>
      </c>
      <c r="B30" s="1169">
        <v>7637</v>
      </c>
      <c r="C30" s="1326" t="s">
        <v>645</v>
      </c>
      <c r="D30" s="1170" t="s">
        <v>674</v>
      </c>
      <c r="E30" s="1173" t="s">
        <v>736</v>
      </c>
      <c r="F30" s="1172" t="s">
        <v>737</v>
      </c>
      <c r="G30" s="1228">
        <v>44713</v>
      </c>
      <c r="H30" s="1228">
        <v>44737</v>
      </c>
      <c r="I30" s="1173">
        <v>6</v>
      </c>
      <c r="J30" s="1173" t="s">
        <v>697</v>
      </c>
      <c r="K30" s="1174" t="s">
        <v>678</v>
      </c>
      <c r="L30" s="1175" t="s">
        <v>738</v>
      </c>
      <c r="M30" s="1176">
        <v>114000000</v>
      </c>
      <c r="N30" s="1186" t="s">
        <v>680</v>
      </c>
      <c r="O30" s="1171" t="s">
        <v>681</v>
      </c>
      <c r="P30" s="1350" t="s">
        <v>682</v>
      </c>
      <c r="Q30" s="1160"/>
      <c r="R30" s="1266">
        <v>114000000</v>
      </c>
      <c r="S30" s="1327">
        <v>114000000</v>
      </c>
      <c r="T30" s="1327">
        <f>+'PAA V30'!$R30-'PAA V30'!$S30</f>
        <v>0</v>
      </c>
      <c r="U30" s="1327"/>
      <c r="V30" s="1327"/>
      <c r="W30" s="1327"/>
      <c r="AK30" s="1204" t="s">
        <v>739</v>
      </c>
    </row>
    <row r="31" spans="1:39" s="1204" customFormat="1" ht="105" hidden="1" x14ac:dyDescent="0.2">
      <c r="A31" s="1169">
        <v>2022025</v>
      </c>
      <c r="B31" s="1169">
        <v>7637</v>
      </c>
      <c r="C31" s="1326" t="s">
        <v>645</v>
      </c>
      <c r="D31" s="1170" t="s">
        <v>674</v>
      </c>
      <c r="E31" s="1173">
        <v>81112217</v>
      </c>
      <c r="F31" s="1172" t="s">
        <v>740</v>
      </c>
      <c r="G31" s="1228">
        <v>44713</v>
      </c>
      <c r="H31" s="1228">
        <v>44773</v>
      </c>
      <c r="I31" s="1173">
        <v>12</v>
      </c>
      <c r="J31" s="1173" t="s">
        <v>721</v>
      </c>
      <c r="K31" s="1174" t="s">
        <v>678</v>
      </c>
      <c r="L31" s="1175" t="s">
        <v>738</v>
      </c>
      <c r="M31" s="1176">
        <f>50000000+18000000-15000000-24300000-5430000</f>
        <v>23270000</v>
      </c>
      <c r="N31" s="1344" t="s">
        <v>689</v>
      </c>
      <c r="O31" s="1171" t="s">
        <v>681</v>
      </c>
      <c r="P31" s="1350" t="s">
        <v>682</v>
      </c>
      <c r="Q31" s="1160"/>
      <c r="R31" s="1266">
        <v>50000000</v>
      </c>
      <c r="S31" s="1327"/>
      <c r="T31" s="1327">
        <f>+'PAA V30'!$R31-'PAA V30'!$S31</f>
        <v>50000000</v>
      </c>
      <c r="U31" s="1327"/>
      <c r="V31" s="1327"/>
      <c r="W31" s="1327"/>
      <c r="AK31" s="1204" t="s">
        <v>741</v>
      </c>
    </row>
    <row r="32" spans="1:39" s="1204" customFormat="1" ht="105" hidden="1" x14ac:dyDescent="0.2">
      <c r="A32" s="1169">
        <v>2022026</v>
      </c>
      <c r="B32" s="1169">
        <v>7637</v>
      </c>
      <c r="C32" s="1326" t="s">
        <v>645</v>
      </c>
      <c r="D32" s="1170" t="s">
        <v>674</v>
      </c>
      <c r="E32" s="1173" t="s">
        <v>742</v>
      </c>
      <c r="F32" s="1172" t="s">
        <v>743</v>
      </c>
      <c r="G32" s="1228">
        <v>44713</v>
      </c>
      <c r="H32" s="1228">
        <v>44773</v>
      </c>
      <c r="I32" s="1173">
        <v>12</v>
      </c>
      <c r="J32" s="1173" t="s">
        <v>721</v>
      </c>
      <c r="K32" s="1174" t="s">
        <v>678</v>
      </c>
      <c r="L32" s="1175" t="s">
        <v>738</v>
      </c>
      <c r="M32" s="1176">
        <f>150000000-7332250</f>
        <v>142667750</v>
      </c>
      <c r="N32" s="1186" t="s">
        <v>680</v>
      </c>
      <c r="O32" s="1171" t="s">
        <v>681</v>
      </c>
      <c r="P32" s="1350" t="s">
        <v>682</v>
      </c>
      <c r="Q32" s="1160"/>
      <c r="R32" s="1266">
        <v>142667750</v>
      </c>
      <c r="S32" s="1327">
        <v>142667750</v>
      </c>
      <c r="T32" s="1327">
        <f>+'PAA V30'!$R32-'PAA V30'!$S32</f>
        <v>0</v>
      </c>
      <c r="U32" s="1327">
        <v>142667750</v>
      </c>
      <c r="V32" s="1327"/>
      <c r="W32" s="1327"/>
      <c r="AK32" s="1204" t="s">
        <v>744</v>
      </c>
    </row>
    <row r="33" spans="1:38" s="1204" customFormat="1" ht="105" hidden="1" x14ac:dyDescent="0.2">
      <c r="A33" s="1169">
        <v>2022027</v>
      </c>
      <c r="B33" s="1169">
        <v>7637</v>
      </c>
      <c r="C33" s="1326" t="s">
        <v>645</v>
      </c>
      <c r="D33" s="1170" t="s">
        <v>674</v>
      </c>
      <c r="E33" s="1173">
        <v>81161712</v>
      </c>
      <c r="F33" s="1172" t="s">
        <v>745</v>
      </c>
      <c r="G33" s="1228">
        <v>44682</v>
      </c>
      <c r="H33" s="1228">
        <v>44742</v>
      </c>
      <c r="I33" s="1173">
        <v>1</v>
      </c>
      <c r="J33" s="1173" t="s">
        <v>700</v>
      </c>
      <c r="K33" s="1174" t="s">
        <v>678</v>
      </c>
      <c r="L33" s="1175" t="s">
        <v>746</v>
      </c>
      <c r="M33" s="1176">
        <v>10000000</v>
      </c>
      <c r="N33" s="1186" t="s">
        <v>680</v>
      </c>
      <c r="O33" s="1171" t="s">
        <v>681</v>
      </c>
      <c r="P33" s="1350" t="s">
        <v>682</v>
      </c>
      <c r="Q33" s="1160"/>
      <c r="R33" s="1266">
        <v>0</v>
      </c>
      <c r="S33" s="1327"/>
      <c r="T33" s="1327">
        <f>+'PAA V30'!$R33-'PAA V30'!$S33</f>
        <v>0</v>
      </c>
      <c r="U33" s="1327"/>
      <c r="V33" s="1327"/>
      <c r="W33" s="1327"/>
      <c r="AK33" s="1204" t="s">
        <v>747</v>
      </c>
    </row>
    <row r="34" spans="1:38" s="1204" customFormat="1" ht="105" hidden="1" x14ac:dyDescent="0.2">
      <c r="A34" s="1169">
        <v>2022028</v>
      </c>
      <c r="B34" s="1169">
        <v>7637</v>
      </c>
      <c r="C34" s="1326" t="s">
        <v>645</v>
      </c>
      <c r="D34" s="1170" t="s">
        <v>674</v>
      </c>
      <c r="E34" s="1173" t="s">
        <v>748</v>
      </c>
      <c r="F34" s="1172" t="s">
        <v>749</v>
      </c>
      <c r="G34" s="1228">
        <v>44621</v>
      </c>
      <c r="H34" s="1228">
        <v>44651</v>
      </c>
      <c r="I34" s="1173">
        <v>5</v>
      </c>
      <c r="J34" s="1265" t="s">
        <v>97</v>
      </c>
      <c r="K34" s="1174" t="s">
        <v>678</v>
      </c>
      <c r="L34" s="1175" t="s">
        <v>750</v>
      </c>
      <c r="M34" s="1176">
        <f>81000000-1433712-31595960</f>
        <v>47970328</v>
      </c>
      <c r="N34" s="1186" t="s">
        <v>680</v>
      </c>
      <c r="O34" s="1171" t="s">
        <v>681</v>
      </c>
      <c r="P34" s="1218" t="s">
        <v>751</v>
      </c>
      <c r="Q34" s="1160"/>
      <c r="R34" s="1266">
        <v>47970328</v>
      </c>
      <c r="S34" s="1327">
        <v>47970328</v>
      </c>
      <c r="T34" s="1327">
        <f>+'PAA V30'!$R34-'PAA V30'!$S34</f>
        <v>0</v>
      </c>
      <c r="U34" s="1327">
        <v>47970328</v>
      </c>
      <c r="V34" s="1327">
        <v>9708972</v>
      </c>
      <c r="W34" s="1327"/>
      <c r="AK34" s="1204" t="s">
        <v>752</v>
      </c>
    </row>
    <row r="35" spans="1:38" s="1204" customFormat="1" ht="105" hidden="1" x14ac:dyDescent="0.2">
      <c r="A35" s="1169">
        <v>2022029</v>
      </c>
      <c r="B35" s="1169">
        <v>7637</v>
      </c>
      <c r="C35" s="1326" t="s">
        <v>645</v>
      </c>
      <c r="D35" s="1170" t="s">
        <v>674</v>
      </c>
      <c r="E35" s="1173" t="s">
        <v>753</v>
      </c>
      <c r="F35" s="1172" t="s">
        <v>754</v>
      </c>
      <c r="G35" s="1228">
        <v>44743</v>
      </c>
      <c r="H35" s="1228">
        <v>44834</v>
      </c>
      <c r="I35" s="1173">
        <v>4</v>
      </c>
      <c r="J35" s="1265" t="s">
        <v>684</v>
      </c>
      <c r="K35" s="1174" t="s">
        <v>678</v>
      </c>
      <c r="L35" s="1175" t="s">
        <v>750</v>
      </c>
      <c r="M35" s="1176">
        <f>80000000+31595960+43032640</f>
        <v>154628600</v>
      </c>
      <c r="N35" s="1186" t="s">
        <v>680</v>
      </c>
      <c r="O35" s="1171" t="s">
        <v>681</v>
      </c>
      <c r="P35" s="1218" t="s">
        <v>682</v>
      </c>
      <c r="Q35" s="1160"/>
      <c r="R35" s="1266">
        <v>154628600</v>
      </c>
      <c r="S35" s="1327"/>
      <c r="T35" s="1327">
        <f>+'PAA V30'!$R35-'PAA V30'!$S35</f>
        <v>154628600</v>
      </c>
      <c r="U35" s="1327"/>
      <c r="V35" s="1327"/>
      <c r="W35" s="1327"/>
      <c r="AK35" s="1204" t="s">
        <v>733</v>
      </c>
    </row>
    <row r="36" spans="1:38" s="1204" customFormat="1" ht="105" hidden="1" x14ac:dyDescent="0.2">
      <c r="A36" s="1169">
        <v>2022031</v>
      </c>
      <c r="B36" s="1169">
        <v>7637</v>
      </c>
      <c r="C36" s="1326" t="s">
        <v>645</v>
      </c>
      <c r="D36" s="1170" t="s">
        <v>674</v>
      </c>
      <c r="E36" s="1173" t="s">
        <v>755</v>
      </c>
      <c r="F36" s="1172" t="s">
        <v>756</v>
      </c>
      <c r="G36" s="1345">
        <v>44669</v>
      </c>
      <c r="H36" s="1345">
        <v>44699</v>
      </c>
      <c r="I36" s="1173">
        <v>2</v>
      </c>
      <c r="J36" s="1173" t="s">
        <v>697</v>
      </c>
      <c r="K36" s="1174" t="s">
        <v>678</v>
      </c>
      <c r="L36" s="1175" t="s">
        <v>738</v>
      </c>
      <c r="M36" s="1176">
        <f>72100000+60000000+43900000</f>
        <v>176000000</v>
      </c>
      <c r="N36" s="1344" t="s">
        <v>707</v>
      </c>
      <c r="O36" s="1171" t="s">
        <v>681</v>
      </c>
      <c r="P36" s="1350" t="s">
        <v>682</v>
      </c>
      <c r="Q36" s="1160"/>
      <c r="R36" s="1266">
        <v>176000000</v>
      </c>
      <c r="S36" s="1327">
        <v>176000000</v>
      </c>
      <c r="T36" s="1327">
        <f>+'PAA V30'!$R36-'PAA V30'!$S36</f>
        <v>0</v>
      </c>
      <c r="U36" s="1327"/>
      <c r="V36" s="1327"/>
      <c r="W36" s="1327"/>
      <c r="AK36" s="1204" t="s">
        <v>735</v>
      </c>
    </row>
    <row r="37" spans="1:38" s="1204" customFormat="1" ht="105" hidden="1" x14ac:dyDescent="0.2">
      <c r="A37" s="1169">
        <v>2022033</v>
      </c>
      <c r="B37" s="1169">
        <v>7637</v>
      </c>
      <c r="C37" s="1326" t="s">
        <v>645</v>
      </c>
      <c r="D37" s="1170" t="s">
        <v>674</v>
      </c>
      <c r="E37" s="1173" t="s">
        <v>757</v>
      </c>
      <c r="F37" s="1172" t="s">
        <v>758</v>
      </c>
      <c r="G37" s="1228">
        <v>44713</v>
      </c>
      <c r="H37" s="1228">
        <v>44773</v>
      </c>
      <c r="I37" s="1173">
        <v>3</v>
      </c>
      <c r="J37" s="1173" t="s">
        <v>684</v>
      </c>
      <c r="K37" s="1174" t="s">
        <v>678</v>
      </c>
      <c r="L37" s="1175" t="s">
        <v>738</v>
      </c>
      <c r="M37" s="1176">
        <v>50000000</v>
      </c>
      <c r="N37" s="1186" t="s">
        <v>680</v>
      </c>
      <c r="O37" s="1171" t="s">
        <v>681</v>
      </c>
      <c r="P37" s="1350" t="s">
        <v>759</v>
      </c>
      <c r="Q37" s="1160"/>
      <c r="R37" s="1266">
        <v>50000000</v>
      </c>
      <c r="S37" s="1327">
        <v>50000000</v>
      </c>
      <c r="T37" s="1327">
        <f>+'PAA V30'!$R37-'PAA V30'!$S37</f>
        <v>0</v>
      </c>
      <c r="U37" s="1327"/>
      <c r="V37" s="1327"/>
      <c r="W37" s="1327"/>
      <c r="AK37" s="1204" t="s">
        <v>760</v>
      </c>
    </row>
    <row r="38" spans="1:38" s="1204" customFormat="1" ht="105" hidden="1" x14ac:dyDescent="0.2">
      <c r="A38" s="1169">
        <v>2022034</v>
      </c>
      <c r="B38" s="1169">
        <v>7637</v>
      </c>
      <c r="C38" s="1326" t="s">
        <v>645</v>
      </c>
      <c r="D38" s="1170" t="s">
        <v>674</v>
      </c>
      <c r="E38" s="1173">
        <v>81112217</v>
      </c>
      <c r="F38" s="1172" t="s">
        <v>761</v>
      </c>
      <c r="G38" s="1228">
        <v>44696</v>
      </c>
      <c r="H38" s="1228">
        <v>44727</v>
      </c>
      <c r="I38" s="1173">
        <v>12</v>
      </c>
      <c r="J38" s="1173" t="s">
        <v>697</v>
      </c>
      <c r="K38" s="1174" t="s">
        <v>678</v>
      </c>
      <c r="L38" s="1175" t="s">
        <v>738</v>
      </c>
      <c r="M38" s="1176">
        <f>35077000+20000000-609851</f>
        <v>54467149</v>
      </c>
      <c r="N38" s="1344" t="s">
        <v>707</v>
      </c>
      <c r="O38" s="1171" t="s">
        <v>681</v>
      </c>
      <c r="P38" s="1267" t="s">
        <v>682</v>
      </c>
      <c r="Q38" s="1160"/>
      <c r="R38" s="1266">
        <v>0</v>
      </c>
      <c r="S38" s="1327"/>
      <c r="T38" s="1327">
        <f>+'PAA V30'!$R38-'PAA V30'!$S38</f>
        <v>0</v>
      </c>
      <c r="U38" s="1327"/>
      <c r="V38" s="1327"/>
      <c r="W38" s="1327"/>
    </row>
    <row r="39" spans="1:38" s="1204" customFormat="1" ht="105" hidden="1" x14ac:dyDescent="0.2">
      <c r="A39" s="1169">
        <v>2022036</v>
      </c>
      <c r="B39" s="1169">
        <v>7637</v>
      </c>
      <c r="C39" s="1326" t="s">
        <v>645</v>
      </c>
      <c r="D39" s="1170" t="s">
        <v>674</v>
      </c>
      <c r="E39" s="1173" t="s">
        <v>762</v>
      </c>
      <c r="F39" s="1175" t="s">
        <v>763</v>
      </c>
      <c r="G39" s="1228">
        <v>44562</v>
      </c>
      <c r="H39" s="1228">
        <v>44592</v>
      </c>
      <c r="I39" s="1173">
        <v>11</v>
      </c>
      <c r="J39" s="1173" t="s">
        <v>684</v>
      </c>
      <c r="K39" s="1174" t="s">
        <v>678</v>
      </c>
      <c r="L39" s="1175" t="s">
        <v>738</v>
      </c>
      <c r="M39" s="1176">
        <f>423904551-43900000-1500000-146454551</f>
        <v>232050000</v>
      </c>
      <c r="N39" s="1186" t="s">
        <v>680</v>
      </c>
      <c r="O39" s="1171" t="s">
        <v>681</v>
      </c>
      <c r="P39" s="1350" t="s">
        <v>682</v>
      </c>
      <c r="Q39" s="1160"/>
      <c r="R39" s="1266">
        <v>232050000</v>
      </c>
      <c r="S39" s="1327">
        <v>232050000</v>
      </c>
      <c r="T39" s="1327">
        <f>+'PAA V30'!$R39-'PAA V30'!$S39</f>
        <v>0</v>
      </c>
      <c r="U39" s="1327">
        <v>232050000</v>
      </c>
      <c r="V39" s="1327">
        <v>58012500</v>
      </c>
      <c r="W39" s="1327"/>
      <c r="AK39" s="1204" t="s">
        <v>764</v>
      </c>
      <c r="AL39" s="1204" t="s">
        <v>765</v>
      </c>
    </row>
    <row r="40" spans="1:38" s="1204" customFormat="1" ht="120" hidden="1" x14ac:dyDescent="0.2">
      <c r="A40" s="1169">
        <v>2022037</v>
      </c>
      <c r="B40" s="1169">
        <v>7637</v>
      </c>
      <c r="C40" s="1326" t="s">
        <v>645</v>
      </c>
      <c r="D40" s="1170" t="s">
        <v>674</v>
      </c>
      <c r="E40" s="1173" t="s">
        <v>766</v>
      </c>
      <c r="F40" s="1172" t="s">
        <v>767</v>
      </c>
      <c r="G40" s="1228">
        <v>44621</v>
      </c>
      <c r="H40" s="1228">
        <v>44712</v>
      </c>
      <c r="I40" s="1173">
        <v>12</v>
      </c>
      <c r="J40" s="1173" t="s">
        <v>687</v>
      </c>
      <c r="K40" s="1174" t="s">
        <v>678</v>
      </c>
      <c r="L40" s="1175" t="s">
        <v>732</v>
      </c>
      <c r="M40" s="1176">
        <v>104794000</v>
      </c>
      <c r="N40" s="1186" t="s">
        <v>680</v>
      </c>
      <c r="O40" s="1171" t="s">
        <v>681</v>
      </c>
      <c r="P40" s="1350" t="s">
        <v>682</v>
      </c>
      <c r="Q40" s="1160"/>
      <c r="R40" s="1266">
        <v>104794000</v>
      </c>
      <c r="S40" s="1327">
        <v>104794000</v>
      </c>
      <c r="T40" s="1327">
        <f>+'PAA V30'!$R40-'PAA V30'!$S40</f>
        <v>0</v>
      </c>
      <c r="U40" s="1327">
        <v>104794000</v>
      </c>
      <c r="V40" s="1327"/>
      <c r="W40" s="1327"/>
      <c r="AK40" s="1204" t="s">
        <v>768</v>
      </c>
      <c r="AL40" s="1204" t="s">
        <v>769</v>
      </c>
    </row>
    <row r="41" spans="1:38" s="1204" customFormat="1" ht="105" hidden="1" x14ac:dyDescent="0.2">
      <c r="A41" s="1169">
        <v>2022038</v>
      </c>
      <c r="B41" s="1169">
        <v>7637</v>
      </c>
      <c r="C41" s="1326" t="s">
        <v>645</v>
      </c>
      <c r="D41" s="1170" t="s">
        <v>674</v>
      </c>
      <c r="E41" s="1171">
        <v>43221500</v>
      </c>
      <c r="F41" s="1172" t="s">
        <v>770</v>
      </c>
      <c r="G41" s="1228">
        <v>44713</v>
      </c>
      <c r="H41" s="1228">
        <v>44742</v>
      </c>
      <c r="I41" s="1173">
        <v>6</v>
      </c>
      <c r="J41" s="1173" t="s">
        <v>700</v>
      </c>
      <c r="K41" s="1174" t="s">
        <v>678</v>
      </c>
      <c r="L41" s="1175" t="s">
        <v>738</v>
      </c>
      <c r="M41" s="1176">
        <f>38500000-9300000-2250000</f>
        <v>26950000</v>
      </c>
      <c r="N41" s="1186" t="s">
        <v>680</v>
      </c>
      <c r="O41" s="1171" t="s">
        <v>681</v>
      </c>
      <c r="P41" s="1267" t="s">
        <v>682</v>
      </c>
      <c r="Q41" s="1160"/>
      <c r="R41" s="1266">
        <v>38500000</v>
      </c>
      <c r="S41" s="1327">
        <v>34500000</v>
      </c>
      <c r="T41" s="1327">
        <f>+'PAA V30'!$R41-'PAA V30'!$S41</f>
        <v>4000000</v>
      </c>
      <c r="U41" s="1327"/>
      <c r="V41" s="1327"/>
      <c r="W41" s="1327"/>
      <c r="AK41" s="1204" t="s">
        <v>771</v>
      </c>
      <c r="AL41" s="1204" t="s">
        <v>772</v>
      </c>
    </row>
    <row r="42" spans="1:38" s="1204" customFormat="1" ht="105" hidden="1" x14ac:dyDescent="0.2">
      <c r="A42" s="1169">
        <v>2022039</v>
      </c>
      <c r="B42" s="1169">
        <v>7637</v>
      </c>
      <c r="C42" s="1326" t="s">
        <v>645</v>
      </c>
      <c r="D42" s="1170" t="s">
        <v>674</v>
      </c>
      <c r="E42" s="1199">
        <v>43233200</v>
      </c>
      <c r="F42" s="1351" t="s">
        <v>773</v>
      </c>
      <c r="G42" s="1345">
        <v>44713</v>
      </c>
      <c r="H42" s="1345">
        <v>44772</v>
      </c>
      <c r="I42" s="1173">
        <v>3</v>
      </c>
      <c r="J42" s="1173" t="s">
        <v>697</v>
      </c>
      <c r="K42" s="1174" t="s">
        <v>774</v>
      </c>
      <c r="L42" s="1175" t="s">
        <v>738</v>
      </c>
      <c r="M42" s="1176">
        <f>170000000+150000000+105400077</f>
        <v>425400077</v>
      </c>
      <c r="N42" s="1344" t="s">
        <v>707</v>
      </c>
      <c r="O42" s="1171" t="s">
        <v>681</v>
      </c>
      <c r="P42" s="1350" t="s">
        <v>682</v>
      </c>
      <c r="Q42" s="1160"/>
      <c r="R42" s="1266">
        <v>425400077</v>
      </c>
      <c r="S42" s="1327"/>
      <c r="T42" s="1327">
        <f>+'PAA V30'!$R42-'PAA V30'!$S42</f>
        <v>425400077</v>
      </c>
      <c r="U42" s="1327"/>
      <c r="V42" s="1327"/>
      <c r="W42" s="1327"/>
      <c r="AK42" s="1204" t="s">
        <v>681</v>
      </c>
      <c r="AL42" s="1204" t="s">
        <v>775</v>
      </c>
    </row>
    <row r="43" spans="1:38" s="1204" customFormat="1" ht="180" hidden="1" x14ac:dyDescent="0.2">
      <c r="A43" s="1169">
        <v>2022041</v>
      </c>
      <c r="B43" s="1169">
        <v>7637</v>
      </c>
      <c r="C43" s="1326" t="s">
        <v>645</v>
      </c>
      <c r="D43" s="1170" t="s">
        <v>674</v>
      </c>
      <c r="E43" s="1199" t="s">
        <v>776</v>
      </c>
      <c r="F43" s="1351" t="s">
        <v>777</v>
      </c>
      <c r="G43" s="1345">
        <v>44762</v>
      </c>
      <c r="H43" s="1345">
        <v>44803</v>
      </c>
      <c r="I43" s="1173">
        <v>5</v>
      </c>
      <c r="J43" s="1173" t="s">
        <v>697</v>
      </c>
      <c r="K43" s="1174" t="s">
        <v>774</v>
      </c>
      <c r="L43" s="1175" t="s">
        <v>738</v>
      </c>
      <c r="M43" s="1176">
        <f>600000000-150000000+50000000</f>
        <v>500000000</v>
      </c>
      <c r="N43" s="1186" t="s">
        <v>680</v>
      </c>
      <c r="O43" s="1171" t="s">
        <v>681</v>
      </c>
      <c r="P43" s="1350" t="s">
        <v>682</v>
      </c>
      <c r="Q43" s="1160"/>
      <c r="R43" s="1266">
        <v>0</v>
      </c>
      <c r="S43" s="1327"/>
      <c r="T43" s="1327">
        <f>+'PAA V30'!$R43-'PAA V30'!$S43</f>
        <v>0</v>
      </c>
      <c r="U43" s="1327"/>
      <c r="V43" s="1327"/>
      <c r="W43" s="1327"/>
      <c r="AL43" s="1204" t="s">
        <v>778</v>
      </c>
    </row>
    <row r="44" spans="1:38" s="1204" customFormat="1" ht="105" hidden="1" x14ac:dyDescent="0.2">
      <c r="A44" s="1169">
        <v>2022042</v>
      </c>
      <c r="B44" s="1169">
        <v>7637</v>
      </c>
      <c r="C44" s="1326" t="s">
        <v>645</v>
      </c>
      <c r="D44" s="1170" t="s">
        <v>674</v>
      </c>
      <c r="E44" s="1171"/>
      <c r="F44" s="1172" t="s">
        <v>779</v>
      </c>
      <c r="G44" s="1173"/>
      <c r="H44" s="1173"/>
      <c r="I44" s="1173"/>
      <c r="J44" s="1173" t="s">
        <v>97</v>
      </c>
      <c r="K44" s="1174" t="s">
        <v>678</v>
      </c>
      <c r="L44" s="1175" t="s">
        <v>679</v>
      </c>
      <c r="M44" s="1176">
        <f>22500000+18600000</f>
        <v>41100000</v>
      </c>
      <c r="N44" s="1186" t="s">
        <v>680</v>
      </c>
      <c r="O44" s="1171" t="s">
        <v>681</v>
      </c>
      <c r="P44" s="1267" t="s">
        <v>759</v>
      </c>
      <c r="Q44" s="1160"/>
      <c r="R44" s="1266">
        <v>53195750</v>
      </c>
      <c r="S44" s="1327">
        <v>53195750</v>
      </c>
      <c r="T44" s="1327">
        <f>+'PAA V30'!$R44-'PAA V30'!$S44</f>
        <v>0</v>
      </c>
      <c r="U44" s="1327">
        <v>53195750</v>
      </c>
      <c r="V44" s="1327">
        <v>53195750</v>
      </c>
      <c r="W44" s="1327"/>
      <c r="AL44" s="1204" t="s">
        <v>780</v>
      </c>
    </row>
    <row r="45" spans="1:38" s="1204" customFormat="1" ht="75" hidden="1" x14ac:dyDescent="0.2">
      <c r="A45" s="1169">
        <v>2022043</v>
      </c>
      <c r="B45" s="1169">
        <v>7655</v>
      </c>
      <c r="C45" s="1326" t="s">
        <v>648</v>
      </c>
      <c r="D45" s="1187" t="s">
        <v>690</v>
      </c>
      <c r="E45" s="1171" t="s">
        <v>781</v>
      </c>
      <c r="F45" s="1349" t="s">
        <v>782</v>
      </c>
      <c r="G45" s="1343">
        <v>44575</v>
      </c>
      <c r="H45" s="1343">
        <v>44575</v>
      </c>
      <c r="I45" s="1173">
        <v>11.5</v>
      </c>
      <c r="J45" s="1173" t="s">
        <v>677</v>
      </c>
      <c r="K45" s="1174" t="s">
        <v>678</v>
      </c>
      <c r="L45" s="1175" t="s">
        <v>783</v>
      </c>
      <c r="M45" s="1176">
        <v>92000000</v>
      </c>
      <c r="N45" s="1344" t="s">
        <v>784</v>
      </c>
      <c r="O45" s="1171" t="s">
        <v>771</v>
      </c>
      <c r="P45" s="1350" t="s">
        <v>682</v>
      </c>
      <c r="Q45" s="1160"/>
      <c r="R45" s="1266">
        <v>92000000</v>
      </c>
      <c r="S45" s="1327">
        <v>92000000</v>
      </c>
      <c r="T45" s="1327">
        <f>+'PAA V30'!$R45-'PAA V30'!$S45</f>
        <v>0</v>
      </c>
      <c r="U45" s="1327">
        <v>92000000</v>
      </c>
      <c r="V45" s="1327">
        <v>35466667</v>
      </c>
      <c r="W45" s="1327"/>
      <c r="AL45" s="1204" t="s">
        <v>785</v>
      </c>
    </row>
    <row r="46" spans="1:38" s="1204" customFormat="1" ht="75" hidden="1" x14ac:dyDescent="0.2">
      <c r="A46" s="1169">
        <v>2022044</v>
      </c>
      <c r="B46" s="1169">
        <v>7655</v>
      </c>
      <c r="C46" s="1326" t="s">
        <v>648</v>
      </c>
      <c r="D46" s="1187" t="s">
        <v>690</v>
      </c>
      <c r="E46" s="1171" t="s">
        <v>781</v>
      </c>
      <c r="F46" s="1349" t="s">
        <v>786</v>
      </c>
      <c r="G46" s="1343">
        <v>44575</v>
      </c>
      <c r="H46" s="1343">
        <v>44575</v>
      </c>
      <c r="I46" s="1173">
        <v>11.5</v>
      </c>
      <c r="J46" s="1173" t="s">
        <v>677</v>
      </c>
      <c r="K46" s="1174" t="s">
        <v>678</v>
      </c>
      <c r="L46" s="1175" t="s">
        <v>783</v>
      </c>
      <c r="M46" s="1176">
        <v>103500000</v>
      </c>
      <c r="N46" s="1344" t="s">
        <v>784</v>
      </c>
      <c r="O46" s="1171" t="s">
        <v>771</v>
      </c>
      <c r="P46" s="1350" t="s">
        <v>682</v>
      </c>
      <c r="Q46" s="1160"/>
      <c r="R46" s="1266">
        <v>103500000</v>
      </c>
      <c r="S46" s="1327">
        <v>103500000</v>
      </c>
      <c r="T46" s="1327">
        <f>+'PAA V30'!$R46-'PAA V30'!$S46</f>
        <v>0</v>
      </c>
      <c r="U46" s="1327">
        <v>103500000</v>
      </c>
      <c r="V46" s="1327">
        <v>41400000</v>
      </c>
      <c r="W46" s="1327"/>
      <c r="AL46" s="1204" t="s">
        <v>784</v>
      </c>
    </row>
    <row r="47" spans="1:38" s="1204" customFormat="1" ht="75" hidden="1" x14ac:dyDescent="0.2">
      <c r="A47" s="1169">
        <v>2022045</v>
      </c>
      <c r="B47" s="1169">
        <v>7655</v>
      </c>
      <c r="C47" s="1326" t="s">
        <v>648</v>
      </c>
      <c r="D47" s="1187" t="s">
        <v>690</v>
      </c>
      <c r="E47" s="1171" t="s">
        <v>781</v>
      </c>
      <c r="F47" s="1349" t="s">
        <v>787</v>
      </c>
      <c r="G47" s="1343">
        <v>44575</v>
      </c>
      <c r="H47" s="1343">
        <v>44575</v>
      </c>
      <c r="I47" s="1173">
        <v>11.5</v>
      </c>
      <c r="J47" s="1173" t="s">
        <v>677</v>
      </c>
      <c r="K47" s="1174" t="s">
        <v>678</v>
      </c>
      <c r="L47" s="1175" t="s">
        <v>679</v>
      </c>
      <c r="M47" s="1176">
        <v>57500000</v>
      </c>
      <c r="N47" s="1344" t="s">
        <v>784</v>
      </c>
      <c r="O47" s="1171" t="s">
        <v>771</v>
      </c>
      <c r="P47" s="1350" t="s">
        <v>682</v>
      </c>
      <c r="Q47" s="1160"/>
      <c r="R47" s="1266">
        <v>57500000</v>
      </c>
      <c r="S47" s="1327">
        <v>57500000</v>
      </c>
      <c r="T47" s="1327">
        <f>+'PAA V30'!$R47-'PAA V30'!$S47</f>
        <v>0</v>
      </c>
      <c r="U47" s="1327">
        <v>57500000</v>
      </c>
      <c r="V47" s="1327">
        <v>22166667</v>
      </c>
      <c r="W47" s="1327"/>
      <c r="AL47" s="1204" t="s">
        <v>707</v>
      </c>
    </row>
    <row r="48" spans="1:38" s="1204" customFormat="1" ht="75" hidden="1" x14ac:dyDescent="0.2">
      <c r="A48" s="1169">
        <v>2022046</v>
      </c>
      <c r="B48" s="1169">
        <v>7655</v>
      </c>
      <c r="C48" s="1326" t="s">
        <v>648</v>
      </c>
      <c r="D48" s="1187" t="s">
        <v>690</v>
      </c>
      <c r="E48" s="1171" t="s">
        <v>781</v>
      </c>
      <c r="F48" s="1349" t="s">
        <v>788</v>
      </c>
      <c r="G48" s="1343">
        <v>44575</v>
      </c>
      <c r="H48" s="1343">
        <v>44575</v>
      </c>
      <c r="I48" s="1173">
        <v>11.5</v>
      </c>
      <c r="J48" s="1173" t="s">
        <v>677</v>
      </c>
      <c r="K48" s="1174" t="s">
        <v>678</v>
      </c>
      <c r="L48" s="1175" t="s">
        <v>679</v>
      </c>
      <c r="M48" s="1176">
        <v>78200000</v>
      </c>
      <c r="N48" s="1344" t="s">
        <v>784</v>
      </c>
      <c r="O48" s="1171" t="s">
        <v>771</v>
      </c>
      <c r="P48" s="1350" t="s">
        <v>682</v>
      </c>
      <c r="Q48" s="1160"/>
      <c r="R48" s="1266">
        <v>78200000</v>
      </c>
      <c r="S48" s="1327">
        <v>78200000</v>
      </c>
      <c r="T48" s="1327">
        <f>+'PAA V30'!$R48-'PAA V30'!$S48</f>
        <v>0</v>
      </c>
      <c r="U48" s="1327">
        <v>78200000</v>
      </c>
      <c r="V48" s="1327">
        <v>30146667</v>
      </c>
      <c r="W48" s="1327"/>
      <c r="AL48" s="1204" t="s">
        <v>689</v>
      </c>
    </row>
    <row r="49" spans="1:23" s="1204" customFormat="1" ht="75" hidden="1" x14ac:dyDescent="0.2">
      <c r="A49" s="1169">
        <v>2022047</v>
      </c>
      <c r="B49" s="1169">
        <v>7655</v>
      </c>
      <c r="C49" s="1326" t="s">
        <v>648</v>
      </c>
      <c r="D49" s="1187" t="s">
        <v>690</v>
      </c>
      <c r="E49" s="1171" t="s">
        <v>781</v>
      </c>
      <c r="F49" s="1349" t="s">
        <v>789</v>
      </c>
      <c r="G49" s="1343">
        <v>44575</v>
      </c>
      <c r="H49" s="1343">
        <v>44575</v>
      </c>
      <c r="I49" s="1173">
        <v>11.5</v>
      </c>
      <c r="J49" s="1173" t="s">
        <v>677</v>
      </c>
      <c r="K49" s="1174" t="s">
        <v>678</v>
      </c>
      <c r="L49" s="1175" t="s">
        <v>679</v>
      </c>
      <c r="M49" s="1176">
        <v>38525000</v>
      </c>
      <c r="N49" s="1344" t="s">
        <v>784</v>
      </c>
      <c r="O49" s="1171" t="s">
        <v>771</v>
      </c>
      <c r="P49" s="1350" t="s">
        <v>682</v>
      </c>
      <c r="Q49" s="1160"/>
      <c r="R49" s="1266">
        <v>38525000</v>
      </c>
      <c r="S49" s="1327">
        <v>38525000</v>
      </c>
      <c r="T49" s="1327">
        <f>+'PAA V30'!$R49-'PAA V30'!$S49</f>
        <v>0</v>
      </c>
      <c r="U49" s="1327">
        <v>38525000</v>
      </c>
      <c r="V49" s="1327">
        <v>15410000</v>
      </c>
      <c r="W49" s="1327"/>
    </row>
    <row r="50" spans="1:23" s="1204" customFormat="1" ht="75" hidden="1" x14ac:dyDescent="0.2">
      <c r="A50" s="1169">
        <v>2022048</v>
      </c>
      <c r="B50" s="1169">
        <v>7655</v>
      </c>
      <c r="C50" s="1326" t="s">
        <v>648</v>
      </c>
      <c r="D50" s="1187" t="s">
        <v>690</v>
      </c>
      <c r="E50" s="1171" t="s">
        <v>781</v>
      </c>
      <c r="F50" s="1349" t="s">
        <v>790</v>
      </c>
      <c r="G50" s="1343">
        <v>44575</v>
      </c>
      <c r="H50" s="1343">
        <v>44575</v>
      </c>
      <c r="I50" s="1173">
        <v>11.5</v>
      </c>
      <c r="J50" s="1173" t="s">
        <v>677</v>
      </c>
      <c r="K50" s="1174" t="s">
        <v>678</v>
      </c>
      <c r="L50" s="1175" t="s">
        <v>783</v>
      </c>
      <c r="M50" s="1176">
        <v>92000000</v>
      </c>
      <c r="N50" s="1344" t="s">
        <v>784</v>
      </c>
      <c r="O50" s="1171" t="s">
        <v>771</v>
      </c>
      <c r="P50" s="1350" t="s">
        <v>682</v>
      </c>
      <c r="Q50" s="1160"/>
      <c r="R50" s="1266">
        <v>92000000</v>
      </c>
      <c r="S50" s="1327">
        <v>92000000</v>
      </c>
      <c r="T50" s="1327">
        <f>+'PAA V30'!$R50-'PAA V30'!$S50</f>
        <v>0</v>
      </c>
      <c r="U50" s="1327">
        <v>92000000</v>
      </c>
      <c r="V50" s="1327">
        <v>36800000</v>
      </c>
      <c r="W50" s="1327"/>
    </row>
    <row r="51" spans="1:23" s="1204" customFormat="1" ht="75" hidden="1" x14ac:dyDescent="0.2">
      <c r="A51" s="1169">
        <v>2022050</v>
      </c>
      <c r="B51" s="1169">
        <v>7655</v>
      </c>
      <c r="C51" s="1326" t="s">
        <v>648</v>
      </c>
      <c r="D51" s="1187" t="s">
        <v>690</v>
      </c>
      <c r="E51" s="1171" t="s">
        <v>781</v>
      </c>
      <c r="F51" s="1349" t="s">
        <v>791</v>
      </c>
      <c r="G51" s="1343">
        <v>44575</v>
      </c>
      <c r="H51" s="1343">
        <v>44575</v>
      </c>
      <c r="I51" s="1173">
        <v>7</v>
      </c>
      <c r="J51" s="1173" t="s">
        <v>677</v>
      </c>
      <c r="K51" s="1174" t="s">
        <v>678</v>
      </c>
      <c r="L51" s="1175" t="s">
        <v>679</v>
      </c>
      <c r="M51" s="1176">
        <v>38500000</v>
      </c>
      <c r="N51" s="1344" t="s">
        <v>784</v>
      </c>
      <c r="O51" s="1171" t="s">
        <v>771</v>
      </c>
      <c r="P51" s="1350" t="s">
        <v>682</v>
      </c>
      <c r="Q51" s="1160"/>
      <c r="R51" s="1266">
        <v>38500000</v>
      </c>
      <c r="S51" s="1327">
        <v>38500000</v>
      </c>
      <c r="T51" s="1327">
        <f>+'PAA V30'!$R51-'PAA V30'!$S51</f>
        <v>0</v>
      </c>
      <c r="U51" s="1327">
        <v>38500000</v>
      </c>
      <c r="V51" s="1327">
        <v>20900000</v>
      </c>
      <c r="W51" s="1327"/>
    </row>
    <row r="52" spans="1:23" s="1204" customFormat="1" ht="75" hidden="1" x14ac:dyDescent="0.2">
      <c r="A52" s="1169">
        <v>2022051</v>
      </c>
      <c r="B52" s="1169">
        <v>7655</v>
      </c>
      <c r="C52" s="1326" t="s">
        <v>648</v>
      </c>
      <c r="D52" s="1187" t="s">
        <v>690</v>
      </c>
      <c r="E52" s="1171" t="s">
        <v>781</v>
      </c>
      <c r="F52" s="1349" t="s">
        <v>792</v>
      </c>
      <c r="G52" s="1343">
        <v>44575</v>
      </c>
      <c r="H52" s="1343">
        <v>44575</v>
      </c>
      <c r="I52" s="1173">
        <v>11.5</v>
      </c>
      <c r="J52" s="1173" t="s">
        <v>677</v>
      </c>
      <c r="K52" s="1174" t="s">
        <v>678</v>
      </c>
      <c r="L52" s="1175" t="s">
        <v>679</v>
      </c>
      <c r="M52" s="1176">
        <v>20700000</v>
      </c>
      <c r="N52" s="1344" t="s">
        <v>784</v>
      </c>
      <c r="O52" s="1171" t="s">
        <v>771</v>
      </c>
      <c r="P52" s="1350" t="s">
        <v>682</v>
      </c>
      <c r="Q52" s="1160"/>
      <c r="R52" s="1266">
        <v>20700000</v>
      </c>
      <c r="S52" s="1327">
        <v>20700000</v>
      </c>
      <c r="T52" s="1327">
        <f>+'PAA V30'!$R52-'PAA V30'!$S52</f>
        <v>0</v>
      </c>
      <c r="U52" s="1327">
        <v>20700000</v>
      </c>
      <c r="V52" s="1327">
        <v>7980000</v>
      </c>
      <c r="W52" s="1327"/>
    </row>
    <row r="53" spans="1:23" s="1204" customFormat="1" ht="75" hidden="1" x14ac:dyDescent="0.2">
      <c r="A53" s="1169">
        <v>2022052</v>
      </c>
      <c r="B53" s="1169">
        <v>7655</v>
      </c>
      <c r="C53" s="1326" t="s">
        <v>648</v>
      </c>
      <c r="D53" s="1187" t="s">
        <v>690</v>
      </c>
      <c r="E53" s="1171" t="s">
        <v>781</v>
      </c>
      <c r="F53" s="1349" t="s">
        <v>793</v>
      </c>
      <c r="G53" s="1343">
        <v>44575</v>
      </c>
      <c r="H53" s="1343">
        <v>44575</v>
      </c>
      <c r="I53" s="1173">
        <v>11.5</v>
      </c>
      <c r="J53" s="1173" t="s">
        <v>677</v>
      </c>
      <c r="K53" s="1174" t="s">
        <v>678</v>
      </c>
      <c r="L53" s="1175" t="s">
        <v>679</v>
      </c>
      <c r="M53" s="1176">
        <f>83950000-5400000-16500000-1852500-18100834</f>
        <v>42096666</v>
      </c>
      <c r="N53" s="1344" t="s">
        <v>784</v>
      </c>
      <c r="O53" s="1171" t="s">
        <v>771</v>
      </c>
      <c r="P53" s="1350" t="s">
        <v>682</v>
      </c>
      <c r="Q53" s="1160"/>
      <c r="R53" s="1266">
        <v>83950000</v>
      </c>
      <c r="S53" s="1327">
        <v>83950000</v>
      </c>
      <c r="T53" s="1327">
        <f>+'PAA V30'!$R53-'PAA V30'!$S53</f>
        <v>0</v>
      </c>
      <c r="U53" s="1327">
        <v>83950000</v>
      </c>
      <c r="V53" s="1327">
        <v>32363333</v>
      </c>
      <c r="W53" s="1327"/>
    </row>
    <row r="54" spans="1:23" s="1204" customFormat="1" ht="75" hidden="1" x14ac:dyDescent="0.2">
      <c r="A54" s="1169">
        <v>2022053</v>
      </c>
      <c r="B54" s="1169">
        <v>7655</v>
      </c>
      <c r="C54" s="1326" t="s">
        <v>648</v>
      </c>
      <c r="D54" s="1187" t="s">
        <v>690</v>
      </c>
      <c r="E54" s="1171" t="s">
        <v>781</v>
      </c>
      <c r="F54" s="1349" t="s">
        <v>794</v>
      </c>
      <c r="G54" s="1343">
        <v>44575</v>
      </c>
      <c r="H54" s="1343">
        <v>44575</v>
      </c>
      <c r="I54" s="1173">
        <v>11.5</v>
      </c>
      <c r="J54" s="1173" t="s">
        <v>677</v>
      </c>
      <c r="K54" s="1174" t="s">
        <v>678</v>
      </c>
      <c r="L54" s="1175" t="s">
        <v>679</v>
      </c>
      <c r="M54" s="1176">
        <v>38525000</v>
      </c>
      <c r="N54" s="1344" t="s">
        <v>784</v>
      </c>
      <c r="O54" s="1171" t="s">
        <v>771</v>
      </c>
      <c r="P54" s="1350" t="s">
        <v>682</v>
      </c>
      <c r="Q54" s="1160"/>
      <c r="R54" s="1266">
        <v>38525000</v>
      </c>
      <c r="S54" s="1327">
        <v>38525000</v>
      </c>
      <c r="T54" s="1327">
        <f>+'PAA V30'!$R54-'PAA V30'!$S54</f>
        <v>0</v>
      </c>
      <c r="U54" s="1327">
        <v>38525000</v>
      </c>
      <c r="V54" s="1327">
        <v>13400000</v>
      </c>
      <c r="W54" s="1327"/>
    </row>
    <row r="55" spans="1:23" s="1204" customFormat="1" ht="75" hidden="1" x14ac:dyDescent="0.2">
      <c r="A55" s="1169">
        <v>2022054</v>
      </c>
      <c r="B55" s="1169">
        <v>7655</v>
      </c>
      <c r="C55" s="1326" t="s">
        <v>648</v>
      </c>
      <c r="D55" s="1187" t="s">
        <v>690</v>
      </c>
      <c r="E55" s="1171" t="s">
        <v>781</v>
      </c>
      <c r="F55" s="1349" t="s">
        <v>795</v>
      </c>
      <c r="G55" s="1343">
        <v>44575</v>
      </c>
      <c r="H55" s="1343">
        <v>44575</v>
      </c>
      <c r="I55" s="1173">
        <v>6</v>
      </c>
      <c r="J55" s="1173" t="s">
        <v>677</v>
      </c>
      <c r="K55" s="1174" t="s">
        <v>678</v>
      </c>
      <c r="L55" s="1175" t="s">
        <v>679</v>
      </c>
      <c r="M55" s="1176">
        <v>27000000</v>
      </c>
      <c r="N55" s="1344" t="s">
        <v>784</v>
      </c>
      <c r="O55" s="1171" t="s">
        <v>771</v>
      </c>
      <c r="P55" s="1350" t="s">
        <v>682</v>
      </c>
      <c r="Q55" s="1160"/>
      <c r="R55" s="1266">
        <v>27000000</v>
      </c>
      <c r="S55" s="1327">
        <v>27000000</v>
      </c>
      <c r="T55" s="1327">
        <f>+'PAA V30'!$R55-'PAA V30'!$S55</f>
        <v>0</v>
      </c>
      <c r="U55" s="1327">
        <v>27000000</v>
      </c>
      <c r="V55" s="1327"/>
      <c r="W55" s="1327"/>
    </row>
    <row r="56" spans="1:23" s="1204" customFormat="1" ht="75" hidden="1" x14ac:dyDescent="0.2">
      <c r="A56" s="1169">
        <v>2022055</v>
      </c>
      <c r="B56" s="1169">
        <v>7655</v>
      </c>
      <c r="C56" s="1326" t="s">
        <v>648</v>
      </c>
      <c r="D56" s="1187" t="s">
        <v>690</v>
      </c>
      <c r="E56" s="1171" t="s">
        <v>781</v>
      </c>
      <c r="F56" s="1349" t="s">
        <v>796</v>
      </c>
      <c r="G56" s="1343">
        <v>44575</v>
      </c>
      <c r="H56" s="1343">
        <v>44575</v>
      </c>
      <c r="I56" s="1173">
        <v>11.5</v>
      </c>
      <c r="J56" s="1173" t="s">
        <v>677</v>
      </c>
      <c r="K56" s="1174" t="s">
        <v>678</v>
      </c>
      <c r="L56" s="1175" t="s">
        <v>679</v>
      </c>
      <c r="M56" s="1176">
        <v>51750000</v>
      </c>
      <c r="N56" s="1344" t="s">
        <v>784</v>
      </c>
      <c r="O56" s="1171" t="s">
        <v>771</v>
      </c>
      <c r="P56" s="1350" t="s">
        <v>682</v>
      </c>
      <c r="Q56" s="1160"/>
      <c r="R56" s="1266">
        <v>51750000</v>
      </c>
      <c r="S56" s="1327">
        <v>51750000</v>
      </c>
      <c r="T56" s="1327">
        <f>+'PAA V30'!$R56-'PAA V30'!$S56</f>
        <v>0</v>
      </c>
      <c r="U56" s="1327">
        <v>51750000</v>
      </c>
      <c r="V56" s="1327">
        <v>18000000</v>
      </c>
      <c r="W56" s="1327"/>
    </row>
    <row r="57" spans="1:23" s="1204" customFormat="1" ht="75" hidden="1" x14ac:dyDescent="0.2">
      <c r="A57" s="1169">
        <v>2022057</v>
      </c>
      <c r="B57" s="1169">
        <v>7655</v>
      </c>
      <c r="C57" s="1326" t="s">
        <v>648</v>
      </c>
      <c r="D57" s="1187" t="s">
        <v>690</v>
      </c>
      <c r="E57" s="1171" t="s">
        <v>781</v>
      </c>
      <c r="F57" s="1349" t="s">
        <v>797</v>
      </c>
      <c r="G57" s="1343">
        <v>44575</v>
      </c>
      <c r="H57" s="1343">
        <v>44575</v>
      </c>
      <c r="I57" s="1173">
        <v>11.5</v>
      </c>
      <c r="J57" s="1173" t="s">
        <v>677</v>
      </c>
      <c r="K57" s="1174" t="s">
        <v>678</v>
      </c>
      <c r="L57" s="1175" t="s">
        <v>679</v>
      </c>
      <c r="M57" s="1176">
        <v>38525000</v>
      </c>
      <c r="N57" s="1344" t="s">
        <v>784</v>
      </c>
      <c r="O57" s="1171" t="s">
        <v>771</v>
      </c>
      <c r="P57" s="1350" t="s">
        <v>682</v>
      </c>
      <c r="Q57" s="1160"/>
      <c r="R57" s="1266">
        <v>38525000</v>
      </c>
      <c r="S57" s="1327">
        <v>38525000</v>
      </c>
      <c r="T57" s="1327">
        <f>+'PAA V30'!$R57-'PAA V30'!$S57</f>
        <v>0</v>
      </c>
      <c r="U57" s="1327">
        <v>38525000</v>
      </c>
      <c r="V57" s="1327">
        <v>14628333</v>
      </c>
      <c r="W57" s="1327"/>
    </row>
    <row r="58" spans="1:23" s="1204" customFormat="1" ht="75" hidden="1" x14ac:dyDescent="0.2">
      <c r="A58" s="1169">
        <v>2022058</v>
      </c>
      <c r="B58" s="1169">
        <v>7655</v>
      </c>
      <c r="C58" s="1326" t="s">
        <v>648</v>
      </c>
      <c r="D58" s="1187" t="s">
        <v>690</v>
      </c>
      <c r="E58" s="1171" t="s">
        <v>781</v>
      </c>
      <c r="F58" s="1349" t="s">
        <v>798</v>
      </c>
      <c r="G58" s="1343">
        <v>44575</v>
      </c>
      <c r="H58" s="1343">
        <v>44575</v>
      </c>
      <c r="I58" s="1173">
        <v>11.5</v>
      </c>
      <c r="J58" s="1173" t="s">
        <v>677</v>
      </c>
      <c r="K58" s="1174" t="s">
        <v>678</v>
      </c>
      <c r="L58" s="1175" t="s">
        <v>679</v>
      </c>
      <c r="M58" s="1176">
        <v>28175000</v>
      </c>
      <c r="N58" s="1344" t="s">
        <v>784</v>
      </c>
      <c r="O58" s="1171" t="s">
        <v>771</v>
      </c>
      <c r="P58" s="1350" t="s">
        <v>682</v>
      </c>
      <c r="Q58" s="1160"/>
      <c r="R58" s="1266">
        <v>28175000</v>
      </c>
      <c r="S58" s="1327">
        <v>28175000</v>
      </c>
      <c r="T58" s="1327">
        <f>+'PAA V30'!$R58-'PAA V30'!$S58</f>
        <v>0</v>
      </c>
      <c r="U58" s="1327">
        <v>28175000</v>
      </c>
      <c r="V58" s="1327">
        <v>10943333</v>
      </c>
      <c r="W58" s="1327"/>
    </row>
    <row r="59" spans="1:23" s="1204" customFormat="1" ht="75" hidden="1" x14ac:dyDescent="0.2">
      <c r="A59" s="1169">
        <v>2022059</v>
      </c>
      <c r="B59" s="1169">
        <v>7655</v>
      </c>
      <c r="C59" s="1326" t="s">
        <v>648</v>
      </c>
      <c r="D59" s="1187" t="s">
        <v>690</v>
      </c>
      <c r="E59" s="1171" t="s">
        <v>781</v>
      </c>
      <c r="F59" s="1349" t="s">
        <v>799</v>
      </c>
      <c r="G59" s="1343">
        <v>44575</v>
      </c>
      <c r="H59" s="1343">
        <v>44575</v>
      </c>
      <c r="I59" s="1173">
        <v>11.5</v>
      </c>
      <c r="J59" s="1173" t="s">
        <v>677</v>
      </c>
      <c r="K59" s="1174" t="s">
        <v>678</v>
      </c>
      <c r="L59" s="1175" t="s">
        <v>679</v>
      </c>
      <c r="M59" s="1176">
        <v>44275000</v>
      </c>
      <c r="N59" s="1344" t="s">
        <v>784</v>
      </c>
      <c r="O59" s="1171" t="s">
        <v>771</v>
      </c>
      <c r="P59" s="1350" t="s">
        <v>682</v>
      </c>
      <c r="Q59" s="1160"/>
      <c r="R59" s="1266">
        <v>44275000</v>
      </c>
      <c r="S59" s="1327">
        <v>44275000</v>
      </c>
      <c r="T59" s="1327">
        <f>+'PAA V30'!$R59-'PAA V30'!$S59</f>
        <v>0</v>
      </c>
      <c r="U59" s="1327">
        <v>44275000</v>
      </c>
      <c r="V59" s="1327">
        <v>16811667</v>
      </c>
      <c r="W59" s="1327"/>
    </row>
    <row r="60" spans="1:23" s="1204" customFormat="1" ht="75" hidden="1" x14ac:dyDescent="0.2">
      <c r="A60" s="1169">
        <v>2022060</v>
      </c>
      <c r="B60" s="1169">
        <v>7655</v>
      </c>
      <c r="C60" s="1326" t="s">
        <v>648</v>
      </c>
      <c r="D60" s="1187" t="s">
        <v>690</v>
      </c>
      <c r="E60" s="1171" t="s">
        <v>781</v>
      </c>
      <c r="F60" s="1349" t="s">
        <v>799</v>
      </c>
      <c r="G60" s="1343">
        <v>44575</v>
      </c>
      <c r="H60" s="1343">
        <v>44575</v>
      </c>
      <c r="I60" s="1173">
        <v>11.5</v>
      </c>
      <c r="J60" s="1173" t="s">
        <v>677</v>
      </c>
      <c r="K60" s="1174" t="s">
        <v>678</v>
      </c>
      <c r="L60" s="1175" t="s">
        <v>679</v>
      </c>
      <c r="M60" s="1176">
        <v>44275000</v>
      </c>
      <c r="N60" s="1344" t="s">
        <v>784</v>
      </c>
      <c r="O60" s="1171" t="s">
        <v>771</v>
      </c>
      <c r="P60" s="1350" t="s">
        <v>682</v>
      </c>
      <c r="Q60" s="1160"/>
      <c r="R60" s="1266">
        <v>44275000</v>
      </c>
      <c r="S60" s="1327">
        <v>44275000</v>
      </c>
      <c r="T60" s="1327">
        <f>+'PAA V30'!$R60-'PAA V30'!$S60</f>
        <v>0</v>
      </c>
      <c r="U60" s="1327">
        <v>44275000</v>
      </c>
      <c r="V60" s="1327">
        <v>15784999</v>
      </c>
      <c r="W60" s="1327"/>
    </row>
    <row r="61" spans="1:23" s="1204" customFormat="1" ht="75" hidden="1" x14ac:dyDescent="0.2">
      <c r="A61" s="1169">
        <v>2022061</v>
      </c>
      <c r="B61" s="1169">
        <v>7655</v>
      </c>
      <c r="C61" s="1326" t="s">
        <v>648</v>
      </c>
      <c r="D61" s="1187" t="s">
        <v>690</v>
      </c>
      <c r="E61" s="1171" t="s">
        <v>781</v>
      </c>
      <c r="F61" s="1349" t="s">
        <v>800</v>
      </c>
      <c r="G61" s="1343">
        <v>44575</v>
      </c>
      <c r="H61" s="1343">
        <v>44575</v>
      </c>
      <c r="I61" s="1173">
        <v>11.5</v>
      </c>
      <c r="J61" s="1173" t="s">
        <v>677</v>
      </c>
      <c r="K61" s="1174" t="s">
        <v>678</v>
      </c>
      <c r="L61" s="1175" t="s">
        <v>679</v>
      </c>
      <c r="M61" s="1176">
        <v>51750000</v>
      </c>
      <c r="N61" s="1344" t="s">
        <v>784</v>
      </c>
      <c r="O61" s="1171" t="s">
        <v>771</v>
      </c>
      <c r="P61" s="1350" t="s">
        <v>682</v>
      </c>
      <c r="Q61" s="1160"/>
      <c r="R61" s="1266">
        <v>51750000</v>
      </c>
      <c r="S61" s="1327">
        <v>51750000</v>
      </c>
      <c r="T61" s="1327">
        <f>+'PAA V30'!$R61-'PAA V30'!$S61</f>
        <v>0</v>
      </c>
      <c r="U61" s="1327">
        <v>51750000</v>
      </c>
      <c r="V61" s="1327">
        <v>17700000</v>
      </c>
      <c r="W61" s="1327"/>
    </row>
    <row r="62" spans="1:23" s="1204" customFormat="1" ht="90" hidden="1" x14ac:dyDescent="0.2">
      <c r="A62" s="1169">
        <v>2022062</v>
      </c>
      <c r="B62" s="1169">
        <v>7655</v>
      </c>
      <c r="C62" s="1326" t="s">
        <v>648</v>
      </c>
      <c r="D62" s="1187" t="s">
        <v>690</v>
      </c>
      <c r="E62" s="1171" t="s">
        <v>781</v>
      </c>
      <c r="F62" s="1349" t="s">
        <v>801</v>
      </c>
      <c r="G62" s="1343">
        <v>44575</v>
      </c>
      <c r="H62" s="1343">
        <v>44575</v>
      </c>
      <c r="I62" s="1173">
        <v>7</v>
      </c>
      <c r="J62" s="1173" t="s">
        <v>677</v>
      </c>
      <c r="K62" s="1174" t="s">
        <v>678</v>
      </c>
      <c r="L62" s="1175" t="s">
        <v>679</v>
      </c>
      <c r="M62" s="1176">
        <v>51100000</v>
      </c>
      <c r="N62" s="1344" t="s">
        <v>784</v>
      </c>
      <c r="O62" s="1171" t="s">
        <v>771</v>
      </c>
      <c r="P62" s="1350" t="s">
        <v>682</v>
      </c>
      <c r="Q62" s="1160"/>
      <c r="R62" s="1266">
        <v>51100000</v>
      </c>
      <c r="S62" s="1327">
        <v>51100000</v>
      </c>
      <c r="T62" s="1327">
        <f>+'PAA V30'!$R62-'PAA V30'!$S62</f>
        <v>0</v>
      </c>
      <c r="U62" s="1327">
        <v>51100000</v>
      </c>
      <c r="V62" s="1327">
        <v>31633333</v>
      </c>
      <c r="W62" s="1327"/>
    </row>
    <row r="63" spans="1:23" s="1204" customFormat="1" ht="90" hidden="1" x14ac:dyDescent="0.2">
      <c r="A63" s="1169">
        <v>2022063</v>
      </c>
      <c r="B63" s="1169">
        <v>7655</v>
      </c>
      <c r="C63" s="1326" t="s">
        <v>648</v>
      </c>
      <c r="D63" s="1187" t="s">
        <v>690</v>
      </c>
      <c r="E63" s="1171" t="s">
        <v>802</v>
      </c>
      <c r="F63" s="1349" t="s">
        <v>803</v>
      </c>
      <c r="G63" s="1343">
        <v>44630</v>
      </c>
      <c r="H63" s="1343">
        <v>44630</v>
      </c>
      <c r="I63" s="1173">
        <v>4</v>
      </c>
      <c r="J63" s="1173" t="s">
        <v>700</v>
      </c>
      <c r="K63" s="1174" t="s">
        <v>678</v>
      </c>
      <c r="L63" s="1175" t="s">
        <v>804</v>
      </c>
      <c r="M63" s="1176">
        <f>20000000-1622500-8377500</f>
        <v>10000000</v>
      </c>
      <c r="N63" s="1344" t="s">
        <v>784</v>
      </c>
      <c r="O63" s="1171" t="s">
        <v>771</v>
      </c>
      <c r="P63" s="1267" t="s">
        <v>682</v>
      </c>
      <c r="Q63" s="1160"/>
      <c r="R63" s="1266">
        <v>0</v>
      </c>
      <c r="S63" s="1327"/>
      <c r="T63" s="1327">
        <f>+'PAA V30'!$R63-'PAA V30'!$S63</f>
        <v>0</v>
      </c>
      <c r="U63" s="1327"/>
      <c r="V63" s="1327"/>
      <c r="W63" s="1327"/>
    </row>
    <row r="64" spans="1:23" s="1204" customFormat="1" ht="75" hidden="1" x14ac:dyDescent="0.2">
      <c r="A64" s="1169">
        <v>2022064</v>
      </c>
      <c r="B64" s="1169">
        <v>7655</v>
      </c>
      <c r="C64" s="1326" t="s">
        <v>648</v>
      </c>
      <c r="D64" s="1187" t="s">
        <v>690</v>
      </c>
      <c r="E64" s="1171" t="s">
        <v>805</v>
      </c>
      <c r="F64" s="1349" t="s">
        <v>806</v>
      </c>
      <c r="G64" s="1343">
        <v>44576</v>
      </c>
      <c r="H64" s="1343">
        <v>44576</v>
      </c>
      <c r="I64" s="1173" t="s">
        <v>97</v>
      </c>
      <c r="J64" s="1173" t="s">
        <v>687</v>
      </c>
      <c r="K64" s="1174" t="s">
        <v>678</v>
      </c>
      <c r="L64" s="1175" t="s">
        <v>679</v>
      </c>
      <c r="M64" s="1176">
        <f>20000000-3857708</f>
        <v>16142292</v>
      </c>
      <c r="N64" s="1344" t="s">
        <v>784</v>
      </c>
      <c r="O64" s="1171" t="s">
        <v>771</v>
      </c>
      <c r="P64" s="1267" t="s">
        <v>751</v>
      </c>
      <c r="Q64" s="1160"/>
      <c r="R64" s="1266">
        <v>16142292</v>
      </c>
      <c r="S64" s="1327">
        <v>16142292</v>
      </c>
      <c r="T64" s="1327">
        <f>+'PAA V30'!$R64-'PAA V30'!$S64</f>
        <v>0</v>
      </c>
      <c r="U64" s="1327">
        <v>16142292</v>
      </c>
      <c r="V64" s="1327"/>
      <c r="W64" s="1327"/>
    </row>
    <row r="65" spans="1:23" s="1204" customFormat="1" ht="75" hidden="1" x14ac:dyDescent="0.2">
      <c r="A65" s="1169">
        <v>2022065</v>
      </c>
      <c r="B65" s="1169">
        <v>7655</v>
      </c>
      <c r="C65" s="1326" t="s">
        <v>648</v>
      </c>
      <c r="D65" s="1187" t="s">
        <v>690</v>
      </c>
      <c r="E65" s="1171" t="s">
        <v>805</v>
      </c>
      <c r="F65" s="1349" t="s">
        <v>807</v>
      </c>
      <c r="G65" s="1343">
        <v>44607</v>
      </c>
      <c r="H65" s="1343">
        <v>44607</v>
      </c>
      <c r="I65" s="1173">
        <v>10</v>
      </c>
      <c r="J65" s="1173" t="s">
        <v>687</v>
      </c>
      <c r="K65" s="1174" t="s">
        <v>678</v>
      </c>
      <c r="L65" s="1175" t="s">
        <v>679</v>
      </c>
      <c r="M65" s="1176">
        <f>140000000-21287227-23000000</f>
        <v>95712773</v>
      </c>
      <c r="N65" s="1344" t="s">
        <v>784</v>
      </c>
      <c r="O65" s="1171" t="s">
        <v>771</v>
      </c>
      <c r="P65" s="1267" t="s">
        <v>682</v>
      </c>
      <c r="Q65" s="1160"/>
      <c r="R65" s="1266">
        <v>95712773</v>
      </c>
      <c r="S65" s="1327">
        <v>95712773</v>
      </c>
      <c r="T65" s="1327">
        <f>+'PAA V30'!$R65-'PAA V30'!$S65</f>
        <v>0</v>
      </c>
      <c r="U65" s="1327">
        <v>95712773</v>
      </c>
      <c r="V65" s="1327"/>
      <c r="W65" s="1327"/>
    </row>
    <row r="66" spans="1:23" s="1204" customFormat="1" ht="75" hidden="1" x14ac:dyDescent="0.2">
      <c r="A66" s="1169">
        <v>2022068</v>
      </c>
      <c r="B66" s="1169">
        <v>7655</v>
      </c>
      <c r="C66" s="1326" t="s">
        <v>648</v>
      </c>
      <c r="D66" s="1187" t="s">
        <v>690</v>
      </c>
      <c r="E66" s="1171" t="s">
        <v>781</v>
      </c>
      <c r="F66" s="1349" t="s">
        <v>808</v>
      </c>
      <c r="G66" s="1343">
        <v>44575</v>
      </c>
      <c r="H66" s="1343">
        <v>44575</v>
      </c>
      <c r="I66" s="1173">
        <v>11.5</v>
      </c>
      <c r="J66" s="1173" t="s">
        <v>677</v>
      </c>
      <c r="K66" s="1174" t="s">
        <v>678</v>
      </c>
      <c r="L66" s="1175" t="s">
        <v>679</v>
      </c>
      <c r="M66" s="1176">
        <f>44275000-17325000</f>
        <v>26950000</v>
      </c>
      <c r="N66" s="1344" t="s">
        <v>784</v>
      </c>
      <c r="O66" s="1171" t="s">
        <v>771</v>
      </c>
      <c r="P66" s="1267" t="s">
        <v>682</v>
      </c>
      <c r="Q66" s="1160"/>
      <c r="R66" s="1266">
        <v>44275000</v>
      </c>
      <c r="S66" s="1327">
        <v>44275000</v>
      </c>
      <c r="T66" s="1327">
        <f>+'PAA V30'!$R66-'PAA V30'!$S66</f>
        <v>0</v>
      </c>
      <c r="U66" s="1327">
        <v>44275000</v>
      </c>
      <c r="V66" s="1327">
        <v>15400000</v>
      </c>
      <c r="W66" s="1327"/>
    </row>
    <row r="67" spans="1:23" s="1204" customFormat="1" ht="75" hidden="1" x14ac:dyDescent="0.2">
      <c r="A67" s="1169">
        <v>2022069</v>
      </c>
      <c r="B67" s="1169">
        <v>7655</v>
      </c>
      <c r="C67" s="1326" t="s">
        <v>648</v>
      </c>
      <c r="D67" s="1187" t="s">
        <v>690</v>
      </c>
      <c r="E67" s="1171" t="s">
        <v>781</v>
      </c>
      <c r="F67" s="1349" t="s">
        <v>809</v>
      </c>
      <c r="G67" s="1343">
        <v>44575</v>
      </c>
      <c r="H67" s="1343">
        <v>44575</v>
      </c>
      <c r="I67" s="1173">
        <v>11.5</v>
      </c>
      <c r="J67" s="1173" t="s">
        <v>677</v>
      </c>
      <c r="K67" s="1174" t="s">
        <v>678</v>
      </c>
      <c r="L67" s="1175" t="s">
        <v>783</v>
      </c>
      <c r="M67" s="1176">
        <v>47150000</v>
      </c>
      <c r="N67" s="1344" t="s">
        <v>784</v>
      </c>
      <c r="O67" s="1171" t="s">
        <v>771</v>
      </c>
      <c r="P67" s="1350" t="s">
        <v>682</v>
      </c>
      <c r="Q67" s="1160"/>
      <c r="R67" s="1266">
        <v>47150000</v>
      </c>
      <c r="S67" s="1327">
        <v>47150000</v>
      </c>
      <c r="T67" s="1327">
        <f>+'PAA V30'!$R67-'PAA V30'!$S67</f>
        <v>0</v>
      </c>
      <c r="U67" s="1327">
        <v>47150000</v>
      </c>
      <c r="V67" s="1327">
        <v>17356667</v>
      </c>
      <c r="W67" s="1327"/>
    </row>
    <row r="68" spans="1:23" s="1204" customFormat="1" ht="75" hidden="1" x14ac:dyDescent="0.2">
      <c r="A68" s="1169">
        <v>2022070</v>
      </c>
      <c r="B68" s="1169">
        <v>7655</v>
      </c>
      <c r="C68" s="1326" t="s">
        <v>648</v>
      </c>
      <c r="D68" s="1187" t="s">
        <v>690</v>
      </c>
      <c r="E68" s="1171" t="s">
        <v>781</v>
      </c>
      <c r="F68" s="1349" t="s">
        <v>809</v>
      </c>
      <c r="G68" s="1343">
        <v>44575</v>
      </c>
      <c r="H68" s="1343">
        <v>44575</v>
      </c>
      <c r="I68" s="1173">
        <v>11.5</v>
      </c>
      <c r="J68" s="1173" t="s">
        <v>677</v>
      </c>
      <c r="K68" s="1174" t="s">
        <v>678</v>
      </c>
      <c r="L68" s="1175" t="s">
        <v>679</v>
      </c>
      <c r="M68" s="1176">
        <v>63250000</v>
      </c>
      <c r="N68" s="1344" t="s">
        <v>784</v>
      </c>
      <c r="O68" s="1171" t="s">
        <v>771</v>
      </c>
      <c r="P68" s="1350" t="s">
        <v>682</v>
      </c>
      <c r="Q68" s="1160"/>
      <c r="R68" s="1266">
        <v>63250000</v>
      </c>
      <c r="S68" s="1327">
        <v>63250000</v>
      </c>
      <c r="T68" s="1327">
        <f>+'PAA V30'!$R68-'PAA V30'!$S68</f>
        <v>0</v>
      </c>
      <c r="U68" s="1327">
        <v>63250000</v>
      </c>
      <c r="V68" s="1327">
        <v>23283333</v>
      </c>
      <c r="W68" s="1327"/>
    </row>
    <row r="69" spans="1:23" s="1204" customFormat="1" ht="75" hidden="1" x14ac:dyDescent="0.2">
      <c r="A69" s="1169">
        <v>2022071</v>
      </c>
      <c r="B69" s="1169">
        <v>7655</v>
      </c>
      <c r="C69" s="1326" t="s">
        <v>648</v>
      </c>
      <c r="D69" s="1187" t="s">
        <v>690</v>
      </c>
      <c r="E69" s="1171" t="s">
        <v>781</v>
      </c>
      <c r="F69" s="1349" t="s">
        <v>809</v>
      </c>
      <c r="G69" s="1343">
        <v>44575</v>
      </c>
      <c r="H69" s="1343">
        <v>44575</v>
      </c>
      <c r="I69" s="1173">
        <v>11.5</v>
      </c>
      <c r="J69" s="1173" t="s">
        <v>677</v>
      </c>
      <c r="K69" s="1174" t="s">
        <v>678</v>
      </c>
      <c r="L69" s="1175" t="s">
        <v>679</v>
      </c>
      <c r="M69" s="1176">
        <v>63250000</v>
      </c>
      <c r="N69" s="1344" t="s">
        <v>784</v>
      </c>
      <c r="O69" s="1171" t="s">
        <v>771</v>
      </c>
      <c r="P69" s="1350" t="s">
        <v>682</v>
      </c>
      <c r="Q69" s="1160"/>
      <c r="R69" s="1266">
        <v>63250000</v>
      </c>
      <c r="S69" s="1327">
        <v>63250000</v>
      </c>
      <c r="T69" s="1327">
        <f>+'PAA V30'!$R69-'PAA V30'!$S69</f>
        <v>0</v>
      </c>
      <c r="U69" s="1327">
        <v>63250000</v>
      </c>
      <c r="V69" s="1327">
        <v>23283333</v>
      </c>
      <c r="W69" s="1327"/>
    </row>
    <row r="70" spans="1:23" s="1204" customFormat="1" ht="90" hidden="1" x14ac:dyDescent="0.2">
      <c r="A70" s="1169">
        <v>2022072</v>
      </c>
      <c r="B70" s="1169">
        <v>7655</v>
      </c>
      <c r="C70" s="1326" t="s">
        <v>648</v>
      </c>
      <c r="D70" s="1187" t="s">
        <v>690</v>
      </c>
      <c r="E70" s="1171" t="s">
        <v>781</v>
      </c>
      <c r="F70" s="1349" t="s">
        <v>810</v>
      </c>
      <c r="G70" s="1343">
        <v>44575</v>
      </c>
      <c r="H70" s="1343">
        <v>44575</v>
      </c>
      <c r="I70" s="1173">
        <v>6</v>
      </c>
      <c r="J70" s="1173" t="s">
        <v>677</v>
      </c>
      <c r="K70" s="1174" t="s">
        <v>678</v>
      </c>
      <c r="L70" s="1175" t="s">
        <v>679</v>
      </c>
      <c r="M70" s="1176">
        <v>16500000</v>
      </c>
      <c r="N70" s="1344" t="s">
        <v>784</v>
      </c>
      <c r="O70" s="1171" t="s">
        <v>771</v>
      </c>
      <c r="P70" s="1350" t="s">
        <v>682</v>
      </c>
      <c r="Q70" s="1160"/>
      <c r="R70" s="1266">
        <v>16500000</v>
      </c>
      <c r="S70" s="1327">
        <v>16500000</v>
      </c>
      <c r="T70" s="1327">
        <f>+'PAA V30'!$R70-'PAA V30'!$S70</f>
        <v>0</v>
      </c>
      <c r="U70" s="1327">
        <v>16500000</v>
      </c>
      <c r="V70" s="1327">
        <v>11916667</v>
      </c>
      <c r="W70" s="1327"/>
    </row>
    <row r="71" spans="1:23" s="1204" customFormat="1" ht="75" hidden="1" x14ac:dyDescent="0.2">
      <c r="A71" s="1169">
        <v>2022073</v>
      </c>
      <c r="B71" s="1169">
        <v>7655</v>
      </c>
      <c r="C71" s="1326" t="s">
        <v>648</v>
      </c>
      <c r="D71" s="1187" t="s">
        <v>690</v>
      </c>
      <c r="E71" s="1171" t="s">
        <v>781</v>
      </c>
      <c r="F71" s="1349" t="s">
        <v>809</v>
      </c>
      <c r="G71" s="1343">
        <v>44575</v>
      </c>
      <c r="H71" s="1343">
        <v>44575</v>
      </c>
      <c r="I71" s="1173">
        <v>11.5</v>
      </c>
      <c r="J71" s="1173" t="s">
        <v>677</v>
      </c>
      <c r="K71" s="1174" t="s">
        <v>678</v>
      </c>
      <c r="L71" s="1175" t="s">
        <v>679</v>
      </c>
      <c r="M71" s="1176">
        <v>63250000</v>
      </c>
      <c r="N71" s="1344" t="s">
        <v>784</v>
      </c>
      <c r="O71" s="1171" t="s">
        <v>771</v>
      </c>
      <c r="P71" s="1350" t="s">
        <v>682</v>
      </c>
      <c r="Q71" s="1160"/>
      <c r="R71" s="1266">
        <v>63250000</v>
      </c>
      <c r="S71" s="1327">
        <v>63250000</v>
      </c>
      <c r="T71" s="1327">
        <f>+'PAA V30'!$R71-'PAA V30'!$S71</f>
        <v>0</v>
      </c>
      <c r="U71" s="1327">
        <v>63250000</v>
      </c>
      <c r="V71" s="1327">
        <v>16500000</v>
      </c>
      <c r="W71" s="1327"/>
    </row>
    <row r="72" spans="1:23" s="1204" customFormat="1" ht="75" hidden="1" x14ac:dyDescent="0.2">
      <c r="A72" s="1169">
        <v>2022074</v>
      </c>
      <c r="B72" s="1169">
        <v>7655</v>
      </c>
      <c r="C72" s="1326" t="s">
        <v>648</v>
      </c>
      <c r="D72" s="1187" t="s">
        <v>690</v>
      </c>
      <c r="E72" s="1171" t="s">
        <v>781</v>
      </c>
      <c r="F72" s="1349" t="s">
        <v>809</v>
      </c>
      <c r="G72" s="1343">
        <v>44575</v>
      </c>
      <c r="H72" s="1343">
        <v>44575</v>
      </c>
      <c r="I72" s="1173">
        <v>11.5</v>
      </c>
      <c r="J72" s="1173" t="s">
        <v>677</v>
      </c>
      <c r="K72" s="1174" t="s">
        <v>678</v>
      </c>
      <c r="L72" s="1175" t="s">
        <v>679</v>
      </c>
      <c r="M72" s="1176">
        <v>58650000</v>
      </c>
      <c r="N72" s="1344" t="s">
        <v>784</v>
      </c>
      <c r="O72" s="1171" t="s">
        <v>771</v>
      </c>
      <c r="P72" s="1350" t="s">
        <v>682</v>
      </c>
      <c r="Q72" s="1160"/>
      <c r="R72" s="1266">
        <v>58650000</v>
      </c>
      <c r="S72" s="1327">
        <v>58650000</v>
      </c>
      <c r="T72" s="1327">
        <f>+'PAA V30'!$R72-'PAA V30'!$S72</f>
        <v>0</v>
      </c>
      <c r="U72" s="1327">
        <v>58650000</v>
      </c>
      <c r="V72" s="1327">
        <v>20400000</v>
      </c>
      <c r="W72" s="1327"/>
    </row>
    <row r="73" spans="1:23" s="1204" customFormat="1" ht="90" hidden="1" x14ac:dyDescent="0.2">
      <c r="A73" s="1169">
        <v>2022075</v>
      </c>
      <c r="B73" s="1169">
        <v>7655</v>
      </c>
      <c r="C73" s="1326" t="s">
        <v>648</v>
      </c>
      <c r="D73" s="1187" t="s">
        <v>690</v>
      </c>
      <c r="E73" s="1171" t="s">
        <v>781</v>
      </c>
      <c r="F73" s="1349" t="s">
        <v>810</v>
      </c>
      <c r="G73" s="1343">
        <v>44575</v>
      </c>
      <c r="H73" s="1343">
        <v>44575</v>
      </c>
      <c r="I73" s="1173">
        <v>11.5</v>
      </c>
      <c r="J73" s="1173" t="s">
        <v>677</v>
      </c>
      <c r="K73" s="1174" t="s">
        <v>678</v>
      </c>
      <c r="L73" s="1175" t="s">
        <v>679</v>
      </c>
      <c r="M73" s="1176">
        <v>31625000</v>
      </c>
      <c r="N73" s="1344" t="s">
        <v>784</v>
      </c>
      <c r="O73" s="1171" t="s">
        <v>771</v>
      </c>
      <c r="P73" s="1350" t="s">
        <v>682</v>
      </c>
      <c r="Q73" s="1160"/>
      <c r="R73" s="1266">
        <v>31625000</v>
      </c>
      <c r="S73" s="1327">
        <v>31625000</v>
      </c>
      <c r="T73" s="1327">
        <f>+'PAA V30'!$R73-'PAA V30'!$S73</f>
        <v>0</v>
      </c>
      <c r="U73" s="1327">
        <v>31625000</v>
      </c>
      <c r="V73" s="1327">
        <v>11550000</v>
      </c>
      <c r="W73" s="1327"/>
    </row>
    <row r="74" spans="1:23" s="1204" customFormat="1" ht="75" hidden="1" x14ac:dyDescent="0.2">
      <c r="A74" s="1169">
        <v>2022076</v>
      </c>
      <c r="B74" s="1169">
        <v>7655</v>
      </c>
      <c r="C74" s="1326" t="s">
        <v>648</v>
      </c>
      <c r="D74" s="1187" t="s">
        <v>690</v>
      </c>
      <c r="E74" s="1171" t="s">
        <v>781</v>
      </c>
      <c r="F74" s="1349" t="s">
        <v>811</v>
      </c>
      <c r="G74" s="1343">
        <v>44575</v>
      </c>
      <c r="H74" s="1343">
        <v>44575</v>
      </c>
      <c r="I74" s="1173">
        <v>11.5</v>
      </c>
      <c r="J74" s="1173" t="s">
        <v>677</v>
      </c>
      <c r="K74" s="1174" t="s">
        <v>678</v>
      </c>
      <c r="L74" s="1175" t="s">
        <v>679</v>
      </c>
      <c r="M74" s="1176">
        <v>28175000</v>
      </c>
      <c r="N74" s="1344" t="s">
        <v>784</v>
      </c>
      <c r="O74" s="1171" t="s">
        <v>771</v>
      </c>
      <c r="P74" s="1350" t="s">
        <v>682</v>
      </c>
      <c r="Q74" s="1160"/>
      <c r="R74" s="1266">
        <v>28175000</v>
      </c>
      <c r="S74" s="1327">
        <v>28175000</v>
      </c>
      <c r="T74" s="1327">
        <f>+'PAA V30'!$R74-'PAA V30'!$S74</f>
        <v>0</v>
      </c>
      <c r="U74" s="1327">
        <v>28175000</v>
      </c>
      <c r="V74" s="1327">
        <v>10371667</v>
      </c>
      <c r="W74" s="1327"/>
    </row>
    <row r="75" spans="1:23" s="1204" customFormat="1" ht="75" hidden="1" x14ac:dyDescent="0.2">
      <c r="A75" s="1169">
        <v>2022077</v>
      </c>
      <c r="B75" s="1169">
        <v>7655</v>
      </c>
      <c r="C75" s="1326" t="s">
        <v>648</v>
      </c>
      <c r="D75" s="1187" t="s">
        <v>690</v>
      </c>
      <c r="E75" s="1171" t="s">
        <v>781</v>
      </c>
      <c r="F75" s="1349" t="s">
        <v>811</v>
      </c>
      <c r="G75" s="1343">
        <v>44575</v>
      </c>
      <c r="H75" s="1343">
        <v>44575</v>
      </c>
      <c r="I75" s="1173">
        <v>11.5</v>
      </c>
      <c r="J75" s="1173" t="s">
        <v>677</v>
      </c>
      <c r="K75" s="1174" t="s">
        <v>678</v>
      </c>
      <c r="L75" s="1175" t="s">
        <v>679</v>
      </c>
      <c r="M75" s="1176">
        <v>28175000</v>
      </c>
      <c r="N75" s="1344" t="s">
        <v>784</v>
      </c>
      <c r="O75" s="1171" t="s">
        <v>771</v>
      </c>
      <c r="P75" s="1350" t="s">
        <v>682</v>
      </c>
      <c r="Q75" s="1160"/>
      <c r="R75" s="1266">
        <v>28175000</v>
      </c>
      <c r="S75" s="1327">
        <v>28175000</v>
      </c>
      <c r="T75" s="1327">
        <f>+'PAA V30'!$R75-'PAA V30'!$S75</f>
        <v>0</v>
      </c>
      <c r="U75" s="1327">
        <v>28175000</v>
      </c>
      <c r="V75" s="1327">
        <v>10616667</v>
      </c>
      <c r="W75" s="1327"/>
    </row>
    <row r="76" spans="1:23" s="1204" customFormat="1" ht="75" hidden="1" x14ac:dyDescent="0.2">
      <c r="A76" s="1169">
        <v>2022078</v>
      </c>
      <c r="B76" s="1169">
        <v>7655</v>
      </c>
      <c r="C76" s="1326" t="s">
        <v>648</v>
      </c>
      <c r="D76" s="1187" t="s">
        <v>690</v>
      </c>
      <c r="E76" s="1171" t="s">
        <v>781</v>
      </c>
      <c r="F76" s="1349" t="s">
        <v>812</v>
      </c>
      <c r="G76" s="1343">
        <v>44575</v>
      </c>
      <c r="H76" s="1343">
        <v>44575</v>
      </c>
      <c r="I76" s="1173">
        <v>11.5</v>
      </c>
      <c r="J76" s="1173" t="s">
        <v>677</v>
      </c>
      <c r="K76" s="1174" t="s">
        <v>678</v>
      </c>
      <c r="L76" s="1175" t="s">
        <v>679</v>
      </c>
      <c r="M76" s="1176">
        <v>24150000</v>
      </c>
      <c r="N76" s="1344" t="s">
        <v>784</v>
      </c>
      <c r="O76" s="1171" t="s">
        <v>771</v>
      </c>
      <c r="P76" s="1350" t="s">
        <v>682</v>
      </c>
      <c r="Q76" s="1160"/>
      <c r="R76" s="1266">
        <v>24150000</v>
      </c>
      <c r="S76" s="1327">
        <v>24150000</v>
      </c>
      <c r="T76" s="1327">
        <f>+'PAA V30'!$R76-'PAA V30'!$S76</f>
        <v>0</v>
      </c>
      <c r="U76" s="1327">
        <v>24150000</v>
      </c>
      <c r="V76" s="1327">
        <v>6300000</v>
      </c>
      <c r="W76" s="1327"/>
    </row>
    <row r="77" spans="1:23" s="1204" customFormat="1" ht="75" hidden="1" x14ac:dyDescent="0.2">
      <c r="A77" s="1169">
        <v>2022079</v>
      </c>
      <c r="B77" s="1169">
        <v>7655</v>
      </c>
      <c r="C77" s="1326" t="s">
        <v>648</v>
      </c>
      <c r="D77" s="1187" t="s">
        <v>690</v>
      </c>
      <c r="E77" s="1171" t="s">
        <v>781</v>
      </c>
      <c r="F77" s="1349" t="s">
        <v>813</v>
      </c>
      <c r="G77" s="1343">
        <v>44575</v>
      </c>
      <c r="H77" s="1343">
        <v>44575</v>
      </c>
      <c r="I77" s="1173">
        <v>11.5</v>
      </c>
      <c r="J77" s="1173" t="s">
        <v>677</v>
      </c>
      <c r="K77" s="1174" t="s">
        <v>678</v>
      </c>
      <c r="L77" s="1175" t="s">
        <v>679</v>
      </c>
      <c r="M77" s="1176">
        <v>57500000</v>
      </c>
      <c r="N77" s="1344" t="s">
        <v>784</v>
      </c>
      <c r="O77" s="1171" t="s">
        <v>771</v>
      </c>
      <c r="P77" s="1350" t="s">
        <v>682</v>
      </c>
      <c r="Q77" s="1160"/>
      <c r="R77" s="1266">
        <v>57500000</v>
      </c>
      <c r="S77" s="1327">
        <v>57500000</v>
      </c>
      <c r="T77" s="1327">
        <f>+'PAA V30'!$R77-'PAA V30'!$S77</f>
        <v>0</v>
      </c>
      <c r="U77" s="1327">
        <v>57500000</v>
      </c>
      <c r="V77" s="1327">
        <v>21166667</v>
      </c>
      <c r="W77" s="1327"/>
    </row>
    <row r="78" spans="1:23" s="1204" customFormat="1" ht="75" hidden="1" x14ac:dyDescent="0.2">
      <c r="A78" s="1169">
        <v>2022080</v>
      </c>
      <c r="B78" s="1169">
        <v>7655</v>
      </c>
      <c r="C78" s="1326" t="s">
        <v>648</v>
      </c>
      <c r="D78" s="1187" t="s">
        <v>690</v>
      </c>
      <c r="E78" s="1171" t="s">
        <v>781</v>
      </c>
      <c r="F78" s="1349" t="s">
        <v>814</v>
      </c>
      <c r="G78" s="1343">
        <v>44575</v>
      </c>
      <c r="H78" s="1343">
        <v>44575</v>
      </c>
      <c r="I78" s="1173">
        <v>11.5</v>
      </c>
      <c r="J78" s="1173" t="s">
        <v>677</v>
      </c>
      <c r="K78" s="1174" t="s">
        <v>678</v>
      </c>
      <c r="L78" s="1175" t="s">
        <v>679</v>
      </c>
      <c r="M78" s="1176">
        <v>83950000</v>
      </c>
      <c r="N78" s="1344" t="s">
        <v>784</v>
      </c>
      <c r="O78" s="1171" t="s">
        <v>771</v>
      </c>
      <c r="P78" s="1350" t="s">
        <v>682</v>
      </c>
      <c r="Q78" s="1160"/>
      <c r="R78" s="1266">
        <v>83950000</v>
      </c>
      <c r="S78" s="1327">
        <v>83950000</v>
      </c>
      <c r="T78" s="1327">
        <f>+'PAA V30'!$R78-'PAA V30'!$S78</f>
        <v>0</v>
      </c>
      <c r="U78" s="1327">
        <v>83950000</v>
      </c>
      <c r="V78" s="1327">
        <v>31876667</v>
      </c>
      <c r="W78" s="1327"/>
    </row>
    <row r="79" spans="1:23" s="1204" customFormat="1" ht="75" hidden="1" x14ac:dyDescent="0.2">
      <c r="A79" s="1169">
        <v>2022081</v>
      </c>
      <c r="B79" s="1169">
        <v>7655</v>
      </c>
      <c r="C79" s="1326" t="s">
        <v>648</v>
      </c>
      <c r="D79" s="1187" t="s">
        <v>690</v>
      </c>
      <c r="E79" s="1171" t="s">
        <v>781</v>
      </c>
      <c r="F79" s="1349" t="s">
        <v>815</v>
      </c>
      <c r="G79" s="1343">
        <v>44575</v>
      </c>
      <c r="H79" s="1343">
        <v>44575</v>
      </c>
      <c r="I79" s="1173">
        <v>11.5</v>
      </c>
      <c r="J79" s="1173" t="s">
        <v>677</v>
      </c>
      <c r="K79" s="1174" t="s">
        <v>678</v>
      </c>
      <c r="L79" s="1175" t="s">
        <v>679</v>
      </c>
      <c r="M79" s="1176">
        <v>28175000</v>
      </c>
      <c r="N79" s="1344" t="s">
        <v>784</v>
      </c>
      <c r="O79" s="1171" t="s">
        <v>771</v>
      </c>
      <c r="P79" s="1350" t="s">
        <v>682</v>
      </c>
      <c r="Q79" s="1160"/>
      <c r="R79" s="1266">
        <v>28175000</v>
      </c>
      <c r="S79" s="1327">
        <v>28175000</v>
      </c>
      <c r="T79" s="1327">
        <f>+'PAA V30'!$R79-'PAA V30'!$S79</f>
        <v>0</v>
      </c>
      <c r="U79" s="1327">
        <v>28175000</v>
      </c>
      <c r="V79" s="1327">
        <v>9228333</v>
      </c>
      <c r="W79" s="1327"/>
    </row>
    <row r="80" spans="1:23" s="1204" customFormat="1" ht="75" hidden="1" x14ac:dyDescent="0.2">
      <c r="A80" s="1169">
        <v>2022082</v>
      </c>
      <c r="B80" s="1169">
        <v>7655</v>
      </c>
      <c r="C80" s="1326" t="s">
        <v>648</v>
      </c>
      <c r="D80" s="1187" t="s">
        <v>690</v>
      </c>
      <c r="E80" s="1171" t="s">
        <v>781</v>
      </c>
      <c r="F80" s="1349" t="s">
        <v>811</v>
      </c>
      <c r="G80" s="1343">
        <v>44575</v>
      </c>
      <c r="H80" s="1343">
        <v>44575</v>
      </c>
      <c r="I80" s="1173">
        <v>11.5</v>
      </c>
      <c r="J80" s="1173" t="s">
        <v>677</v>
      </c>
      <c r="K80" s="1174" t="s">
        <v>678</v>
      </c>
      <c r="L80" s="1175" t="s">
        <v>679</v>
      </c>
      <c r="M80" s="1176">
        <v>28175000</v>
      </c>
      <c r="N80" s="1344" t="s">
        <v>784</v>
      </c>
      <c r="O80" s="1171" t="s">
        <v>771</v>
      </c>
      <c r="P80" s="1350" t="s">
        <v>682</v>
      </c>
      <c r="Q80" s="1160"/>
      <c r="R80" s="1266">
        <v>28175000</v>
      </c>
      <c r="S80" s="1327">
        <v>28175000</v>
      </c>
      <c r="T80" s="1327">
        <f>+'PAA V30'!$R80-'PAA V30'!$S80</f>
        <v>0</v>
      </c>
      <c r="U80" s="1327">
        <v>28175000</v>
      </c>
      <c r="V80" s="1327">
        <v>10371667</v>
      </c>
      <c r="W80" s="1327"/>
    </row>
    <row r="81" spans="1:23" s="1204" customFormat="1" ht="75" hidden="1" x14ac:dyDescent="0.2">
      <c r="A81" s="1169">
        <v>2022083</v>
      </c>
      <c r="B81" s="1169">
        <v>7655</v>
      </c>
      <c r="C81" s="1326" t="s">
        <v>648</v>
      </c>
      <c r="D81" s="1187" t="s">
        <v>690</v>
      </c>
      <c r="E81" s="1171" t="s">
        <v>781</v>
      </c>
      <c r="F81" s="1349" t="s">
        <v>811</v>
      </c>
      <c r="G81" s="1343">
        <v>44575</v>
      </c>
      <c r="H81" s="1343">
        <v>44575</v>
      </c>
      <c r="I81" s="1173">
        <v>11.5</v>
      </c>
      <c r="J81" s="1173" t="s">
        <v>677</v>
      </c>
      <c r="K81" s="1174" t="s">
        <v>678</v>
      </c>
      <c r="L81" s="1175" t="s">
        <v>679</v>
      </c>
      <c r="M81" s="1176">
        <v>28175000</v>
      </c>
      <c r="N81" s="1344" t="s">
        <v>784</v>
      </c>
      <c r="O81" s="1171" t="s">
        <v>771</v>
      </c>
      <c r="P81" s="1350" t="s">
        <v>682</v>
      </c>
      <c r="Q81" s="1160"/>
      <c r="R81" s="1266">
        <v>28175000</v>
      </c>
      <c r="S81" s="1327">
        <v>28175000</v>
      </c>
      <c r="T81" s="1327">
        <f>+'PAA V30'!$R81-'PAA V30'!$S81</f>
        <v>0</v>
      </c>
      <c r="U81" s="1327">
        <v>28175000</v>
      </c>
      <c r="V81" s="1327">
        <v>10290000</v>
      </c>
      <c r="W81" s="1327"/>
    </row>
    <row r="82" spans="1:23" s="1204" customFormat="1" ht="75" hidden="1" x14ac:dyDescent="0.2">
      <c r="A82" s="1169">
        <v>2022084</v>
      </c>
      <c r="B82" s="1169">
        <v>7655</v>
      </c>
      <c r="C82" s="1326" t="s">
        <v>648</v>
      </c>
      <c r="D82" s="1187" t="s">
        <v>690</v>
      </c>
      <c r="E82" s="1171" t="s">
        <v>781</v>
      </c>
      <c r="F82" s="1349" t="s">
        <v>811</v>
      </c>
      <c r="G82" s="1343">
        <v>44575</v>
      </c>
      <c r="H82" s="1343">
        <v>44575</v>
      </c>
      <c r="I82" s="1173">
        <v>11.5</v>
      </c>
      <c r="J82" s="1173" t="s">
        <v>677</v>
      </c>
      <c r="K82" s="1174" t="s">
        <v>678</v>
      </c>
      <c r="L82" s="1175" t="s">
        <v>679</v>
      </c>
      <c r="M82" s="1176">
        <v>28175000</v>
      </c>
      <c r="N82" s="1344" t="s">
        <v>784</v>
      </c>
      <c r="O82" s="1171" t="s">
        <v>771</v>
      </c>
      <c r="P82" s="1350" t="s">
        <v>682</v>
      </c>
      <c r="Q82" s="1160"/>
      <c r="R82" s="1266">
        <v>28175000</v>
      </c>
      <c r="S82" s="1327">
        <v>28175000</v>
      </c>
      <c r="T82" s="1327">
        <f>+'PAA V30'!$R82-'PAA V30'!$S82</f>
        <v>0</v>
      </c>
      <c r="U82" s="1327">
        <v>28175000</v>
      </c>
      <c r="V82" s="1327">
        <v>9800000</v>
      </c>
      <c r="W82" s="1327"/>
    </row>
    <row r="83" spans="1:23" s="1204" customFormat="1" ht="75" hidden="1" x14ac:dyDescent="0.2">
      <c r="A83" s="1169">
        <v>2022085</v>
      </c>
      <c r="B83" s="1169">
        <v>7655</v>
      </c>
      <c r="C83" s="1326" t="s">
        <v>648</v>
      </c>
      <c r="D83" s="1187" t="s">
        <v>690</v>
      </c>
      <c r="E83" s="1171" t="s">
        <v>781</v>
      </c>
      <c r="F83" s="1349" t="s">
        <v>816</v>
      </c>
      <c r="G83" s="1343">
        <v>44575</v>
      </c>
      <c r="H83" s="1343">
        <v>44575</v>
      </c>
      <c r="I83" s="1173">
        <v>11.5</v>
      </c>
      <c r="J83" s="1173" t="s">
        <v>677</v>
      </c>
      <c r="K83" s="1174" t="s">
        <v>678</v>
      </c>
      <c r="L83" s="1175" t="s">
        <v>679</v>
      </c>
      <c r="M83" s="1176">
        <v>78200000</v>
      </c>
      <c r="N83" s="1344" t="s">
        <v>784</v>
      </c>
      <c r="O83" s="1171" t="s">
        <v>771</v>
      </c>
      <c r="P83" s="1350" t="s">
        <v>682</v>
      </c>
      <c r="Q83" s="1160"/>
      <c r="R83" s="1266">
        <v>78200000</v>
      </c>
      <c r="S83" s="1327">
        <v>78200000</v>
      </c>
      <c r="T83" s="1327">
        <f>+'PAA V30'!$R83-'PAA V30'!$S83</f>
        <v>0</v>
      </c>
      <c r="U83" s="1327">
        <v>78200000</v>
      </c>
      <c r="V83" s="1327">
        <v>30146667</v>
      </c>
      <c r="W83" s="1327"/>
    </row>
    <row r="84" spans="1:23" s="1204" customFormat="1" ht="75" hidden="1" x14ac:dyDescent="0.2">
      <c r="A84" s="1169">
        <v>2022086</v>
      </c>
      <c r="B84" s="1169">
        <v>7655</v>
      </c>
      <c r="C84" s="1326" t="s">
        <v>648</v>
      </c>
      <c r="D84" s="1187" t="s">
        <v>690</v>
      </c>
      <c r="E84" s="1171" t="s">
        <v>781</v>
      </c>
      <c r="F84" s="1349" t="s">
        <v>817</v>
      </c>
      <c r="G84" s="1343">
        <v>44575</v>
      </c>
      <c r="H84" s="1343">
        <v>44575</v>
      </c>
      <c r="I84" s="1173">
        <v>11.5</v>
      </c>
      <c r="J84" s="1173" t="s">
        <v>677</v>
      </c>
      <c r="K84" s="1174" t="s">
        <v>678</v>
      </c>
      <c r="L84" s="1175" t="s">
        <v>679</v>
      </c>
      <c r="M84" s="1176">
        <v>36800000</v>
      </c>
      <c r="N84" s="1344" t="s">
        <v>784</v>
      </c>
      <c r="O84" s="1171" t="s">
        <v>771</v>
      </c>
      <c r="P84" s="1350" t="s">
        <v>682</v>
      </c>
      <c r="Q84" s="1160"/>
      <c r="R84" s="1266">
        <v>36800000</v>
      </c>
      <c r="S84" s="1327">
        <v>36800000</v>
      </c>
      <c r="T84" s="1327">
        <f>+'PAA V30'!$R84-'PAA V30'!$S84</f>
        <v>0</v>
      </c>
      <c r="U84" s="1327">
        <v>36800000</v>
      </c>
      <c r="V84" s="1327">
        <v>14186667</v>
      </c>
      <c r="W84" s="1327"/>
    </row>
    <row r="85" spans="1:23" s="1204" customFormat="1" ht="75" hidden="1" x14ac:dyDescent="0.2">
      <c r="A85" s="1169">
        <v>2022087</v>
      </c>
      <c r="B85" s="1169">
        <v>7655</v>
      </c>
      <c r="C85" s="1326" t="s">
        <v>648</v>
      </c>
      <c r="D85" s="1187" t="s">
        <v>690</v>
      </c>
      <c r="E85" s="1171" t="s">
        <v>781</v>
      </c>
      <c r="F85" s="1349" t="s">
        <v>818</v>
      </c>
      <c r="G85" s="1343">
        <v>44575</v>
      </c>
      <c r="H85" s="1343">
        <v>44575</v>
      </c>
      <c r="I85" s="1173">
        <v>11.5</v>
      </c>
      <c r="J85" s="1173" t="s">
        <v>677</v>
      </c>
      <c r="K85" s="1174" t="s">
        <v>678</v>
      </c>
      <c r="L85" s="1175" t="s">
        <v>679</v>
      </c>
      <c r="M85" s="1176">
        <v>58650000</v>
      </c>
      <c r="N85" s="1344" t="s">
        <v>784</v>
      </c>
      <c r="O85" s="1171" t="s">
        <v>771</v>
      </c>
      <c r="P85" s="1350" t="s">
        <v>682</v>
      </c>
      <c r="Q85" s="1160"/>
      <c r="R85" s="1266">
        <v>58650000</v>
      </c>
      <c r="S85" s="1327">
        <v>58650000</v>
      </c>
      <c r="T85" s="1327">
        <f>+'PAA V30'!$R85-'PAA V30'!$S85</f>
        <v>0</v>
      </c>
      <c r="U85" s="1327">
        <v>58650000</v>
      </c>
      <c r="V85" s="1327">
        <v>22270000</v>
      </c>
      <c r="W85" s="1327"/>
    </row>
    <row r="86" spans="1:23" s="1204" customFormat="1" ht="75" hidden="1" x14ac:dyDescent="0.2">
      <c r="A86" s="1169">
        <v>2022088</v>
      </c>
      <c r="B86" s="1169">
        <v>7655</v>
      </c>
      <c r="C86" s="1326" t="s">
        <v>648</v>
      </c>
      <c r="D86" s="1187" t="s">
        <v>690</v>
      </c>
      <c r="E86" s="1171" t="s">
        <v>781</v>
      </c>
      <c r="F86" s="1349" t="s">
        <v>819</v>
      </c>
      <c r="G86" s="1343">
        <v>44575</v>
      </c>
      <c r="H86" s="1343">
        <v>44575</v>
      </c>
      <c r="I86" s="1173">
        <v>11.5</v>
      </c>
      <c r="J86" s="1173" t="s">
        <v>677</v>
      </c>
      <c r="K86" s="1174" t="s">
        <v>678</v>
      </c>
      <c r="L86" s="1175" t="s">
        <v>679</v>
      </c>
      <c r="M86" s="1176">
        <v>38525000</v>
      </c>
      <c r="N86" s="1344" t="s">
        <v>784</v>
      </c>
      <c r="O86" s="1171" t="s">
        <v>771</v>
      </c>
      <c r="P86" s="1350" t="s">
        <v>682</v>
      </c>
      <c r="Q86" s="1160"/>
      <c r="R86" s="1266">
        <v>38525000</v>
      </c>
      <c r="S86" s="1327">
        <v>38525000</v>
      </c>
      <c r="T86" s="1327">
        <f>+'PAA V30'!$R86-'PAA V30'!$S86</f>
        <v>0</v>
      </c>
      <c r="U86" s="1327">
        <v>38525000</v>
      </c>
      <c r="V86" s="1327">
        <v>15298333</v>
      </c>
      <c r="W86" s="1327"/>
    </row>
    <row r="87" spans="1:23" s="1204" customFormat="1" ht="75" hidden="1" x14ac:dyDescent="0.2">
      <c r="A87" s="1169">
        <v>2022089</v>
      </c>
      <c r="B87" s="1169">
        <v>7655</v>
      </c>
      <c r="C87" s="1326" t="s">
        <v>648</v>
      </c>
      <c r="D87" s="1187" t="s">
        <v>690</v>
      </c>
      <c r="E87" s="1171" t="s">
        <v>781</v>
      </c>
      <c r="F87" s="1349" t="s">
        <v>820</v>
      </c>
      <c r="G87" s="1343">
        <v>44575</v>
      </c>
      <c r="H87" s="1343">
        <v>44575</v>
      </c>
      <c r="I87" s="1173">
        <v>11.5</v>
      </c>
      <c r="J87" s="1173" t="s">
        <v>677</v>
      </c>
      <c r="K87" s="1174" t="s">
        <v>678</v>
      </c>
      <c r="L87" s="1175" t="s">
        <v>679</v>
      </c>
      <c r="M87" s="1176">
        <v>48300000</v>
      </c>
      <c r="N87" s="1344" t="s">
        <v>784</v>
      </c>
      <c r="O87" s="1171" t="s">
        <v>771</v>
      </c>
      <c r="P87" s="1350" t="s">
        <v>682</v>
      </c>
      <c r="Q87" s="1160"/>
      <c r="R87" s="1266">
        <v>48300000</v>
      </c>
      <c r="S87" s="1327">
        <v>48300000</v>
      </c>
      <c r="T87" s="1327">
        <f>+'PAA V30'!$R87-'PAA V30'!$S87</f>
        <v>0</v>
      </c>
      <c r="U87" s="1327">
        <v>48300000</v>
      </c>
      <c r="V87" s="1327">
        <v>19180000</v>
      </c>
      <c r="W87" s="1327"/>
    </row>
    <row r="88" spans="1:23" s="1204" customFormat="1" ht="75" hidden="1" x14ac:dyDescent="0.2">
      <c r="A88" s="1169">
        <v>2022091</v>
      </c>
      <c r="B88" s="1169">
        <v>7655</v>
      </c>
      <c r="C88" s="1326" t="s">
        <v>648</v>
      </c>
      <c r="D88" s="1187" t="s">
        <v>690</v>
      </c>
      <c r="E88" s="1171" t="s">
        <v>781</v>
      </c>
      <c r="F88" s="1349" t="s">
        <v>821</v>
      </c>
      <c r="G88" s="1343">
        <v>44575</v>
      </c>
      <c r="H88" s="1343">
        <v>44575</v>
      </c>
      <c r="I88" s="1173">
        <v>11.5</v>
      </c>
      <c r="J88" s="1173" t="s">
        <v>677</v>
      </c>
      <c r="K88" s="1174" t="s">
        <v>678</v>
      </c>
      <c r="L88" s="1175" t="s">
        <v>679</v>
      </c>
      <c r="M88" s="1176">
        <v>80500000</v>
      </c>
      <c r="N88" s="1344" t="s">
        <v>784</v>
      </c>
      <c r="O88" s="1171" t="s">
        <v>771</v>
      </c>
      <c r="P88" s="1350" t="s">
        <v>682</v>
      </c>
      <c r="Q88" s="1160"/>
      <c r="R88" s="1266">
        <v>80500000</v>
      </c>
      <c r="S88" s="1327">
        <v>80500000</v>
      </c>
      <c r="T88" s="1327">
        <f>+'PAA V30'!$R88-'PAA V30'!$S88</f>
        <v>0</v>
      </c>
      <c r="U88" s="1327">
        <v>80500000</v>
      </c>
      <c r="V88" s="1327">
        <v>21233333</v>
      </c>
      <c r="W88" s="1327"/>
    </row>
    <row r="89" spans="1:23" s="1204" customFormat="1" ht="75" hidden="1" x14ac:dyDescent="0.2">
      <c r="A89" s="1169">
        <v>2022092</v>
      </c>
      <c r="B89" s="1169">
        <v>7655</v>
      </c>
      <c r="C89" s="1326" t="s">
        <v>648</v>
      </c>
      <c r="D89" s="1187" t="s">
        <v>690</v>
      </c>
      <c r="E89" s="1171" t="s">
        <v>781</v>
      </c>
      <c r="F89" s="1349" t="s">
        <v>822</v>
      </c>
      <c r="G89" s="1343">
        <v>44575</v>
      </c>
      <c r="H89" s="1343">
        <v>44575</v>
      </c>
      <c r="I89" s="1173">
        <v>11.5</v>
      </c>
      <c r="J89" s="1173" t="s">
        <v>677</v>
      </c>
      <c r="K89" s="1174" t="s">
        <v>678</v>
      </c>
      <c r="L89" s="1175" t="s">
        <v>679</v>
      </c>
      <c r="M89" s="1176">
        <v>28175000</v>
      </c>
      <c r="N89" s="1344" t="s">
        <v>784</v>
      </c>
      <c r="O89" s="1171" t="s">
        <v>771</v>
      </c>
      <c r="P89" s="1350" t="s">
        <v>682</v>
      </c>
      <c r="Q89" s="1160"/>
      <c r="R89" s="1266">
        <v>28175000</v>
      </c>
      <c r="S89" s="1327">
        <v>28175000</v>
      </c>
      <c r="T89" s="1327">
        <f>+'PAA V30'!$R89-'PAA V30'!$S89</f>
        <v>0</v>
      </c>
      <c r="U89" s="1327">
        <v>28175000</v>
      </c>
      <c r="V89" s="1327">
        <v>10698333</v>
      </c>
      <c r="W89" s="1327"/>
    </row>
    <row r="90" spans="1:23" s="1204" customFormat="1" ht="75" hidden="1" x14ac:dyDescent="0.2">
      <c r="A90" s="1169">
        <v>2022093</v>
      </c>
      <c r="B90" s="1169">
        <v>7655</v>
      </c>
      <c r="C90" s="1326" t="s">
        <v>648</v>
      </c>
      <c r="D90" s="1187" t="s">
        <v>690</v>
      </c>
      <c r="E90" s="1171" t="s">
        <v>781</v>
      </c>
      <c r="F90" s="1349" t="s">
        <v>823</v>
      </c>
      <c r="G90" s="1343">
        <v>44575</v>
      </c>
      <c r="H90" s="1343">
        <v>44575</v>
      </c>
      <c r="I90" s="1173">
        <v>11.5</v>
      </c>
      <c r="J90" s="1173" t="s">
        <v>677</v>
      </c>
      <c r="K90" s="1174" t="s">
        <v>678</v>
      </c>
      <c r="L90" s="1175" t="s">
        <v>679</v>
      </c>
      <c r="M90" s="1176">
        <v>48300000</v>
      </c>
      <c r="N90" s="1344" t="s">
        <v>784</v>
      </c>
      <c r="O90" s="1171" t="s">
        <v>771</v>
      </c>
      <c r="P90" s="1350" t="s">
        <v>682</v>
      </c>
      <c r="Q90" s="1160"/>
      <c r="R90" s="1266">
        <v>48300000</v>
      </c>
      <c r="S90" s="1327">
        <v>48300000</v>
      </c>
      <c r="T90" s="1327">
        <f>+'PAA V30'!$R90-'PAA V30'!$S90</f>
        <v>0</v>
      </c>
      <c r="U90" s="1327">
        <v>48300000</v>
      </c>
      <c r="V90" s="1327">
        <v>18620000</v>
      </c>
      <c r="W90" s="1327"/>
    </row>
    <row r="91" spans="1:23" s="1204" customFormat="1" ht="75" hidden="1" x14ac:dyDescent="0.2">
      <c r="A91" s="1169">
        <v>2022094</v>
      </c>
      <c r="B91" s="1169">
        <v>7655</v>
      </c>
      <c r="C91" s="1326" t="s">
        <v>648</v>
      </c>
      <c r="D91" s="1187" t="s">
        <v>690</v>
      </c>
      <c r="E91" s="1171" t="s">
        <v>781</v>
      </c>
      <c r="F91" s="1349" t="s">
        <v>822</v>
      </c>
      <c r="G91" s="1343">
        <v>44575</v>
      </c>
      <c r="H91" s="1343">
        <v>44575</v>
      </c>
      <c r="I91" s="1173">
        <v>11.5</v>
      </c>
      <c r="J91" s="1173" t="s">
        <v>677</v>
      </c>
      <c r="K91" s="1174" t="s">
        <v>678</v>
      </c>
      <c r="L91" s="1175" t="s">
        <v>679</v>
      </c>
      <c r="M91" s="1176">
        <v>28175000</v>
      </c>
      <c r="N91" s="1344" t="s">
        <v>784</v>
      </c>
      <c r="O91" s="1171" t="s">
        <v>771</v>
      </c>
      <c r="P91" s="1350" t="s">
        <v>682</v>
      </c>
      <c r="Q91" s="1160"/>
      <c r="R91" s="1266">
        <v>28175000</v>
      </c>
      <c r="S91" s="1327">
        <v>28175000</v>
      </c>
      <c r="T91" s="1327">
        <f>+'PAA V30'!$R91-'PAA V30'!$S91</f>
        <v>0</v>
      </c>
      <c r="U91" s="1327">
        <v>28175000</v>
      </c>
      <c r="V91" s="1327">
        <v>10943333</v>
      </c>
      <c r="W91" s="1327"/>
    </row>
    <row r="92" spans="1:23" s="1204" customFormat="1" ht="75" hidden="1" x14ac:dyDescent="0.2">
      <c r="A92" s="1169">
        <v>2022095</v>
      </c>
      <c r="B92" s="1169">
        <v>7655</v>
      </c>
      <c r="C92" s="1326" t="s">
        <v>648</v>
      </c>
      <c r="D92" s="1187" t="s">
        <v>690</v>
      </c>
      <c r="E92" s="1171" t="s">
        <v>781</v>
      </c>
      <c r="F92" s="1349" t="s">
        <v>824</v>
      </c>
      <c r="G92" s="1343">
        <v>44575</v>
      </c>
      <c r="H92" s="1343">
        <v>44575</v>
      </c>
      <c r="I92" s="1173">
        <v>11.5</v>
      </c>
      <c r="J92" s="1173" t="s">
        <v>677</v>
      </c>
      <c r="K92" s="1174" t="s">
        <v>678</v>
      </c>
      <c r="L92" s="1175" t="s">
        <v>679</v>
      </c>
      <c r="M92" s="1176">
        <v>31625000</v>
      </c>
      <c r="N92" s="1344" t="s">
        <v>784</v>
      </c>
      <c r="O92" s="1171" t="s">
        <v>771</v>
      </c>
      <c r="P92" s="1350" t="s">
        <v>682</v>
      </c>
      <c r="Q92" s="1160"/>
      <c r="R92" s="1266">
        <v>31625000</v>
      </c>
      <c r="S92" s="1327">
        <v>31625000</v>
      </c>
      <c r="T92" s="1327">
        <f>+'PAA V30'!$R92-'PAA V30'!$S92</f>
        <v>0</v>
      </c>
      <c r="U92" s="1327">
        <v>31625000</v>
      </c>
      <c r="V92" s="1327">
        <v>11458333</v>
      </c>
      <c r="W92" s="1327"/>
    </row>
    <row r="93" spans="1:23" s="1204" customFormat="1" ht="75" hidden="1" x14ac:dyDescent="0.2">
      <c r="A93" s="1169">
        <v>2022096</v>
      </c>
      <c r="B93" s="1169">
        <v>7655</v>
      </c>
      <c r="C93" s="1326" t="s">
        <v>648</v>
      </c>
      <c r="D93" s="1187" t="s">
        <v>690</v>
      </c>
      <c r="E93" s="1171" t="s">
        <v>781</v>
      </c>
      <c r="F93" s="1349" t="s">
        <v>825</v>
      </c>
      <c r="G93" s="1343">
        <v>44575</v>
      </c>
      <c r="H93" s="1343">
        <v>44575</v>
      </c>
      <c r="I93" s="1173">
        <v>11.5</v>
      </c>
      <c r="J93" s="1173" t="s">
        <v>677</v>
      </c>
      <c r="K93" s="1174" t="s">
        <v>678</v>
      </c>
      <c r="L93" s="1175" t="s">
        <v>679</v>
      </c>
      <c r="M93" s="1176">
        <v>69000000</v>
      </c>
      <c r="N93" s="1344" t="s">
        <v>784</v>
      </c>
      <c r="O93" s="1171" t="s">
        <v>771</v>
      </c>
      <c r="P93" s="1350" t="s">
        <v>682</v>
      </c>
      <c r="Q93" s="1160"/>
      <c r="R93" s="1266">
        <v>69000000</v>
      </c>
      <c r="S93" s="1327">
        <v>69000000</v>
      </c>
      <c r="T93" s="1327">
        <f>+'PAA V30'!$R93-'PAA V30'!$S93</f>
        <v>0</v>
      </c>
      <c r="U93" s="1327">
        <v>69000000</v>
      </c>
      <c r="V93" s="1327">
        <v>26600000</v>
      </c>
      <c r="W93" s="1327"/>
    </row>
    <row r="94" spans="1:23" s="1204" customFormat="1" ht="75" hidden="1" x14ac:dyDescent="0.2">
      <c r="A94" s="1169">
        <v>2022097</v>
      </c>
      <c r="B94" s="1169">
        <v>7655</v>
      </c>
      <c r="C94" s="1326" t="s">
        <v>648</v>
      </c>
      <c r="D94" s="1187" t="s">
        <v>690</v>
      </c>
      <c r="E94" s="1171" t="s">
        <v>781</v>
      </c>
      <c r="F94" s="1349" t="s">
        <v>822</v>
      </c>
      <c r="G94" s="1343">
        <v>44575</v>
      </c>
      <c r="H94" s="1343">
        <v>44575</v>
      </c>
      <c r="I94" s="1173">
        <v>11.5</v>
      </c>
      <c r="J94" s="1173" t="s">
        <v>677</v>
      </c>
      <c r="K94" s="1174" t="s">
        <v>678</v>
      </c>
      <c r="L94" s="1175" t="s">
        <v>679</v>
      </c>
      <c r="M94" s="1176">
        <v>24150000</v>
      </c>
      <c r="N94" s="1344" t="s">
        <v>784</v>
      </c>
      <c r="O94" s="1171" t="s">
        <v>771</v>
      </c>
      <c r="P94" s="1350" t="s">
        <v>682</v>
      </c>
      <c r="Q94" s="1160"/>
      <c r="R94" s="1266">
        <v>24150000</v>
      </c>
      <c r="S94" s="1327">
        <v>24150000</v>
      </c>
      <c r="T94" s="1327">
        <f>+'PAA V30'!$R94-'PAA V30'!$S94</f>
        <v>0</v>
      </c>
      <c r="U94" s="1327">
        <v>24150000</v>
      </c>
      <c r="V94" s="1327">
        <v>9170000</v>
      </c>
      <c r="W94" s="1327"/>
    </row>
    <row r="95" spans="1:23" s="1204" customFormat="1" ht="75" hidden="1" x14ac:dyDescent="0.2">
      <c r="A95" s="1169">
        <v>2022098</v>
      </c>
      <c r="B95" s="1169">
        <v>7655</v>
      </c>
      <c r="C95" s="1326" t="s">
        <v>648</v>
      </c>
      <c r="D95" s="1187" t="s">
        <v>690</v>
      </c>
      <c r="E95" s="1171" t="s">
        <v>781</v>
      </c>
      <c r="F95" s="1349" t="s">
        <v>822</v>
      </c>
      <c r="G95" s="1343">
        <v>44575</v>
      </c>
      <c r="H95" s="1343">
        <v>44575</v>
      </c>
      <c r="I95" s="1173">
        <v>11.5</v>
      </c>
      <c r="J95" s="1173" t="s">
        <v>677</v>
      </c>
      <c r="K95" s="1174" t="s">
        <v>678</v>
      </c>
      <c r="L95" s="1175" t="s">
        <v>679</v>
      </c>
      <c r="M95" s="1176">
        <v>28175000</v>
      </c>
      <c r="N95" s="1344" t="s">
        <v>784</v>
      </c>
      <c r="O95" s="1171" t="s">
        <v>771</v>
      </c>
      <c r="P95" s="1350" t="s">
        <v>682</v>
      </c>
      <c r="Q95" s="1160"/>
      <c r="R95" s="1266">
        <v>28175000</v>
      </c>
      <c r="S95" s="1327">
        <v>28175000</v>
      </c>
      <c r="T95" s="1327">
        <f>+'PAA V30'!$R95-'PAA V30'!$S95</f>
        <v>0</v>
      </c>
      <c r="U95" s="1327">
        <v>28175000</v>
      </c>
      <c r="V95" s="1327">
        <v>10780000</v>
      </c>
      <c r="W95" s="1327"/>
    </row>
    <row r="96" spans="1:23" s="1204" customFormat="1" ht="75" hidden="1" x14ac:dyDescent="0.2">
      <c r="A96" s="1169">
        <v>2022099</v>
      </c>
      <c r="B96" s="1169">
        <v>7655</v>
      </c>
      <c r="C96" s="1326" t="s">
        <v>648</v>
      </c>
      <c r="D96" s="1187" t="s">
        <v>690</v>
      </c>
      <c r="E96" s="1171" t="s">
        <v>781</v>
      </c>
      <c r="F96" s="1349" t="s">
        <v>822</v>
      </c>
      <c r="G96" s="1343">
        <v>44575</v>
      </c>
      <c r="H96" s="1343">
        <v>44575</v>
      </c>
      <c r="I96" s="1173">
        <v>11.5</v>
      </c>
      <c r="J96" s="1173" t="s">
        <v>677</v>
      </c>
      <c r="K96" s="1174" t="s">
        <v>678</v>
      </c>
      <c r="L96" s="1175" t="s">
        <v>679</v>
      </c>
      <c r="M96" s="1176">
        <v>28175000</v>
      </c>
      <c r="N96" s="1344" t="s">
        <v>784</v>
      </c>
      <c r="O96" s="1171" t="s">
        <v>771</v>
      </c>
      <c r="P96" s="1350" t="s">
        <v>682</v>
      </c>
      <c r="Q96" s="1160"/>
      <c r="R96" s="1266">
        <v>28175000</v>
      </c>
      <c r="S96" s="1327">
        <v>28175000</v>
      </c>
      <c r="T96" s="1327">
        <f>+'PAA V30'!$R96-'PAA V30'!$S96</f>
        <v>0</v>
      </c>
      <c r="U96" s="1327">
        <v>28175000</v>
      </c>
      <c r="V96" s="1327">
        <v>10943333</v>
      </c>
      <c r="W96" s="1327"/>
    </row>
    <row r="97" spans="1:23" s="1204" customFormat="1" ht="90" hidden="1" x14ac:dyDescent="0.2">
      <c r="A97" s="1169">
        <v>2022100</v>
      </c>
      <c r="B97" s="1169">
        <v>7655</v>
      </c>
      <c r="C97" s="1326" t="s">
        <v>648</v>
      </c>
      <c r="D97" s="1187" t="s">
        <v>690</v>
      </c>
      <c r="E97" s="1171" t="s">
        <v>781</v>
      </c>
      <c r="F97" s="1349" t="s">
        <v>826</v>
      </c>
      <c r="G97" s="1343">
        <v>44575</v>
      </c>
      <c r="H97" s="1343">
        <v>44575</v>
      </c>
      <c r="I97" s="1173">
        <v>11.5</v>
      </c>
      <c r="J97" s="1173" t="s">
        <v>677</v>
      </c>
      <c r="K97" s="1174" t="s">
        <v>678</v>
      </c>
      <c r="L97" s="1175" t="s">
        <v>783</v>
      </c>
      <c r="M97" s="1176">
        <v>63250000</v>
      </c>
      <c r="N97" s="1344" t="s">
        <v>784</v>
      </c>
      <c r="O97" s="1171" t="s">
        <v>771</v>
      </c>
      <c r="P97" s="1350" t="s">
        <v>682</v>
      </c>
      <c r="Q97" s="1160"/>
      <c r="R97" s="1266">
        <v>63250000</v>
      </c>
      <c r="S97" s="1327">
        <v>63250000</v>
      </c>
      <c r="T97" s="1327">
        <f>+'PAA V30'!$R97-'PAA V30'!$S97</f>
        <v>0</v>
      </c>
      <c r="U97" s="1327">
        <v>63250000</v>
      </c>
      <c r="V97" s="1327">
        <v>23833333</v>
      </c>
      <c r="W97" s="1327"/>
    </row>
    <row r="98" spans="1:23" s="1204" customFormat="1" ht="90" hidden="1" x14ac:dyDescent="0.2">
      <c r="A98" s="1169">
        <v>2022101</v>
      </c>
      <c r="B98" s="1169">
        <v>7655</v>
      </c>
      <c r="C98" s="1326" t="s">
        <v>648</v>
      </c>
      <c r="D98" s="1187" t="s">
        <v>690</v>
      </c>
      <c r="E98" s="1171" t="s">
        <v>781</v>
      </c>
      <c r="F98" s="1349" t="s">
        <v>827</v>
      </c>
      <c r="G98" s="1343">
        <v>44575</v>
      </c>
      <c r="H98" s="1343">
        <v>44575</v>
      </c>
      <c r="I98" s="1173">
        <v>11.5</v>
      </c>
      <c r="J98" s="1173" t="s">
        <v>677</v>
      </c>
      <c r="K98" s="1174" t="s">
        <v>678</v>
      </c>
      <c r="L98" s="1175" t="s">
        <v>783</v>
      </c>
      <c r="M98" s="1176">
        <v>63250000</v>
      </c>
      <c r="N98" s="1344" t="s">
        <v>784</v>
      </c>
      <c r="O98" s="1171" t="s">
        <v>771</v>
      </c>
      <c r="P98" s="1350" t="s">
        <v>682</v>
      </c>
      <c r="Q98" s="1160"/>
      <c r="R98" s="1266">
        <v>63250000</v>
      </c>
      <c r="S98" s="1327">
        <v>63250000</v>
      </c>
      <c r="T98" s="1327">
        <f>+'PAA V30'!$R98-'PAA V30'!$S98</f>
        <v>0</v>
      </c>
      <c r="U98" s="1327">
        <v>63250000</v>
      </c>
      <c r="V98" s="1327">
        <v>22000000</v>
      </c>
      <c r="W98" s="1327"/>
    </row>
    <row r="99" spans="1:23" s="1204" customFormat="1" ht="75" hidden="1" x14ac:dyDescent="0.2">
      <c r="A99" s="1169">
        <v>2022103</v>
      </c>
      <c r="B99" s="1169">
        <v>7655</v>
      </c>
      <c r="C99" s="1326" t="s">
        <v>648</v>
      </c>
      <c r="D99" s="1187" t="s">
        <v>690</v>
      </c>
      <c r="E99" s="1171" t="s">
        <v>781</v>
      </c>
      <c r="F99" s="1349" t="s">
        <v>828</v>
      </c>
      <c r="G99" s="1343">
        <v>44575</v>
      </c>
      <c r="H99" s="1343">
        <v>44575</v>
      </c>
      <c r="I99" s="1173">
        <v>7</v>
      </c>
      <c r="J99" s="1173" t="s">
        <v>677</v>
      </c>
      <c r="K99" s="1174" t="s">
        <v>678</v>
      </c>
      <c r="L99" s="1175" t="s">
        <v>679</v>
      </c>
      <c r="M99" s="1176">
        <v>31500000</v>
      </c>
      <c r="N99" s="1344" t="s">
        <v>784</v>
      </c>
      <c r="O99" s="1171" t="s">
        <v>771</v>
      </c>
      <c r="P99" s="1350" t="s">
        <v>682</v>
      </c>
      <c r="Q99" s="1160"/>
      <c r="R99" s="1266">
        <v>31500000</v>
      </c>
      <c r="S99" s="1327">
        <v>31500000</v>
      </c>
      <c r="T99" s="1327">
        <f>+'PAA V30'!$R99-'PAA V30'!$S99</f>
        <v>0</v>
      </c>
      <c r="U99" s="1327">
        <v>31500000</v>
      </c>
      <c r="V99" s="1327">
        <v>19050000</v>
      </c>
      <c r="W99" s="1327"/>
    </row>
    <row r="100" spans="1:23" s="1204" customFormat="1" ht="75" hidden="1" x14ac:dyDescent="0.2">
      <c r="A100" s="1169">
        <v>2022104</v>
      </c>
      <c r="B100" s="1169">
        <v>7655</v>
      </c>
      <c r="C100" s="1326" t="s">
        <v>648</v>
      </c>
      <c r="D100" s="1187" t="s">
        <v>690</v>
      </c>
      <c r="E100" s="1171" t="s">
        <v>781</v>
      </c>
      <c r="F100" s="1349" t="s">
        <v>829</v>
      </c>
      <c r="G100" s="1343">
        <v>44575</v>
      </c>
      <c r="H100" s="1343">
        <v>44575</v>
      </c>
      <c r="I100" s="1173">
        <v>11.5</v>
      </c>
      <c r="J100" s="1173" t="s">
        <v>677</v>
      </c>
      <c r="K100" s="1174" t="s">
        <v>678</v>
      </c>
      <c r="L100" s="1175" t="s">
        <v>679</v>
      </c>
      <c r="M100" s="1176">
        <v>38525000</v>
      </c>
      <c r="N100" s="1344" t="s">
        <v>784</v>
      </c>
      <c r="O100" s="1171" t="s">
        <v>771</v>
      </c>
      <c r="P100" s="1350" t="s">
        <v>682</v>
      </c>
      <c r="Q100" s="1160"/>
      <c r="R100" s="1266">
        <v>38525000</v>
      </c>
      <c r="S100" s="1327">
        <v>38525000</v>
      </c>
      <c r="T100" s="1327">
        <f>+'PAA V30'!$R100-'PAA V30'!$S100</f>
        <v>0</v>
      </c>
      <c r="U100" s="1327">
        <v>38525000</v>
      </c>
      <c r="V100" s="1327">
        <v>14740000</v>
      </c>
      <c r="W100" s="1327"/>
    </row>
    <row r="101" spans="1:23" s="1204" customFormat="1" ht="75" hidden="1" x14ac:dyDescent="0.2">
      <c r="A101" s="1169">
        <v>2022105</v>
      </c>
      <c r="B101" s="1169">
        <v>7655</v>
      </c>
      <c r="C101" s="1326" t="s">
        <v>648</v>
      </c>
      <c r="D101" s="1187" t="s">
        <v>690</v>
      </c>
      <c r="E101" s="1171" t="s">
        <v>781</v>
      </c>
      <c r="F101" s="1349" t="s">
        <v>829</v>
      </c>
      <c r="G101" s="1343">
        <v>44575</v>
      </c>
      <c r="H101" s="1343">
        <v>44575</v>
      </c>
      <c r="I101" s="1173">
        <v>11.5</v>
      </c>
      <c r="J101" s="1173" t="s">
        <v>677</v>
      </c>
      <c r="K101" s="1174" t="s">
        <v>678</v>
      </c>
      <c r="L101" s="1175" t="s">
        <v>679</v>
      </c>
      <c r="M101" s="1176">
        <v>28175000</v>
      </c>
      <c r="N101" s="1344" t="s">
        <v>784</v>
      </c>
      <c r="O101" s="1171" t="s">
        <v>771</v>
      </c>
      <c r="P101" s="1350" t="s">
        <v>682</v>
      </c>
      <c r="Q101" s="1160"/>
      <c r="R101" s="1266">
        <v>28175000</v>
      </c>
      <c r="S101" s="1327">
        <v>28175000</v>
      </c>
      <c r="T101" s="1327">
        <f>+'PAA V30'!$R101-'PAA V30'!$S101</f>
        <v>0</v>
      </c>
      <c r="U101" s="1327">
        <v>28175000</v>
      </c>
      <c r="V101" s="1327">
        <v>10616667</v>
      </c>
      <c r="W101" s="1327"/>
    </row>
    <row r="102" spans="1:23" s="1204" customFormat="1" ht="75" hidden="1" x14ac:dyDescent="0.2">
      <c r="A102" s="1169">
        <v>2022106</v>
      </c>
      <c r="B102" s="1169">
        <v>7655</v>
      </c>
      <c r="C102" s="1326" t="s">
        <v>648</v>
      </c>
      <c r="D102" s="1187" t="s">
        <v>690</v>
      </c>
      <c r="E102" s="1171" t="s">
        <v>781</v>
      </c>
      <c r="F102" s="1349" t="s">
        <v>830</v>
      </c>
      <c r="G102" s="1343">
        <v>44575</v>
      </c>
      <c r="H102" s="1343">
        <v>44575</v>
      </c>
      <c r="I102" s="1173">
        <v>11.5</v>
      </c>
      <c r="J102" s="1173" t="s">
        <v>677</v>
      </c>
      <c r="K102" s="1174" t="s">
        <v>678</v>
      </c>
      <c r="L102" s="1175" t="s">
        <v>679</v>
      </c>
      <c r="M102" s="1176">
        <v>44275000</v>
      </c>
      <c r="N102" s="1344" t="s">
        <v>784</v>
      </c>
      <c r="O102" s="1171" t="s">
        <v>771</v>
      </c>
      <c r="P102" s="1350" t="s">
        <v>682</v>
      </c>
      <c r="Q102" s="1160"/>
      <c r="R102" s="1266">
        <v>44275000</v>
      </c>
      <c r="S102" s="1327">
        <v>44275000</v>
      </c>
      <c r="T102" s="1327">
        <f>+'PAA V30'!$R102-'PAA V30'!$S102</f>
        <v>0</v>
      </c>
      <c r="U102" s="1327">
        <v>44275000</v>
      </c>
      <c r="V102" s="1327">
        <v>15528333</v>
      </c>
      <c r="W102" s="1327"/>
    </row>
    <row r="103" spans="1:23" s="1204" customFormat="1" ht="75" hidden="1" x14ac:dyDescent="0.2">
      <c r="A103" s="1169">
        <v>2022107</v>
      </c>
      <c r="B103" s="1169">
        <v>7655</v>
      </c>
      <c r="C103" s="1326" t="s">
        <v>648</v>
      </c>
      <c r="D103" s="1187" t="s">
        <v>690</v>
      </c>
      <c r="E103" s="1171" t="s">
        <v>781</v>
      </c>
      <c r="F103" s="1349" t="s">
        <v>831</v>
      </c>
      <c r="G103" s="1343">
        <v>44575</v>
      </c>
      <c r="H103" s="1343">
        <v>44575</v>
      </c>
      <c r="I103" s="1173">
        <v>7</v>
      </c>
      <c r="J103" s="1173" t="s">
        <v>677</v>
      </c>
      <c r="K103" s="1174" t="s">
        <v>678</v>
      </c>
      <c r="L103" s="1175" t="s">
        <v>679</v>
      </c>
      <c r="M103" s="1176">
        <f>31500000-28050000</f>
        <v>3450000</v>
      </c>
      <c r="N103" s="1344" t="s">
        <v>784</v>
      </c>
      <c r="O103" s="1171" t="s">
        <v>771</v>
      </c>
      <c r="P103" s="1350" t="s">
        <v>682</v>
      </c>
      <c r="Q103" s="1160"/>
      <c r="R103" s="1266">
        <v>31500000</v>
      </c>
      <c r="S103" s="1327">
        <v>31500000</v>
      </c>
      <c r="T103" s="1327">
        <f>+'PAA V30'!$R103-'PAA V30'!$S103</f>
        <v>0</v>
      </c>
      <c r="U103" s="1327">
        <v>31500000</v>
      </c>
      <c r="V103" s="1327">
        <v>3450000</v>
      </c>
      <c r="W103" s="1327"/>
    </row>
    <row r="104" spans="1:23" s="1204" customFormat="1" ht="75" hidden="1" x14ac:dyDescent="0.2">
      <c r="A104" s="1169">
        <v>2022108</v>
      </c>
      <c r="B104" s="1169">
        <v>7655</v>
      </c>
      <c r="C104" s="1326" t="s">
        <v>648</v>
      </c>
      <c r="D104" s="1187" t="s">
        <v>690</v>
      </c>
      <c r="E104" s="1171" t="s">
        <v>781</v>
      </c>
      <c r="F104" s="1349" t="s">
        <v>832</v>
      </c>
      <c r="G104" s="1343">
        <v>44575</v>
      </c>
      <c r="H104" s="1343">
        <v>44575</v>
      </c>
      <c r="I104" s="1173">
        <v>12</v>
      </c>
      <c r="J104" s="1173" t="s">
        <v>677</v>
      </c>
      <c r="K104" s="1174" t="s">
        <v>678</v>
      </c>
      <c r="L104" s="1175" t="s">
        <v>679</v>
      </c>
      <c r="M104" s="1176">
        <v>29400000</v>
      </c>
      <c r="N104" s="1344" t="s">
        <v>784</v>
      </c>
      <c r="O104" s="1171" t="s">
        <v>771</v>
      </c>
      <c r="P104" s="1350" t="s">
        <v>682</v>
      </c>
      <c r="Q104" s="1160"/>
      <c r="R104" s="1266">
        <v>29400000</v>
      </c>
      <c r="S104" s="1327">
        <v>29400000</v>
      </c>
      <c r="T104" s="1327">
        <f>+'PAA V30'!$R104-'PAA V30'!$S104</f>
        <v>0</v>
      </c>
      <c r="U104" s="1327">
        <v>29400000</v>
      </c>
      <c r="V104" s="1327">
        <v>10371667</v>
      </c>
      <c r="W104" s="1327"/>
    </row>
    <row r="105" spans="1:23" s="1204" customFormat="1" ht="75" hidden="1" x14ac:dyDescent="0.2">
      <c r="A105" s="1169">
        <v>2022109</v>
      </c>
      <c r="B105" s="1169">
        <v>7655</v>
      </c>
      <c r="C105" s="1326" t="s">
        <v>648</v>
      </c>
      <c r="D105" s="1187" t="s">
        <v>690</v>
      </c>
      <c r="E105" s="1171" t="s">
        <v>781</v>
      </c>
      <c r="F105" s="1349" t="s">
        <v>833</v>
      </c>
      <c r="G105" s="1343">
        <v>44575</v>
      </c>
      <c r="H105" s="1343">
        <v>44575</v>
      </c>
      <c r="I105" s="1173">
        <v>12</v>
      </c>
      <c r="J105" s="1173" t="s">
        <v>677</v>
      </c>
      <c r="K105" s="1174" t="s">
        <v>678</v>
      </c>
      <c r="L105" s="1175" t="s">
        <v>679</v>
      </c>
      <c r="M105" s="1176">
        <v>84000000</v>
      </c>
      <c r="N105" s="1344" t="s">
        <v>784</v>
      </c>
      <c r="O105" s="1171" t="s">
        <v>771</v>
      </c>
      <c r="P105" s="1350" t="s">
        <v>682</v>
      </c>
      <c r="Q105" s="1160"/>
      <c r="R105" s="1266">
        <v>84000000</v>
      </c>
      <c r="S105" s="1327">
        <v>84000000</v>
      </c>
      <c r="T105" s="1327">
        <f>+'PAA V30'!$R105-'PAA V30'!$S105</f>
        <v>0</v>
      </c>
      <c r="U105" s="1327">
        <v>84000000</v>
      </c>
      <c r="V105" s="1327">
        <v>30566667</v>
      </c>
      <c r="W105" s="1327"/>
    </row>
    <row r="106" spans="1:23" s="1204" customFormat="1" ht="75" hidden="1" x14ac:dyDescent="0.2">
      <c r="A106" s="1169">
        <v>2022110</v>
      </c>
      <c r="B106" s="1169">
        <v>7655</v>
      </c>
      <c r="C106" s="1326" t="s">
        <v>648</v>
      </c>
      <c r="D106" s="1187" t="s">
        <v>690</v>
      </c>
      <c r="E106" s="1171" t="s">
        <v>781</v>
      </c>
      <c r="F106" s="1349" t="s">
        <v>834</v>
      </c>
      <c r="G106" s="1343">
        <v>44575</v>
      </c>
      <c r="H106" s="1343">
        <v>44575</v>
      </c>
      <c r="I106" s="1173">
        <v>12</v>
      </c>
      <c r="J106" s="1173" t="s">
        <v>677</v>
      </c>
      <c r="K106" s="1174" t="s">
        <v>678</v>
      </c>
      <c r="L106" s="1175" t="s">
        <v>679</v>
      </c>
      <c r="M106" s="1176">
        <f>40200000-10800000</f>
        <v>29400000</v>
      </c>
      <c r="N106" s="1344" t="s">
        <v>784</v>
      </c>
      <c r="O106" s="1171" t="s">
        <v>771</v>
      </c>
      <c r="P106" s="1267" t="s">
        <v>682</v>
      </c>
      <c r="Q106" s="1160"/>
      <c r="R106" s="1266">
        <v>29400000</v>
      </c>
      <c r="S106" s="1327">
        <v>29400000</v>
      </c>
      <c r="T106" s="1327">
        <f>+'PAA V30'!$R106-'PAA V30'!$S106</f>
        <v>0</v>
      </c>
      <c r="U106" s="1327">
        <v>29400000</v>
      </c>
      <c r="V106" s="1327">
        <v>9800000</v>
      </c>
      <c r="W106" s="1327"/>
    </row>
    <row r="107" spans="1:23" s="1204" customFormat="1" ht="75" hidden="1" x14ac:dyDescent="0.2">
      <c r="A107" s="1169">
        <v>2022111</v>
      </c>
      <c r="B107" s="1169">
        <v>7655</v>
      </c>
      <c r="C107" s="1326" t="s">
        <v>648</v>
      </c>
      <c r="D107" s="1187" t="s">
        <v>690</v>
      </c>
      <c r="E107" s="1171" t="s">
        <v>781</v>
      </c>
      <c r="F107" s="1349" t="s">
        <v>832</v>
      </c>
      <c r="G107" s="1343">
        <v>44575</v>
      </c>
      <c r="H107" s="1343">
        <v>44575</v>
      </c>
      <c r="I107" s="1173">
        <v>12</v>
      </c>
      <c r="J107" s="1173" t="s">
        <v>677</v>
      </c>
      <c r="K107" s="1174" t="s">
        <v>678</v>
      </c>
      <c r="L107" s="1175" t="s">
        <v>679</v>
      </c>
      <c r="M107" s="1176">
        <v>29400000</v>
      </c>
      <c r="N107" s="1344" t="s">
        <v>784</v>
      </c>
      <c r="O107" s="1171" t="s">
        <v>771</v>
      </c>
      <c r="P107" s="1350" t="s">
        <v>682</v>
      </c>
      <c r="Q107" s="1160"/>
      <c r="R107" s="1266">
        <v>29400000</v>
      </c>
      <c r="S107" s="1327">
        <v>29400000</v>
      </c>
      <c r="T107" s="1327">
        <f>+'PAA V30'!$R107-'PAA V30'!$S107</f>
        <v>0</v>
      </c>
      <c r="U107" s="1327">
        <v>29400000</v>
      </c>
      <c r="V107" s="1327">
        <v>10371667</v>
      </c>
      <c r="W107" s="1327"/>
    </row>
    <row r="108" spans="1:23" s="1204" customFormat="1" ht="75" hidden="1" x14ac:dyDescent="0.2">
      <c r="A108" s="1169">
        <v>2022112</v>
      </c>
      <c r="B108" s="1169">
        <v>7655</v>
      </c>
      <c r="C108" s="1326" t="s">
        <v>648</v>
      </c>
      <c r="D108" s="1187" t="s">
        <v>690</v>
      </c>
      <c r="E108" s="1171" t="s">
        <v>781</v>
      </c>
      <c r="F108" s="1349" t="s">
        <v>835</v>
      </c>
      <c r="G108" s="1343">
        <v>44575</v>
      </c>
      <c r="H108" s="1343">
        <v>44575</v>
      </c>
      <c r="I108" s="1173">
        <v>12</v>
      </c>
      <c r="J108" s="1173" t="s">
        <v>677</v>
      </c>
      <c r="K108" s="1174" t="s">
        <v>678</v>
      </c>
      <c r="L108" s="1175" t="s">
        <v>679</v>
      </c>
      <c r="M108" s="1176">
        <v>29400000</v>
      </c>
      <c r="N108" s="1344" t="s">
        <v>784</v>
      </c>
      <c r="O108" s="1171" t="s">
        <v>771</v>
      </c>
      <c r="P108" s="1350" t="s">
        <v>682</v>
      </c>
      <c r="Q108" s="1160"/>
      <c r="R108" s="1266">
        <v>29400000</v>
      </c>
      <c r="S108" s="1327">
        <v>29400000</v>
      </c>
      <c r="T108" s="1327">
        <f>+'PAA V30'!$R108-'PAA V30'!$S108</f>
        <v>0</v>
      </c>
      <c r="U108" s="1327">
        <v>29400000</v>
      </c>
      <c r="V108" s="1327">
        <v>10698333</v>
      </c>
      <c r="W108" s="1327"/>
    </row>
    <row r="109" spans="1:23" s="1204" customFormat="1" ht="75" hidden="1" x14ac:dyDescent="0.2">
      <c r="A109" s="1169">
        <v>2022113</v>
      </c>
      <c r="B109" s="1169">
        <v>7655</v>
      </c>
      <c r="C109" s="1326" t="s">
        <v>648</v>
      </c>
      <c r="D109" s="1187" t="s">
        <v>690</v>
      </c>
      <c r="E109" s="1171" t="s">
        <v>781</v>
      </c>
      <c r="F109" s="1349" t="s">
        <v>835</v>
      </c>
      <c r="G109" s="1343">
        <v>44575</v>
      </c>
      <c r="H109" s="1343">
        <v>44575</v>
      </c>
      <c r="I109" s="1173">
        <v>12</v>
      </c>
      <c r="J109" s="1173" t="s">
        <v>677</v>
      </c>
      <c r="K109" s="1174" t="s">
        <v>678</v>
      </c>
      <c r="L109" s="1175" t="s">
        <v>679</v>
      </c>
      <c r="M109" s="1176">
        <v>29400000</v>
      </c>
      <c r="N109" s="1344" t="s">
        <v>784</v>
      </c>
      <c r="O109" s="1171" t="s">
        <v>771</v>
      </c>
      <c r="P109" s="1350" t="s">
        <v>682</v>
      </c>
      <c r="Q109" s="1160"/>
      <c r="R109" s="1266">
        <v>29400000</v>
      </c>
      <c r="S109" s="1327">
        <v>29400000</v>
      </c>
      <c r="T109" s="1327">
        <f>+'PAA V30'!$R109-'PAA V30'!$S109</f>
        <v>0</v>
      </c>
      <c r="U109" s="1327">
        <v>29400000</v>
      </c>
      <c r="V109" s="1327">
        <v>8738333</v>
      </c>
      <c r="W109" s="1327"/>
    </row>
    <row r="110" spans="1:23" s="1204" customFormat="1" ht="75" hidden="1" x14ac:dyDescent="0.2">
      <c r="A110" s="1169">
        <v>2022114</v>
      </c>
      <c r="B110" s="1169">
        <v>7655</v>
      </c>
      <c r="C110" s="1326" t="s">
        <v>648</v>
      </c>
      <c r="D110" s="1187" t="s">
        <v>690</v>
      </c>
      <c r="E110" s="1171" t="s">
        <v>781</v>
      </c>
      <c r="F110" s="1349" t="s">
        <v>836</v>
      </c>
      <c r="G110" s="1343">
        <v>44575</v>
      </c>
      <c r="H110" s="1343">
        <v>44575</v>
      </c>
      <c r="I110" s="1173">
        <v>12</v>
      </c>
      <c r="J110" s="1173" t="s">
        <v>677</v>
      </c>
      <c r="K110" s="1174" t="s">
        <v>678</v>
      </c>
      <c r="L110" s="1175" t="s">
        <v>679</v>
      </c>
      <c r="M110" s="1176">
        <v>29400000</v>
      </c>
      <c r="N110" s="1344" t="s">
        <v>784</v>
      </c>
      <c r="O110" s="1171" t="s">
        <v>771</v>
      </c>
      <c r="P110" s="1350" t="s">
        <v>682</v>
      </c>
      <c r="Q110" s="1160"/>
      <c r="R110" s="1266">
        <v>29400000</v>
      </c>
      <c r="S110" s="1327">
        <v>29400000</v>
      </c>
      <c r="T110" s="1327">
        <f>+'PAA V30'!$R110-'PAA V30'!$S110</f>
        <v>0</v>
      </c>
      <c r="U110" s="1327">
        <v>29400000</v>
      </c>
      <c r="V110" s="1327">
        <v>10371667</v>
      </c>
      <c r="W110" s="1327"/>
    </row>
    <row r="111" spans="1:23" s="1204" customFormat="1" ht="75" hidden="1" x14ac:dyDescent="0.2">
      <c r="A111" s="1169">
        <v>2022115</v>
      </c>
      <c r="B111" s="1169">
        <v>7655</v>
      </c>
      <c r="C111" s="1326" t="s">
        <v>648</v>
      </c>
      <c r="D111" s="1187" t="s">
        <v>690</v>
      </c>
      <c r="E111" s="1171" t="s">
        <v>781</v>
      </c>
      <c r="F111" s="1349" t="s">
        <v>835</v>
      </c>
      <c r="G111" s="1343">
        <v>44575</v>
      </c>
      <c r="H111" s="1343">
        <v>44575</v>
      </c>
      <c r="I111" s="1173">
        <v>12</v>
      </c>
      <c r="J111" s="1173" t="s">
        <v>677</v>
      </c>
      <c r="K111" s="1174" t="s">
        <v>678</v>
      </c>
      <c r="L111" s="1175" t="s">
        <v>679</v>
      </c>
      <c r="M111" s="1176">
        <v>29400000</v>
      </c>
      <c r="N111" s="1344" t="s">
        <v>784</v>
      </c>
      <c r="O111" s="1171" t="s">
        <v>771</v>
      </c>
      <c r="P111" s="1350" t="s">
        <v>682</v>
      </c>
      <c r="Q111" s="1160"/>
      <c r="R111" s="1266">
        <v>29400000</v>
      </c>
      <c r="S111" s="1327">
        <v>29400000</v>
      </c>
      <c r="T111" s="1327">
        <f>+'PAA V30'!$R111-'PAA V30'!$S111</f>
        <v>0</v>
      </c>
      <c r="U111" s="1327">
        <v>29400000</v>
      </c>
      <c r="V111" s="1327">
        <v>9636667</v>
      </c>
      <c r="W111" s="1327"/>
    </row>
    <row r="112" spans="1:23" s="1204" customFormat="1" ht="75" hidden="1" x14ac:dyDescent="0.2">
      <c r="A112" s="1169">
        <v>2022116</v>
      </c>
      <c r="B112" s="1169">
        <v>7655</v>
      </c>
      <c r="C112" s="1326" t="s">
        <v>648</v>
      </c>
      <c r="D112" s="1187" t="s">
        <v>690</v>
      </c>
      <c r="E112" s="1171" t="s">
        <v>781</v>
      </c>
      <c r="F112" s="1349" t="s">
        <v>835</v>
      </c>
      <c r="G112" s="1343">
        <v>44575</v>
      </c>
      <c r="H112" s="1343">
        <v>44575</v>
      </c>
      <c r="I112" s="1173">
        <v>12</v>
      </c>
      <c r="J112" s="1173" t="s">
        <v>677</v>
      </c>
      <c r="K112" s="1174" t="s">
        <v>678</v>
      </c>
      <c r="L112" s="1175" t="s">
        <v>679</v>
      </c>
      <c r="M112" s="1176">
        <v>29400000</v>
      </c>
      <c r="N112" s="1344" t="s">
        <v>784</v>
      </c>
      <c r="O112" s="1171" t="s">
        <v>771</v>
      </c>
      <c r="P112" s="1350" t="s">
        <v>682</v>
      </c>
      <c r="Q112" s="1160"/>
      <c r="R112" s="1266">
        <v>29400000</v>
      </c>
      <c r="S112" s="1327">
        <v>29400000</v>
      </c>
      <c r="T112" s="1327">
        <f>+'PAA V30'!$R112-'PAA V30'!$S112</f>
        <v>0</v>
      </c>
      <c r="U112" s="1327">
        <v>29400000</v>
      </c>
      <c r="V112" s="1327">
        <v>10780000</v>
      </c>
      <c r="W112" s="1327"/>
    </row>
    <row r="113" spans="1:23" s="1204" customFormat="1" ht="75" hidden="1" x14ac:dyDescent="0.2">
      <c r="A113" s="1169">
        <v>2022117</v>
      </c>
      <c r="B113" s="1169">
        <v>7655</v>
      </c>
      <c r="C113" s="1326" t="s">
        <v>648</v>
      </c>
      <c r="D113" s="1187" t="s">
        <v>690</v>
      </c>
      <c r="E113" s="1171" t="s">
        <v>781</v>
      </c>
      <c r="F113" s="1349" t="s">
        <v>835</v>
      </c>
      <c r="G113" s="1343">
        <v>44575</v>
      </c>
      <c r="H113" s="1343">
        <v>44575</v>
      </c>
      <c r="I113" s="1173">
        <v>12</v>
      </c>
      <c r="J113" s="1173" t="s">
        <v>677</v>
      </c>
      <c r="K113" s="1174" t="s">
        <v>678</v>
      </c>
      <c r="L113" s="1175" t="s">
        <v>679</v>
      </c>
      <c r="M113" s="1176">
        <f>29400000</f>
        <v>29400000</v>
      </c>
      <c r="N113" s="1344" t="s">
        <v>784</v>
      </c>
      <c r="O113" s="1171" t="s">
        <v>771</v>
      </c>
      <c r="P113" s="1350" t="s">
        <v>682</v>
      </c>
      <c r="Q113" s="1160"/>
      <c r="R113" s="1266">
        <v>29400000</v>
      </c>
      <c r="S113" s="1327">
        <v>29400000</v>
      </c>
      <c r="T113" s="1327">
        <f>+'PAA V30'!$R113-'PAA V30'!$S113</f>
        <v>0</v>
      </c>
      <c r="U113" s="1327">
        <v>29400000</v>
      </c>
      <c r="V113" s="1327">
        <v>10371667</v>
      </c>
      <c r="W113" s="1327"/>
    </row>
    <row r="114" spans="1:23" s="1204" customFormat="1" ht="75" hidden="1" x14ac:dyDescent="0.2">
      <c r="A114" s="1169">
        <v>2022118</v>
      </c>
      <c r="B114" s="1169">
        <v>7655</v>
      </c>
      <c r="C114" s="1326" t="s">
        <v>648</v>
      </c>
      <c r="D114" s="1187" t="s">
        <v>690</v>
      </c>
      <c r="E114" s="1171" t="s">
        <v>781</v>
      </c>
      <c r="F114" s="1349" t="s">
        <v>835</v>
      </c>
      <c r="G114" s="1343">
        <v>44575</v>
      </c>
      <c r="H114" s="1343">
        <v>44575</v>
      </c>
      <c r="I114" s="1173">
        <v>12</v>
      </c>
      <c r="J114" s="1173" t="s">
        <v>677</v>
      </c>
      <c r="K114" s="1174" t="s">
        <v>678</v>
      </c>
      <c r="L114" s="1175" t="s">
        <v>679</v>
      </c>
      <c r="M114" s="1176">
        <v>29400000</v>
      </c>
      <c r="N114" s="1344" t="s">
        <v>784</v>
      </c>
      <c r="O114" s="1171" t="s">
        <v>771</v>
      </c>
      <c r="P114" s="1350" t="s">
        <v>682</v>
      </c>
      <c r="Q114" s="1160"/>
      <c r="R114" s="1266">
        <v>29400000</v>
      </c>
      <c r="S114" s="1327">
        <v>29400000</v>
      </c>
      <c r="T114" s="1327">
        <f>+'PAA V30'!$R114-'PAA V30'!$S114</f>
        <v>0</v>
      </c>
      <c r="U114" s="1327">
        <v>29400000</v>
      </c>
      <c r="V114" s="1327">
        <v>10208333</v>
      </c>
      <c r="W114" s="1327"/>
    </row>
    <row r="115" spans="1:23" s="1204" customFormat="1" ht="75" hidden="1" x14ac:dyDescent="0.2">
      <c r="A115" s="1169">
        <v>2022119</v>
      </c>
      <c r="B115" s="1169">
        <v>7655</v>
      </c>
      <c r="C115" s="1326" t="s">
        <v>648</v>
      </c>
      <c r="D115" s="1187" t="s">
        <v>690</v>
      </c>
      <c r="E115" s="1171" t="s">
        <v>781</v>
      </c>
      <c r="F115" s="1349" t="s">
        <v>835</v>
      </c>
      <c r="G115" s="1343">
        <v>44575</v>
      </c>
      <c r="H115" s="1343">
        <v>44575</v>
      </c>
      <c r="I115" s="1173">
        <v>12</v>
      </c>
      <c r="J115" s="1173" t="s">
        <v>677</v>
      </c>
      <c r="K115" s="1174" t="s">
        <v>678</v>
      </c>
      <c r="L115" s="1175" t="s">
        <v>679</v>
      </c>
      <c r="M115" s="1176">
        <v>29400000</v>
      </c>
      <c r="N115" s="1344" t="s">
        <v>784</v>
      </c>
      <c r="O115" s="1171" t="s">
        <v>771</v>
      </c>
      <c r="P115" s="1350" t="s">
        <v>682</v>
      </c>
      <c r="Q115" s="1160"/>
      <c r="R115" s="1266">
        <v>29400000</v>
      </c>
      <c r="S115" s="1327">
        <v>29400000</v>
      </c>
      <c r="T115" s="1327">
        <f>+'PAA V30'!$R115-'PAA V30'!$S115</f>
        <v>0</v>
      </c>
      <c r="U115" s="1327">
        <v>29400000</v>
      </c>
      <c r="V115" s="1327">
        <v>10371667</v>
      </c>
      <c r="W115" s="1327"/>
    </row>
    <row r="116" spans="1:23" s="1204" customFormat="1" ht="75" hidden="1" x14ac:dyDescent="0.2">
      <c r="A116" s="1169">
        <v>2022120</v>
      </c>
      <c r="B116" s="1169">
        <v>7655</v>
      </c>
      <c r="C116" s="1326" t="s">
        <v>648</v>
      </c>
      <c r="D116" s="1187" t="s">
        <v>690</v>
      </c>
      <c r="E116" s="1171" t="s">
        <v>781</v>
      </c>
      <c r="F116" s="1349" t="s">
        <v>832</v>
      </c>
      <c r="G116" s="1343">
        <v>44575</v>
      </c>
      <c r="H116" s="1343">
        <v>44575</v>
      </c>
      <c r="I116" s="1173">
        <v>12</v>
      </c>
      <c r="J116" s="1173" t="s">
        <v>677</v>
      </c>
      <c r="K116" s="1174" t="s">
        <v>678</v>
      </c>
      <c r="L116" s="1175" t="s">
        <v>679</v>
      </c>
      <c r="M116" s="1176">
        <v>29400000</v>
      </c>
      <c r="N116" s="1344" t="s">
        <v>784</v>
      </c>
      <c r="O116" s="1171" t="s">
        <v>771</v>
      </c>
      <c r="P116" s="1350" t="s">
        <v>682</v>
      </c>
      <c r="Q116" s="1160"/>
      <c r="R116" s="1266">
        <v>29400000</v>
      </c>
      <c r="S116" s="1327">
        <v>29400000</v>
      </c>
      <c r="T116" s="1327">
        <f>+'PAA V30'!$R116-'PAA V30'!$S116</f>
        <v>0</v>
      </c>
      <c r="U116" s="1327">
        <v>29400000</v>
      </c>
      <c r="V116" s="1327">
        <v>10371667</v>
      </c>
      <c r="W116" s="1327"/>
    </row>
    <row r="117" spans="1:23" s="1204" customFormat="1" ht="75" hidden="1" x14ac:dyDescent="0.2">
      <c r="A117" s="1169">
        <v>2022121</v>
      </c>
      <c r="B117" s="1169">
        <v>7655</v>
      </c>
      <c r="C117" s="1326" t="s">
        <v>648</v>
      </c>
      <c r="D117" s="1187" t="s">
        <v>690</v>
      </c>
      <c r="E117" s="1171" t="s">
        <v>781</v>
      </c>
      <c r="F117" s="1349" t="s">
        <v>832</v>
      </c>
      <c r="G117" s="1343">
        <v>44575</v>
      </c>
      <c r="H117" s="1343">
        <v>44575</v>
      </c>
      <c r="I117" s="1173">
        <v>12</v>
      </c>
      <c r="J117" s="1173" t="s">
        <v>677</v>
      </c>
      <c r="K117" s="1174" t="s">
        <v>678</v>
      </c>
      <c r="L117" s="1175" t="s">
        <v>679</v>
      </c>
      <c r="M117" s="1176">
        <v>29400000</v>
      </c>
      <c r="N117" s="1344" t="s">
        <v>784</v>
      </c>
      <c r="O117" s="1171" t="s">
        <v>771</v>
      </c>
      <c r="P117" s="1350" t="s">
        <v>682</v>
      </c>
      <c r="Q117" s="1160"/>
      <c r="R117" s="1266">
        <v>29400000</v>
      </c>
      <c r="S117" s="1327">
        <v>29400000</v>
      </c>
      <c r="T117" s="1327">
        <f>+'PAA V30'!$R117-'PAA V30'!$S117</f>
        <v>0</v>
      </c>
      <c r="U117" s="1327">
        <v>29400000</v>
      </c>
      <c r="V117" s="1327">
        <v>10780000</v>
      </c>
      <c r="W117" s="1327"/>
    </row>
    <row r="118" spans="1:23" s="1204" customFormat="1" ht="75" hidden="1" x14ac:dyDescent="0.2">
      <c r="A118" s="1169">
        <v>2022122</v>
      </c>
      <c r="B118" s="1169">
        <v>7655</v>
      </c>
      <c r="C118" s="1326" t="s">
        <v>648</v>
      </c>
      <c r="D118" s="1187" t="s">
        <v>690</v>
      </c>
      <c r="E118" s="1171" t="s">
        <v>781</v>
      </c>
      <c r="F118" s="1349" t="s">
        <v>832</v>
      </c>
      <c r="G118" s="1343">
        <v>44575</v>
      </c>
      <c r="H118" s="1343">
        <v>44575</v>
      </c>
      <c r="I118" s="1173">
        <v>12</v>
      </c>
      <c r="J118" s="1173" t="s">
        <v>677</v>
      </c>
      <c r="K118" s="1174" t="s">
        <v>678</v>
      </c>
      <c r="L118" s="1175" t="s">
        <v>679</v>
      </c>
      <c r="M118" s="1176">
        <v>29400000</v>
      </c>
      <c r="N118" s="1344" t="s">
        <v>784</v>
      </c>
      <c r="O118" s="1171" t="s">
        <v>771</v>
      </c>
      <c r="P118" s="1350" t="s">
        <v>682</v>
      </c>
      <c r="Q118" s="1160"/>
      <c r="R118" s="1266">
        <v>29400000</v>
      </c>
      <c r="S118" s="1327">
        <v>29400000</v>
      </c>
      <c r="T118" s="1327">
        <f>+'PAA V30'!$R118-'PAA V30'!$S118</f>
        <v>0</v>
      </c>
      <c r="U118" s="1327">
        <v>29400000</v>
      </c>
      <c r="V118" s="1327">
        <v>10780000</v>
      </c>
      <c r="W118" s="1327"/>
    </row>
    <row r="119" spans="1:23" s="1204" customFormat="1" ht="75" hidden="1" x14ac:dyDescent="0.2">
      <c r="A119" s="1169">
        <v>2022123</v>
      </c>
      <c r="B119" s="1169">
        <v>7655</v>
      </c>
      <c r="C119" s="1326" t="s">
        <v>648</v>
      </c>
      <c r="D119" s="1187" t="s">
        <v>690</v>
      </c>
      <c r="E119" s="1171" t="s">
        <v>781</v>
      </c>
      <c r="F119" s="1349" t="s">
        <v>832</v>
      </c>
      <c r="G119" s="1343">
        <v>44575</v>
      </c>
      <c r="H119" s="1343">
        <v>44575</v>
      </c>
      <c r="I119" s="1173">
        <v>12</v>
      </c>
      <c r="J119" s="1173" t="s">
        <v>677</v>
      </c>
      <c r="K119" s="1174" t="s">
        <v>678</v>
      </c>
      <c r="L119" s="1175" t="s">
        <v>679</v>
      </c>
      <c r="M119" s="1176">
        <v>29400000</v>
      </c>
      <c r="N119" s="1344" t="s">
        <v>784</v>
      </c>
      <c r="O119" s="1171" t="s">
        <v>771</v>
      </c>
      <c r="P119" s="1350" t="s">
        <v>682</v>
      </c>
      <c r="Q119" s="1160"/>
      <c r="R119" s="1266">
        <v>29400000</v>
      </c>
      <c r="S119" s="1327">
        <v>29400000</v>
      </c>
      <c r="T119" s="1327">
        <f>+'PAA V30'!$R119-'PAA V30'!$S119</f>
        <v>0</v>
      </c>
      <c r="U119" s="1327">
        <v>29400000</v>
      </c>
      <c r="V119" s="1327">
        <v>10780000</v>
      </c>
      <c r="W119" s="1327"/>
    </row>
    <row r="120" spans="1:23" s="1204" customFormat="1" ht="75" hidden="1" x14ac:dyDescent="0.2">
      <c r="A120" s="1169">
        <v>2022124</v>
      </c>
      <c r="B120" s="1169">
        <v>7655</v>
      </c>
      <c r="C120" s="1326" t="s">
        <v>648</v>
      </c>
      <c r="D120" s="1187" t="s">
        <v>690</v>
      </c>
      <c r="E120" s="1171" t="s">
        <v>781</v>
      </c>
      <c r="F120" s="1349" t="s">
        <v>835</v>
      </c>
      <c r="G120" s="1343">
        <v>44575</v>
      </c>
      <c r="H120" s="1343">
        <v>44575</v>
      </c>
      <c r="I120" s="1173">
        <v>12</v>
      </c>
      <c r="J120" s="1173" t="s">
        <v>677</v>
      </c>
      <c r="K120" s="1174" t="s">
        <v>678</v>
      </c>
      <c r="L120" s="1175" t="s">
        <v>679</v>
      </c>
      <c r="M120" s="1176">
        <v>29400000</v>
      </c>
      <c r="N120" s="1344" t="s">
        <v>784</v>
      </c>
      <c r="O120" s="1171" t="s">
        <v>771</v>
      </c>
      <c r="P120" s="1350" t="s">
        <v>682</v>
      </c>
      <c r="Q120" s="1160"/>
      <c r="R120" s="1266">
        <v>29400000</v>
      </c>
      <c r="S120" s="1327">
        <v>29400000</v>
      </c>
      <c r="T120" s="1327">
        <f>+'PAA V30'!$R120-'PAA V30'!$S120</f>
        <v>0</v>
      </c>
      <c r="U120" s="1327">
        <v>29400000</v>
      </c>
      <c r="V120" s="1327">
        <v>10371667</v>
      </c>
      <c r="W120" s="1327"/>
    </row>
    <row r="121" spans="1:23" s="1204" customFormat="1" ht="75" hidden="1" x14ac:dyDescent="0.2">
      <c r="A121" s="1169">
        <v>2022125</v>
      </c>
      <c r="B121" s="1169">
        <v>7655</v>
      </c>
      <c r="C121" s="1326" t="s">
        <v>648</v>
      </c>
      <c r="D121" s="1187" t="s">
        <v>690</v>
      </c>
      <c r="E121" s="1171" t="s">
        <v>781</v>
      </c>
      <c r="F121" s="1349" t="s">
        <v>832</v>
      </c>
      <c r="G121" s="1343">
        <v>44575</v>
      </c>
      <c r="H121" s="1343">
        <v>44575</v>
      </c>
      <c r="I121" s="1173">
        <v>12</v>
      </c>
      <c r="J121" s="1173" t="s">
        <v>677</v>
      </c>
      <c r="K121" s="1174" t="s">
        <v>678</v>
      </c>
      <c r="L121" s="1175" t="s">
        <v>679</v>
      </c>
      <c r="M121" s="1176">
        <v>29400000</v>
      </c>
      <c r="N121" s="1344" t="s">
        <v>784</v>
      </c>
      <c r="O121" s="1171" t="s">
        <v>771</v>
      </c>
      <c r="P121" s="1350" t="s">
        <v>682</v>
      </c>
      <c r="Q121" s="1160"/>
      <c r="R121" s="1266">
        <v>29400000</v>
      </c>
      <c r="S121" s="1327">
        <v>29400000</v>
      </c>
      <c r="T121" s="1327">
        <f>+'PAA V30'!$R121-'PAA V30'!$S121</f>
        <v>0</v>
      </c>
      <c r="U121" s="1327">
        <v>29400000</v>
      </c>
      <c r="V121" s="1327">
        <v>10126667</v>
      </c>
      <c r="W121" s="1327"/>
    </row>
    <row r="122" spans="1:23" s="1204" customFormat="1" ht="75" hidden="1" x14ac:dyDescent="0.2">
      <c r="A122" s="1169">
        <v>2022126</v>
      </c>
      <c r="B122" s="1169">
        <v>7655</v>
      </c>
      <c r="C122" s="1326" t="s">
        <v>648</v>
      </c>
      <c r="D122" s="1187" t="s">
        <v>690</v>
      </c>
      <c r="E122" s="1171" t="s">
        <v>781</v>
      </c>
      <c r="F122" s="1349" t="s">
        <v>835</v>
      </c>
      <c r="G122" s="1343">
        <v>44575</v>
      </c>
      <c r="H122" s="1343">
        <v>44575</v>
      </c>
      <c r="I122" s="1173">
        <v>12</v>
      </c>
      <c r="J122" s="1173" t="s">
        <v>677</v>
      </c>
      <c r="K122" s="1174" t="s">
        <v>678</v>
      </c>
      <c r="L122" s="1175" t="s">
        <v>679</v>
      </c>
      <c r="M122" s="1176">
        <v>29400000</v>
      </c>
      <c r="N122" s="1344" t="s">
        <v>784</v>
      </c>
      <c r="O122" s="1171" t="s">
        <v>771</v>
      </c>
      <c r="P122" s="1350" t="s">
        <v>682</v>
      </c>
      <c r="Q122" s="1160"/>
      <c r="R122" s="1266">
        <v>29400000</v>
      </c>
      <c r="S122" s="1327">
        <v>29400000</v>
      </c>
      <c r="T122" s="1327">
        <f>+'PAA V30'!$R122-'PAA V30'!$S122</f>
        <v>0</v>
      </c>
      <c r="U122" s="1327">
        <v>29400000</v>
      </c>
      <c r="V122" s="1327">
        <v>9800000</v>
      </c>
      <c r="W122" s="1327"/>
    </row>
    <row r="123" spans="1:23" s="1204" customFormat="1" ht="75" hidden="1" x14ac:dyDescent="0.2">
      <c r="A123" s="1169">
        <v>2022127</v>
      </c>
      <c r="B123" s="1169">
        <v>7655</v>
      </c>
      <c r="C123" s="1326" t="s">
        <v>648</v>
      </c>
      <c r="D123" s="1187" t="s">
        <v>690</v>
      </c>
      <c r="E123" s="1171" t="s">
        <v>781</v>
      </c>
      <c r="F123" s="1349" t="s">
        <v>832</v>
      </c>
      <c r="G123" s="1343">
        <v>44575</v>
      </c>
      <c r="H123" s="1343">
        <v>44575</v>
      </c>
      <c r="I123" s="1173">
        <v>12</v>
      </c>
      <c r="J123" s="1173" t="s">
        <v>677</v>
      </c>
      <c r="K123" s="1174" t="s">
        <v>678</v>
      </c>
      <c r="L123" s="1175" t="s">
        <v>679</v>
      </c>
      <c r="M123" s="1176">
        <v>29400000</v>
      </c>
      <c r="N123" s="1344" t="s">
        <v>784</v>
      </c>
      <c r="O123" s="1171" t="s">
        <v>771</v>
      </c>
      <c r="P123" s="1350" t="s">
        <v>682</v>
      </c>
      <c r="Q123" s="1160"/>
      <c r="R123" s="1266">
        <v>29400000</v>
      </c>
      <c r="S123" s="1327">
        <v>29400000</v>
      </c>
      <c r="T123" s="1327">
        <f>+'PAA V30'!$R123-'PAA V30'!$S123</f>
        <v>0</v>
      </c>
      <c r="U123" s="1327">
        <v>29400000</v>
      </c>
      <c r="V123" s="1327">
        <v>10371667</v>
      </c>
      <c r="W123" s="1327"/>
    </row>
    <row r="124" spans="1:23" s="1204" customFormat="1" ht="75" hidden="1" x14ac:dyDescent="0.2">
      <c r="A124" s="1169">
        <v>2022128</v>
      </c>
      <c r="B124" s="1169">
        <v>7655</v>
      </c>
      <c r="C124" s="1326" t="s">
        <v>648</v>
      </c>
      <c r="D124" s="1187" t="s">
        <v>690</v>
      </c>
      <c r="E124" s="1171" t="s">
        <v>781</v>
      </c>
      <c r="F124" s="1349" t="s">
        <v>832</v>
      </c>
      <c r="G124" s="1343">
        <v>44575</v>
      </c>
      <c r="H124" s="1343">
        <v>44575</v>
      </c>
      <c r="I124" s="1173">
        <v>12</v>
      </c>
      <c r="J124" s="1173" t="s">
        <v>677</v>
      </c>
      <c r="K124" s="1174" t="s">
        <v>678</v>
      </c>
      <c r="L124" s="1175" t="s">
        <v>679</v>
      </c>
      <c r="M124" s="1176">
        <v>29400000</v>
      </c>
      <c r="N124" s="1344" t="s">
        <v>784</v>
      </c>
      <c r="O124" s="1171" t="s">
        <v>771</v>
      </c>
      <c r="P124" s="1350" t="s">
        <v>682</v>
      </c>
      <c r="Q124" s="1160"/>
      <c r="R124" s="1266">
        <v>29400000</v>
      </c>
      <c r="S124" s="1327">
        <v>29400000</v>
      </c>
      <c r="T124" s="1327">
        <f>+'PAA V30'!$R124-'PAA V30'!$S124</f>
        <v>0</v>
      </c>
      <c r="U124" s="1327">
        <v>29400000</v>
      </c>
      <c r="V124" s="1327">
        <v>9310000</v>
      </c>
      <c r="W124" s="1327"/>
    </row>
    <row r="125" spans="1:23" s="1204" customFormat="1" ht="75" hidden="1" x14ac:dyDescent="0.2">
      <c r="A125" s="1169">
        <v>2022129</v>
      </c>
      <c r="B125" s="1169">
        <v>7655</v>
      </c>
      <c r="C125" s="1326" t="s">
        <v>648</v>
      </c>
      <c r="D125" s="1187" t="s">
        <v>690</v>
      </c>
      <c r="E125" s="1171" t="s">
        <v>781</v>
      </c>
      <c r="F125" s="1349" t="s">
        <v>832</v>
      </c>
      <c r="G125" s="1343">
        <v>44575</v>
      </c>
      <c r="H125" s="1343">
        <v>44575</v>
      </c>
      <c r="I125" s="1173">
        <v>12</v>
      </c>
      <c r="J125" s="1173" t="s">
        <v>677</v>
      </c>
      <c r="K125" s="1174" t="s">
        <v>678</v>
      </c>
      <c r="L125" s="1175" t="s">
        <v>679</v>
      </c>
      <c r="M125" s="1176">
        <v>29400000</v>
      </c>
      <c r="N125" s="1344" t="s">
        <v>784</v>
      </c>
      <c r="O125" s="1171" t="s">
        <v>771</v>
      </c>
      <c r="P125" s="1350" t="s">
        <v>682</v>
      </c>
      <c r="Q125" s="1160"/>
      <c r="R125" s="1266">
        <v>29400000</v>
      </c>
      <c r="S125" s="1327">
        <v>29400000</v>
      </c>
      <c r="T125" s="1327">
        <f>+'PAA V30'!$R125-'PAA V30'!$S125</f>
        <v>0</v>
      </c>
      <c r="U125" s="1327">
        <v>29400000</v>
      </c>
      <c r="V125" s="1327">
        <v>9800000</v>
      </c>
      <c r="W125" s="1327"/>
    </row>
    <row r="126" spans="1:23" s="1204" customFormat="1" ht="75" hidden="1" x14ac:dyDescent="0.2">
      <c r="A126" s="1169">
        <v>2022130</v>
      </c>
      <c r="B126" s="1169">
        <v>7655</v>
      </c>
      <c r="C126" s="1326" t="s">
        <v>648</v>
      </c>
      <c r="D126" s="1187" t="s">
        <v>690</v>
      </c>
      <c r="E126" s="1171" t="s">
        <v>781</v>
      </c>
      <c r="F126" s="1349" t="s">
        <v>832</v>
      </c>
      <c r="G126" s="1343">
        <v>44575</v>
      </c>
      <c r="H126" s="1343">
        <v>44575</v>
      </c>
      <c r="I126" s="1173">
        <v>12</v>
      </c>
      <c r="J126" s="1173" t="s">
        <v>677</v>
      </c>
      <c r="K126" s="1174" t="s">
        <v>678</v>
      </c>
      <c r="L126" s="1175" t="s">
        <v>679</v>
      </c>
      <c r="M126" s="1176">
        <v>29400000</v>
      </c>
      <c r="N126" s="1344" t="s">
        <v>784</v>
      </c>
      <c r="O126" s="1171" t="s">
        <v>771</v>
      </c>
      <c r="P126" s="1350" t="s">
        <v>682</v>
      </c>
      <c r="Q126" s="1160"/>
      <c r="R126" s="1266">
        <v>29400000</v>
      </c>
      <c r="S126" s="1327">
        <v>29400000</v>
      </c>
      <c r="T126" s="1327">
        <f>+'PAA V30'!$R126-'PAA V30'!$S126</f>
        <v>0</v>
      </c>
      <c r="U126" s="1327">
        <v>29400000</v>
      </c>
      <c r="V126" s="1327">
        <v>9800000</v>
      </c>
      <c r="W126" s="1327"/>
    </row>
    <row r="127" spans="1:23" s="1204" customFormat="1" ht="75" hidden="1" x14ac:dyDescent="0.2">
      <c r="A127" s="1169">
        <v>2022131</v>
      </c>
      <c r="B127" s="1169">
        <v>7655</v>
      </c>
      <c r="C127" s="1326" t="s">
        <v>648</v>
      </c>
      <c r="D127" s="1187" t="s">
        <v>690</v>
      </c>
      <c r="E127" s="1171" t="s">
        <v>781</v>
      </c>
      <c r="F127" s="1349" t="s">
        <v>832</v>
      </c>
      <c r="G127" s="1343">
        <v>44575</v>
      </c>
      <c r="H127" s="1343">
        <v>44575</v>
      </c>
      <c r="I127" s="1173">
        <v>12</v>
      </c>
      <c r="J127" s="1173" t="s">
        <v>677</v>
      </c>
      <c r="K127" s="1174" t="s">
        <v>678</v>
      </c>
      <c r="L127" s="1175" t="s">
        <v>679</v>
      </c>
      <c r="M127" s="1176">
        <v>29400000</v>
      </c>
      <c r="N127" s="1344" t="s">
        <v>784</v>
      </c>
      <c r="O127" s="1171" t="s">
        <v>771</v>
      </c>
      <c r="P127" s="1350" t="s">
        <v>682</v>
      </c>
      <c r="Q127" s="1160"/>
      <c r="R127" s="1266">
        <v>29400000</v>
      </c>
      <c r="S127" s="1327">
        <v>29400000</v>
      </c>
      <c r="T127" s="1327">
        <f>+'PAA V30'!$R127-'PAA V30'!$S127</f>
        <v>0</v>
      </c>
      <c r="U127" s="1327">
        <v>29400000</v>
      </c>
      <c r="V127" s="1327">
        <v>9800000</v>
      </c>
      <c r="W127" s="1327"/>
    </row>
    <row r="128" spans="1:23" s="1204" customFormat="1" ht="75" hidden="1" x14ac:dyDescent="0.2">
      <c r="A128" s="1169">
        <v>2022132</v>
      </c>
      <c r="B128" s="1169">
        <v>7655</v>
      </c>
      <c r="C128" s="1326" t="s">
        <v>648</v>
      </c>
      <c r="D128" s="1187" t="s">
        <v>690</v>
      </c>
      <c r="E128" s="1171" t="s">
        <v>781</v>
      </c>
      <c r="F128" s="1349" t="s">
        <v>837</v>
      </c>
      <c r="G128" s="1343">
        <v>44575</v>
      </c>
      <c r="H128" s="1343">
        <v>44575</v>
      </c>
      <c r="I128" s="1173">
        <v>12</v>
      </c>
      <c r="J128" s="1173" t="s">
        <v>677</v>
      </c>
      <c r="K128" s="1174" t="s">
        <v>678</v>
      </c>
      <c r="L128" s="1175" t="s">
        <v>679</v>
      </c>
      <c r="M128" s="1176">
        <v>87600000</v>
      </c>
      <c r="N128" s="1344" t="s">
        <v>784</v>
      </c>
      <c r="O128" s="1171" t="s">
        <v>771</v>
      </c>
      <c r="P128" s="1350" t="s">
        <v>682</v>
      </c>
      <c r="Q128" s="1160"/>
      <c r="R128" s="1266">
        <v>87600000</v>
      </c>
      <c r="S128" s="1327">
        <v>87600000</v>
      </c>
      <c r="T128" s="1327">
        <f>+'PAA V30'!$R128-'PAA V30'!$S128</f>
        <v>0</v>
      </c>
      <c r="U128" s="1327">
        <v>87600000</v>
      </c>
      <c r="V128" s="1327">
        <v>31876667</v>
      </c>
      <c r="W128" s="1327"/>
    </row>
    <row r="129" spans="1:23" s="1204" customFormat="1" ht="90" hidden="1" x14ac:dyDescent="0.2">
      <c r="A129" s="1169">
        <v>2022133</v>
      </c>
      <c r="B129" s="1169">
        <v>7655</v>
      </c>
      <c r="C129" s="1326" t="s">
        <v>648</v>
      </c>
      <c r="D129" s="1187" t="s">
        <v>690</v>
      </c>
      <c r="E129" s="1171" t="s">
        <v>781</v>
      </c>
      <c r="F129" s="1349" t="s">
        <v>838</v>
      </c>
      <c r="G129" s="1343">
        <v>44575</v>
      </c>
      <c r="H129" s="1343">
        <v>44575</v>
      </c>
      <c r="I129" s="1173">
        <v>7</v>
      </c>
      <c r="J129" s="1173" t="s">
        <v>677</v>
      </c>
      <c r="K129" s="1174" t="s">
        <v>678</v>
      </c>
      <c r="L129" s="1175" t="s">
        <v>679</v>
      </c>
      <c r="M129" s="1176">
        <v>42000000</v>
      </c>
      <c r="N129" s="1344" t="s">
        <v>784</v>
      </c>
      <c r="O129" s="1171" t="s">
        <v>771</v>
      </c>
      <c r="P129" s="1350" t="s">
        <v>682</v>
      </c>
      <c r="Q129" s="1160"/>
      <c r="R129" s="1266">
        <v>42000000</v>
      </c>
      <c r="S129" s="1327">
        <v>42000000</v>
      </c>
      <c r="T129" s="1327">
        <f>+'PAA V30'!$R129-'PAA V30'!$S129</f>
        <v>0</v>
      </c>
      <c r="U129" s="1327">
        <v>42000000</v>
      </c>
      <c r="V129" s="1327">
        <v>24000000</v>
      </c>
      <c r="W129" s="1327"/>
    </row>
    <row r="130" spans="1:23" s="1204" customFormat="1" ht="75" hidden="1" x14ac:dyDescent="0.2">
      <c r="A130" s="1169">
        <v>2022134</v>
      </c>
      <c r="B130" s="1169">
        <v>7655</v>
      </c>
      <c r="C130" s="1326" t="s">
        <v>648</v>
      </c>
      <c r="D130" s="1187" t="s">
        <v>690</v>
      </c>
      <c r="E130" s="1171" t="s">
        <v>781</v>
      </c>
      <c r="F130" s="1349" t="s">
        <v>839</v>
      </c>
      <c r="G130" s="1343">
        <v>44575</v>
      </c>
      <c r="H130" s="1343">
        <v>44575</v>
      </c>
      <c r="I130" s="1173">
        <v>11.5</v>
      </c>
      <c r="J130" s="1173" t="s">
        <v>677</v>
      </c>
      <c r="K130" s="1174" t="s">
        <v>678</v>
      </c>
      <c r="L130" s="1175" t="s">
        <v>679</v>
      </c>
      <c r="M130" s="1176">
        <v>64802500</v>
      </c>
      <c r="N130" s="1344" t="s">
        <v>784</v>
      </c>
      <c r="O130" s="1171" t="s">
        <v>771</v>
      </c>
      <c r="P130" s="1350" t="s">
        <v>682</v>
      </c>
      <c r="Q130" s="1160"/>
      <c r="R130" s="1266">
        <v>64802500</v>
      </c>
      <c r="S130" s="1327">
        <v>64802500</v>
      </c>
      <c r="T130" s="1327">
        <f>+'PAA V30'!$R130-'PAA V30'!$S130</f>
        <v>0</v>
      </c>
      <c r="U130" s="1327">
        <v>64802500</v>
      </c>
      <c r="V130" s="1327">
        <v>22540000</v>
      </c>
      <c r="W130" s="1327"/>
    </row>
    <row r="131" spans="1:23" s="1204" customFormat="1" ht="75" hidden="1" x14ac:dyDescent="0.2">
      <c r="A131" s="1169">
        <v>2022136</v>
      </c>
      <c r="B131" s="1169">
        <v>7655</v>
      </c>
      <c r="C131" s="1326" t="s">
        <v>648</v>
      </c>
      <c r="D131" s="1187" t="s">
        <v>690</v>
      </c>
      <c r="E131" s="1171" t="s">
        <v>781</v>
      </c>
      <c r="F131" s="1349" t="s">
        <v>840</v>
      </c>
      <c r="G131" s="1343">
        <v>44575</v>
      </c>
      <c r="H131" s="1343">
        <v>44575</v>
      </c>
      <c r="I131" s="1173">
        <v>11.5</v>
      </c>
      <c r="J131" s="1173" t="s">
        <v>677</v>
      </c>
      <c r="K131" s="1174" t="s">
        <v>678</v>
      </c>
      <c r="L131" s="1175" t="s">
        <v>679</v>
      </c>
      <c r="M131" s="1176">
        <v>28175000</v>
      </c>
      <c r="N131" s="1344" t="s">
        <v>784</v>
      </c>
      <c r="O131" s="1171" t="s">
        <v>771</v>
      </c>
      <c r="P131" s="1350" t="s">
        <v>682</v>
      </c>
      <c r="Q131" s="1160"/>
      <c r="R131" s="1266">
        <v>0</v>
      </c>
      <c r="S131" s="1327"/>
      <c r="T131" s="1327">
        <f>+'PAA V30'!$R131-'PAA V30'!$S131</f>
        <v>0</v>
      </c>
      <c r="U131" s="1327"/>
      <c r="V131" s="1327"/>
      <c r="W131" s="1327"/>
    </row>
    <row r="132" spans="1:23" s="1204" customFormat="1" ht="75" hidden="1" x14ac:dyDescent="0.2">
      <c r="A132" s="1169">
        <v>2022137</v>
      </c>
      <c r="B132" s="1169">
        <v>7655</v>
      </c>
      <c r="C132" s="1326" t="s">
        <v>648</v>
      </c>
      <c r="D132" s="1187" t="s">
        <v>690</v>
      </c>
      <c r="E132" s="1171" t="s">
        <v>781</v>
      </c>
      <c r="F132" s="1349" t="s">
        <v>841</v>
      </c>
      <c r="G132" s="1343">
        <v>44575</v>
      </c>
      <c r="H132" s="1343">
        <v>44575</v>
      </c>
      <c r="I132" s="1173">
        <v>11.5</v>
      </c>
      <c r="J132" s="1173" t="s">
        <v>677</v>
      </c>
      <c r="K132" s="1174" t="s">
        <v>678</v>
      </c>
      <c r="L132" s="1175" t="s">
        <v>679</v>
      </c>
      <c r="M132" s="1176">
        <v>83950000</v>
      </c>
      <c r="N132" s="1344" t="s">
        <v>784</v>
      </c>
      <c r="O132" s="1171" t="s">
        <v>771</v>
      </c>
      <c r="P132" s="1350" t="s">
        <v>682</v>
      </c>
      <c r="Q132" s="1160"/>
      <c r="R132" s="1266">
        <v>83950000</v>
      </c>
      <c r="S132" s="1327">
        <v>83950000</v>
      </c>
      <c r="T132" s="1327">
        <f>+'PAA V30'!$R132-'PAA V30'!$S132</f>
        <v>0</v>
      </c>
      <c r="U132" s="1327">
        <v>83950000</v>
      </c>
      <c r="V132" s="1327">
        <v>29200000</v>
      </c>
      <c r="W132" s="1327"/>
    </row>
    <row r="133" spans="1:23" s="1204" customFormat="1" ht="105" hidden="1" x14ac:dyDescent="0.2">
      <c r="A133" s="1169">
        <v>2022138</v>
      </c>
      <c r="B133" s="1169">
        <v>7655</v>
      </c>
      <c r="C133" s="1326" t="s">
        <v>648</v>
      </c>
      <c r="D133" s="1187" t="s">
        <v>690</v>
      </c>
      <c r="E133" s="1171" t="s">
        <v>781</v>
      </c>
      <c r="F133" s="1349" t="s">
        <v>842</v>
      </c>
      <c r="G133" s="1343">
        <v>44575</v>
      </c>
      <c r="H133" s="1343">
        <v>44575</v>
      </c>
      <c r="I133" s="1173">
        <v>11.5</v>
      </c>
      <c r="J133" s="1173" t="s">
        <v>677</v>
      </c>
      <c r="K133" s="1174" t="s">
        <v>678</v>
      </c>
      <c r="L133" s="1175" t="s">
        <v>679</v>
      </c>
      <c r="M133" s="1176">
        <v>44275000</v>
      </c>
      <c r="N133" s="1344" t="s">
        <v>784</v>
      </c>
      <c r="O133" s="1171" t="s">
        <v>771</v>
      </c>
      <c r="P133" s="1350" t="s">
        <v>682</v>
      </c>
      <c r="Q133" s="1160"/>
      <c r="R133" s="1266">
        <v>44275000</v>
      </c>
      <c r="S133" s="1327">
        <v>44275000</v>
      </c>
      <c r="T133" s="1327">
        <f>+'PAA V30'!$R133-'PAA V30'!$S133</f>
        <v>0</v>
      </c>
      <c r="U133" s="1327">
        <v>44275000</v>
      </c>
      <c r="V133" s="1327">
        <v>16041667</v>
      </c>
      <c r="W133" s="1327"/>
    </row>
    <row r="134" spans="1:23" s="1204" customFormat="1" ht="105" hidden="1" x14ac:dyDescent="0.2">
      <c r="A134" s="1169">
        <v>2022139</v>
      </c>
      <c r="B134" s="1169">
        <v>7655</v>
      </c>
      <c r="C134" s="1326" t="s">
        <v>648</v>
      </c>
      <c r="D134" s="1187" t="s">
        <v>690</v>
      </c>
      <c r="E134" s="1171" t="s">
        <v>781</v>
      </c>
      <c r="F134" s="1349" t="s">
        <v>842</v>
      </c>
      <c r="G134" s="1343">
        <v>44575</v>
      </c>
      <c r="H134" s="1343">
        <v>44575</v>
      </c>
      <c r="I134" s="1173">
        <v>11.5</v>
      </c>
      <c r="J134" s="1173" t="s">
        <v>677</v>
      </c>
      <c r="K134" s="1174" t="s">
        <v>678</v>
      </c>
      <c r="L134" s="1175" t="s">
        <v>679</v>
      </c>
      <c r="M134" s="1176">
        <v>58650000</v>
      </c>
      <c r="N134" s="1344" t="s">
        <v>784</v>
      </c>
      <c r="O134" s="1171" t="s">
        <v>771</v>
      </c>
      <c r="P134" s="1350" t="s">
        <v>682</v>
      </c>
      <c r="Q134" s="1160"/>
      <c r="R134" s="1266">
        <v>58650000</v>
      </c>
      <c r="S134" s="1327">
        <v>58650000</v>
      </c>
      <c r="T134" s="1327">
        <f>+'PAA V30'!$R134-'PAA V30'!$S134</f>
        <v>0</v>
      </c>
      <c r="U134" s="1327">
        <v>58650000</v>
      </c>
      <c r="V134" s="1327">
        <v>21080000</v>
      </c>
      <c r="W134" s="1327"/>
    </row>
    <row r="135" spans="1:23" s="1204" customFormat="1" ht="75" hidden="1" x14ac:dyDescent="0.2">
      <c r="A135" s="1169">
        <v>2022140</v>
      </c>
      <c r="B135" s="1169">
        <v>7655</v>
      </c>
      <c r="C135" s="1326" t="s">
        <v>648</v>
      </c>
      <c r="D135" s="1187" t="s">
        <v>696</v>
      </c>
      <c r="E135" s="1171">
        <v>80111600</v>
      </c>
      <c r="F135" s="1349" t="s">
        <v>843</v>
      </c>
      <c r="G135" s="1343">
        <v>44562</v>
      </c>
      <c r="H135" s="1343">
        <v>44592</v>
      </c>
      <c r="I135" s="1173">
        <v>8</v>
      </c>
      <c r="J135" s="1173" t="s">
        <v>677</v>
      </c>
      <c r="K135" s="1174" t="s">
        <v>678</v>
      </c>
      <c r="L135" s="1175" t="s">
        <v>679</v>
      </c>
      <c r="M135" s="1176">
        <v>26496000</v>
      </c>
      <c r="N135" s="1344" t="s">
        <v>784</v>
      </c>
      <c r="O135" s="1171" t="s">
        <v>771</v>
      </c>
      <c r="P135" s="1350" t="s">
        <v>682</v>
      </c>
      <c r="Q135" s="1160"/>
      <c r="R135" s="1266">
        <v>26496000</v>
      </c>
      <c r="S135" s="1327">
        <v>26496000</v>
      </c>
      <c r="T135" s="1327">
        <f>+'PAA V30'!$R135-'PAA V30'!$S135</f>
        <v>0</v>
      </c>
      <c r="U135" s="1327">
        <v>26496000</v>
      </c>
      <c r="V135" s="1327">
        <v>14793600</v>
      </c>
      <c r="W135" s="1327"/>
    </row>
    <row r="136" spans="1:23" s="1204" customFormat="1" ht="75" hidden="1" x14ac:dyDescent="0.2">
      <c r="A136" s="1169">
        <v>2022141</v>
      </c>
      <c r="B136" s="1169">
        <v>7655</v>
      </c>
      <c r="C136" s="1326" t="s">
        <v>648</v>
      </c>
      <c r="D136" s="1187" t="s">
        <v>696</v>
      </c>
      <c r="E136" s="1171">
        <v>80111600</v>
      </c>
      <c r="F136" s="1349" t="s">
        <v>844</v>
      </c>
      <c r="G136" s="1343">
        <v>44562</v>
      </c>
      <c r="H136" s="1343">
        <v>44592</v>
      </c>
      <c r="I136" s="1173">
        <v>8</v>
      </c>
      <c r="J136" s="1173" t="s">
        <v>677</v>
      </c>
      <c r="K136" s="1174" t="s">
        <v>678</v>
      </c>
      <c r="L136" s="1175" t="s">
        <v>679</v>
      </c>
      <c r="M136" s="1176">
        <v>34776000</v>
      </c>
      <c r="N136" s="1344" t="s">
        <v>784</v>
      </c>
      <c r="O136" s="1171" t="s">
        <v>771</v>
      </c>
      <c r="P136" s="1350" t="s">
        <v>682</v>
      </c>
      <c r="Q136" s="1160"/>
      <c r="R136" s="1266">
        <v>34776000</v>
      </c>
      <c r="S136" s="1327">
        <v>34776000</v>
      </c>
      <c r="T136" s="1327">
        <f>+'PAA V30'!$R136-'PAA V30'!$S136</f>
        <v>0</v>
      </c>
      <c r="U136" s="1327">
        <v>34776000</v>
      </c>
      <c r="V136" s="1327">
        <v>19416600</v>
      </c>
      <c r="W136" s="1327"/>
    </row>
    <row r="137" spans="1:23" s="1204" customFormat="1" ht="75" hidden="1" x14ac:dyDescent="0.2">
      <c r="A137" s="1169">
        <v>2022142</v>
      </c>
      <c r="B137" s="1169">
        <v>7655</v>
      </c>
      <c r="C137" s="1326" t="s">
        <v>648</v>
      </c>
      <c r="D137" s="1187" t="s">
        <v>696</v>
      </c>
      <c r="E137" s="1171">
        <v>80111600</v>
      </c>
      <c r="F137" s="1349" t="s">
        <v>845</v>
      </c>
      <c r="G137" s="1343">
        <v>44562</v>
      </c>
      <c r="H137" s="1343">
        <v>44592</v>
      </c>
      <c r="I137" s="1173">
        <v>11</v>
      </c>
      <c r="J137" s="1173" t="s">
        <v>677</v>
      </c>
      <c r="K137" s="1174" t="s">
        <v>678</v>
      </c>
      <c r="L137" s="1175" t="s">
        <v>679</v>
      </c>
      <c r="M137" s="1176">
        <f>56100000-10200000</f>
        <v>45900000</v>
      </c>
      <c r="N137" s="1344" t="s">
        <v>784</v>
      </c>
      <c r="O137" s="1171" t="s">
        <v>771</v>
      </c>
      <c r="P137" s="1350" t="s">
        <v>682</v>
      </c>
      <c r="Q137" s="1160"/>
      <c r="R137" s="1266">
        <v>45900000</v>
      </c>
      <c r="S137" s="1327">
        <v>45900000</v>
      </c>
      <c r="T137" s="1327">
        <f>+'PAA V30'!$R137-'PAA V30'!$S137</f>
        <v>0</v>
      </c>
      <c r="U137" s="1327">
        <v>45900000</v>
      </c>
      <c r="V137" s="1327">
        <v>22780000</v>
      </c>
      <c r="W137" s="1327"/>
    </row>
    <row r="138" spans="1:23" s="1204" customFormat="1" ht="75" hidden="1" x14ac:dyDescent="0.2">
      <c r="A138" s="1169">
        <v>2022143</v>
      </c>
      <c r="B138" s="1169">
        <v>7655</v>
      </c>
      <c r="C138" s="1326" t="s">
        <v>648</v>
      </c>
      <c r="D138" s="1187" t="s">
        <v>696</v>
      </c>
      <c r="E138" s="1171">
        <v>80111600</v>
      </c>
      <c r="F138" s="1349" t="s">
        <v>846</v>
      </c>
      <c r="G138" s="1343">
        <v>44562</v>
      </c>
      <c r="H138" s="1343">
        <v>44592</v>
      </c>
      <c r="I138" s="1173">
        <v>11</v>
      </c>
      <c r="J138" s="1173" t="s">
        <v>677</v>
      </c>
      <c r="K138" s="1174" t="s">
        <v>678</v>
      </c>
      <c r="L138" s="1175" t="s">
        <v>679</v>
      </c>
      <c r="M138" s="1176">
        <f>47817000-13041000</f>
        <v>34776000</v>
      </c>
      <c r="N138" s="1344" t="s">
        <v>784</v>
      </c>
      <c r="O138" s="1171" t="s">
        <v>771</v>
      </c>
      <c r="P138" s="1350" t="s">
        <v>682</v>
      </c>
      <c r="Q138" s="1160"/>
      <c r="R138" s="1266">
        <v>34776000</v>
      </c>
      <c r="S138" s="1327">
        <v>34776000</v>
      </c>
      <c r="T138" s="1327">
        <f>+'PAA V30'!$R138-'PAA V30'!$S138</f>
        <v>0</v>
      </c>
      <c r="U138" s="1327">
        <v>34776000</v>
      </c>
      <c r="V138" s="1327">
        <v>19416600</v>
      </c>
      <c r="W138" s="1327"/>
    </row>
    <row r="139" spans="1:23" s="1204" customFormat="1" ht="75" hidden="1" x14ac:dyDescent="0.2">
      <c r="A139" s="1169">
        <v>2022144</v>
      </c>
      <c r="B139" s="1169">
        <v>7655</v>
      </c>
      <c r="C139" s="1326" t="s">
        <v>648</v>
      </c>
      <c r="D139" s="1187" t="s">
        <v>696</v>
      </c>
      <c r="E139" s="1171">
        <v>80111600</v>
      </c>
      <c r="F139" s="1349" t="s">
        <v>844</v>
      </c>
      <c r="G139" s="1343">
        <v>44562</v>
      </c>
      <c r="H139" s="1343">
        <v>44592</v>
      </c>
      <c r="I139" s="1173">
        <v>11</v>
      </c>
      <c r="J139" s="1173" t="s">
        <v>677</v>
      </c>
      <c r="K139" s="1174" t="s">
        <v>678</v>
      </c>
      <c r="L139" s="1175" t="s">
        <v>679</v>
      </c>
      <c r="M139" s="1176">
        <f>56100000-21324000</f>
        <v>34776000</v>
      </c>
      <c r="N139" s="1344" t="s">
        <v>784</v>
      </c>
      <c r="O139" s="1171" t="s">
        <v>771</v>
      </c>
      <c r="P139" s="1350" t="s">
        <v>682</v>
      </c>
      <c r="Q139" s="1160"/>
      <c r="R139" s="1266">
        <v>34776000</v>
      </c>
      <c r="S139" s="1327">
        <v>34776000</v>
      </c>
      <c r="T139" s="1327">
        <f>+'PAA V30'!$R139-'PAA V30'!$S139</f>
        <v>0</v>
      </c>
      <c r="U139" s="1327">
        <v>34776000</v>
      </c>
      <c r="V139" s="1327">
        <v>17388000</v>
      </c>
      <c r="W139" s="1327"/>
    </row>
    <row r="140" spans="1:23" s="1204" customFormat="1" ht="75" hidden="1" x14ac:dyDescent="0.2">
      <c r="A140" s="1169">
        <v>2022145</v>
      </c>
      <c r="B140" s="1169">
        <v>7655</v>
      </c>
      <c r="C140" s="1326" t="s">
        <v>648</v>
      </c>
      <c r="D140" s="1187" t="s">
        <v>696</v>
      </c>
      <c r="E140" s="1171">
        <v>80111600</v>
      </c>
      <c r="F140" s="1349" t="s">
        <v>846</v>
      </c>
      <c r="G140" s="1343">
        <v>44562</v>
      </c>
      <c r="H140" s="1343">
        <v>44592</v>
      </c>
      <c r="I140" s="1173">
        <v>7</v>
      </c>
      <c r="J140" s="1173" t="s">
        <v>677</v>
      </c>
      <c r="K140" s="1174" t="s">
        <v>678</v>
      </c>
      <c r="L140" s="1175" t="s">
        <v>679</v>
      </c>
      <c r="M140" s="1176">
        <v>27895000</v>
      </c>
      <c r="N140" s="1344" t="s">
        <v>784</v>
      </c>
      <c r="O140" s="1171" t="s">
        <v>771</v>
      </c>
      <c r="P140" s="1350" t="s">
        <v>682</v>
      </c>
      <c r="Q140" s="1160"/>
      <c r="R140" s="1266">
        <v>27895000</v>
      </c>
      <c r="S140" s="1327">
        <v>27895000</v>
      </c>
      <c r="T140" s="1327">
        <f>+'PAA V30'!$R140-'PAA V30'!$S140</f>
        <v>0</v>
      </c>
      <c r="U140" s="1327">
        <v>27895000</v>
      </c>
      <c r="V140" s="1327">
        <v>17799667</v>
      </c>
      <c r="W140" s="1327"/>
    </row>
    <row r="141" spans="1:23" s="1204" customFormat="1" ht="75" hidden="1" x14ac:dyDescent="0.2">
      <c r="A141" s="1169">
        <v>2022146</v>
      </c>
      <c r="B141" s="1169">
        <v>7655</v>
      </c>
      <c r="C141" s="1326" t="s">
        <v>648</v>
      </c>
      <c r="D141" s="1187" t="s">
        <v>696</v>
      </c>
      <c r="E141" s="1171">
        <v>80111600</v>
      </c>
      <c r="F141" s="1349" t="s">
        <v>846</v>
      </c>
      <c r="G141" s="1343">
        <v>44562</v>
      </c>
      <c r="H141" s="1343">
        <v>44592</v>
      </c>
      <c r="I141" s="1173">
        <v>7</v>
      </c>
      <c r="J141" s="1173" t="s">
        <v>677</v>
      </c>
      <c r="K141" s="1174" t="s">
        <v>678</v>
      </c>
      <c r="L141" s="1175" t="s">
        <v>679</v>
      </c>
      <c r="M141" s="1176">
        <v>26950000</v>
      </c>
      <c r="N141" s="1344" t="s">
        <v>784</v>
      </c>
      <c r="O141" s="1171" t="s">
        <v>771</v>
      </c>
      <c r="P141" s="1350" t="s">
        <v>682</v>
      </c>
      <c r="Q141" s="1160"/>
      <c r="R141" s="1266">
        <v>26950000</v>
      </c>
      <c r="S141" s="1327">
        <v>26950000</v>
      </c>
      <c r="T141" s="1327">
        <f>+'PAA V30'!$R141-'PAA V30'!$S141</f>
        <v>0</v>
      </c>
      <c r="U141" s="1327">
        <v>26950000</v>
      </c>
      <c r="V141" s="1327">
        <v>8598333</v>
      </c>
      <c r="W141" s="1327"/>
    </row>
    <row r="142" spans="1:23" s="1204" customFormat="1" ht="75" hidden="1" x14ac:dyDescent="0.2">
      <c r="A142" s="1169">
        <v>2022147</v>
      </c>
      <c r="B142" s="1169">
        <v>7655</v>
      </c>
      <c r="C142" s="1326" t="s">
        <v>648</v>
      </c>
      <c r="D142" s="1187" t="s">
        <v>696</v>
      </c>
      <c r="E142" s="1171">
        <v>80111600</v>
      </c>
      <c r="F142" s="1349" t="s">
        <v>847</v>
      </c>
      <c r="G142" s="1343">
        <v>44562</v>
      </c>
      <c r="H142" s="1343">
        <v>44592</v>
      </c>
      <c r="I142" s="1173">
        <v>8</v>
      </c>
      <c r="J142" s="1173" t="s">
        <v>677</v>
      </c>
      <c r="K142" s="1174" t="s">
        <v>678</v>
      </c>
      <c r="L142" s="1175" t="s">
        <v>679</v>
      </c>
      <c r="M142" s="1176">
        <f>19600000-2450000</f>
        <v>17150000</v>
      </c>
      <c r="N142" s="1344" t="s">
        <v>784</v>
      </c>
      <c r="O142" s="1171" t="s">
        <v>771</v>
      </c>
      <c r="P142" s="1350" t="s">
        <v>682</v>
      </c>
      <c r="Q142" s="1160"/>
      <c r="R142" s="1266">
        <v>17150000</v>
      </c>
      <c r="S142" s="1327">
        <v>17150000</v>
      </c>
      <c r="T142" s="1327">
        <f>+'PAA V30'!$R142-'PAA V30'!$S142</f>
        <v>0</v>
      </c>
      <c r="U142" s="1327">
        <v>17150000</v>
      </c>
      <c r="V142" s="1327">
        <v>10943333</v>
      </c>
      <c r="W142" s="1327"/>
    </row>
    <row r="143" spans="1:23" s="1204" customFormat="1" ht="75" hidden="1" x14ac:dyDescent="0.2">
      <c r="A143" s="1169">
        <v>2022148</v>
      </c>
      <c r="B143" s="1169">
        <v>7655</v>
      </c>
      <c r="C143" s="1326" t="s">
        <v>648</v>
      </c>
      <c r="D143" s="1187" t="s">
        <v>696</v>
      </c>
      <c r="E143" s="1171">
        <v>80111600</v>
      </c>
      <c r="F143" s="1349" t="s">
        <v>848</v>
      </c>
      <c r="G143" s="1343">
        <v>44562</v>
      </c>
      <c r="H143" s="1343">
        <v>44592</v>
      </c>
      <c r="I143" s="1173">
        <v>8</v>
      </c>
      <c r="J143" s="1173" t="s">
        <v>677</v>
      </c>
      <c r="K143" s="1174" t="s">
        <v>678</v>
      </c>
      <c r="L143" s="1175" t="s">
        <v>679</v>
      </c>
      <c r="M143" s="1176">
        <f>40800000-5100000</f>
        <v>35700000</v>
      </c>
      <c r="N143" s="1344" t="s">
        <v>784</v>
      </c>
      <c r="O143" s="1171" t="s">
        <v>771</v>
      </c>
      <c r="P143" s="1350" t="s">
        <v>682</v>
      </c>
      <c r="Q143" s="1160"/>
      <c r="R143" s="1266">
        <v>35700000</v>
      </c>
      <c r="S143" s="1327">
        <v>35700000</v>
      </c>
      <c r="T143" s="1327">
        <f>+'PAA V30'!$R143-'PAA V30'!$S143</f>
        <v>0</v>
      </c>
      <c r="U143" s="1327">
        <v>35700000</v>
      </c>
      <c r="V143" s="1327">
        <v>21420000</v>
      </c>
      <c r="W143" s="1327"/>
    </row>
    <row r="144" spans="1:23" s="1204" customFormat="1" ht="75" hidden="1" x14ac:dyDescent="0.2">
      <c r="A144" s="1169">
        <v>2022149</v>
      </c>
      <c r="B144" s="1169">
        <v>7655</v>
      </c>
      <c r="C144" s="1326" t="s">
        <v>648</v>
      </c>
      <c r="D144" s="1187" t="s">
        <v>696</v>
      </c>
      <c r="E144" s="1171">
        <v>80111600</v>
      </c>
      <c r="F144" s="1349" t="s">
        <v>849</v>
      </c>
      <c r="G144" s="1343">
        <v>44562</v>
      </c>
      <c r="H144" s="1343">
        <v>44592</v>
      </c>
      <c r="I144" s="1173">
        <v>11</v>
      </c>
      <c r="J144" s="1173" t="s">
        <v>677</v>
      </c>
      <c r="K144" s="1174" t="s">
        <v>678</v>
      </c>
      <c r="L144" s="1175" t="s">
        <v>679</v>
      </c>
      <c r="M144" s="1176">
        <f>56100000-10200000</f>
        <v>45900000</v>
      </c>
      <c r="N144" s="1344" t="s">
        <v>784</v>
      </c>
      <c r="O144" s="1171" t="s">
        <v>771</v>
      </c>
      <c r="P144" s="1350" t="s">
        <v>682</v>
      </c>
      <c r="Q144" s="1160"/>
      <c r="R144" s="1266">
        <v>45900000</v>
      </c>
      <c r="S144" s="1327">
        <v>45900000</v>
      </c>
      <c r="T144" s="1327">
        <f>+'PAA V30'!$R144-'PAA V30'!$S144</f>
        <v>0</v>
      </c>
      <c r="U144" s="1327">
        <v>45900000</v>
      </c>
      <c r="V144" s="1327">
        <v>21250000</v>
      </c>
      <c r="W144" s="1327"/>
    </row>
    <row r="145" spans="1:23" s="1204" customFormat="1" ht="75" hidden="1" x14ac:dyDescent="0.2">
      <c r="A145" s="1169">
        <v>2022150</v>
      </c>
      <c r="B145" s="1169">
        <v>7655</v>
      </c>
      <c r="C145" s="1326" t="s">
        <v>648</v>
      </c>
      <c r="D145" s="1187" t="s">
        <v>696</v>
      </c>
      <c r="E145" s="1171">
        <v>80111600</v>
      </c>
      <c r="F145" s="1349" t="s">
        <v>848</v>
      </c>
      <c r="G145" s="1343">
        <v>44562</v>
      </c>
      <c r="H145" s="1343">
        <v>44592</v>
      </c>
      <c r="I145" s="1173">
        <v>7</v>
      </c>
      <c r="J145" s="1173" t="s">
        <v>677</v>
      </c>
      <c r="K145" s="1174" t="s">
        <v>678</v>
      </c>
      <c r="L145" s="1175" t="s">
        <v>679</v>
      </c>
      <c r="M145" s="1176">
        <v>35700000</v>
      </c>
      <c r="N145" s="1344" t="s">
        <v>784</v>
      </c>
      <c r="O145" s="1171" t="s">
        <v>771</v>
      </c>
      <c r="P145" s="1350" t="s">
        <v>682</v>
      </c>
      <c r="Q145" s="1160"/>
      <c r="R145" s="1266">
        <v>35700000</v>
      </c>
      <c r="S145" s="1327">
        <v>35700000</v>
      </c>
      <c r="T145" s="1327">
        <f>+'PAA V30'!$R145-'PAA V30'!$S145</f>
        <v>0</v>
      </c>
      <c r="U145" s="1327">
        <v>35700000</v>
      </c>
      <c r="V145" s="1327">
        <v>21080000</v>
      </c>
      <c r="W145" s="1327"/>
    </row>
    <row r="146" spans="1:23" s="1204" customFormat="1" ht="75" hidden="1" x14ac:dyDescent="0.2">
      <c r="A146" s="1169">
        <v>2022151</v>
      </c>
      <c r="B146" s="1169">
        <v>7655</v>
      </c>
      <c r="C146" s="1326" t="s">
        <v>648</v>
      </c>
      <c r="D146" s="1187" t="s">
        <v>696</v>
      </c>
      <c r="E146" s="1171">
        <v>80111600</v>
      </c>
      <c r="F146" s="1349" t="s">
        <v>850</v>
      </c>
      <c r="G146" s="1343">
        <v>44562</v>
      </c>
      <c r="H146" s="1343">
        <v>44592</v>
      </c>
      <c r="I146" s="1173">
        <v>8</v>
      </c>
      <c r="J146" s="1173" t="s">
        <v>677</v>
      </c>
      <c r="K146" s="1174" t="s">
        <v>678</v>
      </c>
      <c r="L146" s="1175" t="s">
        <v>679</v>
      </c>
      <c r="M146" s="1176">
        <v>41400000</v>
      </c>
      <c r="N146" s="1344" t="s">
        <v>784</v>
      </c>
      <c r="O146" s="1171" t="s">
        <v>771</v>
      </c>
      <c r="P146" s="1350" t="s">
        <v>682</v>
      </c>
      <c r="Q146" s="1160"/>
      <c r="R146" s="1266">
        <v>41400000</v>
      </c>
      <c r="S146" s="1327">
        <v>41400000</v>
      </c>
      <c r="T146" s="1327">
        <f>+'PAA V30'!$R146-'PAA V30'!$S146</f>
        <v>0</v>
      </c>
      <c r="U146" s="1327">
        <v>41400000</v>
      </c>
      <c r="V146" s="1327">
        <v>22942500</v>
      </c>
      <c r="W146" s="1327"/>
    </row>
    <row r="147" spans="1:23" s="1204" customFormat="1" ht="75" hidden="1" x14ac:dyDescent="0.2">
      <c r="A147" s="1169">
        <v>2022152</v>
      </c>
      <c r="B147" s="1169">
        <v>7655</v>
      </c>
      <c r="C147" s="1326" t="s">
        <v>648</v>
      </c>
      <c r="D147" s="1187" t="s">
        <v>696</v>
      </c>
      <c r="E147" s="1171">
        <v>80111600</v>
      </c>
      <c r="F147" s="1349" t="s">
        <v>851</v>
      </c>
      <c r="G147" s="1343">
        <v>44562</v>
      </c>
      <c r="H147" s="1343">
        <v>44592</v>
      </c>
      <c r="I147" s="1173">
        <v>8</v>
      </c>
      <c r="J147" s="1173" t="s">
        <v>677</v>
      </c>
      <c r="K147" s="1174" t="s">
        <v>678</v>
      </c>
      <c r="L147" s="1175" t="s">
        <v>679</v>
      </c>
      <c r="M147" s="1176">
        <v>45544000</v>
      </c>
      <c r="N147" s="1344" t="s">
        <v>784</v>
      </c>
      <c r="O147" s="1171" t="s">
        <v>771</v>
      </c>
      <c r="P147" s="1350" t="s">
        <v>682</v>
      </c>
      <c r="Q147" s="1160"/>
      <c r="R147" s="1266">
        <v>45544000</v>
      </c>
      <c r="S147" s="1327">
        <v>45544000</v>
      </c>
      <c r="T147" s="1327">
        <f>+'PAA V30'!$R147-'PAA V30'!$S147</f>
        <v>0</v>
      </c>
      <c r="U147" s="1327">
        <v>45544000</v>
      </c>
      <c r="V147" s="1327">
        <v>25238967</v>
      </c>
      <c r="W147" s="1327"/>
    </row>
    <row r="148" spans="1:23" s="1204" customFormat="1" ht="75" hidden="1" x14ac:dyDescent="0.2">
      <c r="A148" s="1169">
        <v>2022153</v>
      </c>
      <c r="B148" s="1169">
        <v>7655</v>
      </c>
      <c r="C148" s="1326" t="s">
        <v>648</v>
      </c>
      <c r="D148" s="1187" t="s">
        <v>696</v>
      </c>
      <c r="E148" s="1171">
        <v>80111600</v>
      </c>
      <c r="F148" s="1349" t="s">
        <v>852</v>
      </c>
      <c r="G148" s="1343">
        <v>44562</v>
      </c>
      <c r="H148" s="1343">
        <v>44592</v>
      </c>
      <c r="I148" s="1173">
        <v>7</v>
      </c>
      <c r="J148" s="1173" t="s">
        <v>677</v>
      </c>
      <c r="K148" s="1174" t="s">
        <v>678</v>
      </c>
      <c r="L148" s="1175" t="s">
        <v>679</v>
      </c>
      <c r="M148" s="1176">
        <v>23184000</v>
      </c>
      <c r="N148" s="1344" t="s">
        <v>784</v>
      </c>
      <c r="O148" s="1171" t="s">
        <v>771</v>
      </c>
      <c r="P148" s="1350" t="s">
        <v>682</v>
      </c>
      <c r="Q148" s="1160"/>
      <c r="R148" s="1266">
        <v>23184000</v>
      </c>
      <c r="S148" s="1327">
        <v>23184000</v>
      </c>
      <c r="T148" s="1327">
        <f>+'PAA V30'!$R148-'PAA V30'!$S148</f>
        <v>0</v>
      </c>
      <c r="U148" s="1327">
        <v>23184000</v>
      </c>
      <c r="V148" s="1327">
        <v>14462400</v>
      </c>
      <c r="W148" s="1327"/>
    </row>
    <row r="149" spans="1:23" s="1204" customFormat="1" ht="75" hidden="1" x14ac:dyDescent="0.2">
      <c r="A149" s="1169">
        <v>2022154</v>
      </c>
      <c r="B149" s="1169">
        <v>7655</v>
      </c>
      <c r="C149" s="1326" t="s">
        <v>648</v>
      </c>
      <c r="D149" s="1187" t="s">
        <v>696</v>
      </c>
      <c r="E149" s="1171">
        <v>80111600</v>
      </c>
      <c r="F149" s="1349" t="s">
        <v>853</v>
      </c>
      <c r="G149" s="1343">
        <v>44562</v>
      </c>
      <c r="H149" s="1343">
        <v>44592</v>
      </c>
      <c r="I149" s="1173">
        <v>7</v>
      </c>
      <c r="J149" s="1173" t="s">
        <v>677</v>
      </c>
      <c r="K149" s="1174" t="s">
        <v>678</v>
      </c>
      <c r="L149" s="1175" t="s">
        <v>679</v>
      </c>
      <c r="M149" s="1176">
        <v>30429000</v>
      </c>
      <c r="N149" s="1344" t="s">
        <v>784</v>
      </c>
      <c r="O149" s="1171" t="s">
        <v>771</v>
      </c>
      <c r="P149" s="1350" t="s">
        <v>682</v>
      </c>
      <c r="Q149" s="1160"/>
      <c r="R149" s="1266">
        <v>30429000</v>
      </c>
      <c r="S149" s="1327">
        <v>30429000</v>
      </c>
      <c r="T149" s="1327">
        <f>+'PAA V30'!$R149-'PAA V30'!$S149</f>
        <v>0</v>
      </c>
      <c r="U149" s="1327">
        <v>30429000</v>
      </c>
      <c r="V149" s="1327">
        <v>19271700</v>
      </c>
      <c r="W149" s="1327"/>
    </row>
    <row r="150" spans="1:23" s="1204" customFormat="1" ht="75" hidden="1" x14ac:dyDescent="0.2">
      <c r="A150" s="1169">
        <v>2022155</v>
      </c>
      <c r="B150" s="1169">
        <v>7655</v>
      </c>
      <c r="C150" s="1326" t="s">
        <v>648</v>
      </c>
      <c r="D150" s="1187" t="s">
        <v>696</v>
      </c>
      <c r="E150" s="1171">
        <v>80111600</v>
      </c>
      <c r="F150" s="1349" t="s">
        <v>854</v>
      </c>
      <c r="G150" s="1343">
        <v>44562</v>
      </c>
      <c r="H150" s="1343">
        <v>44592</v>
      </c>
      <c r="I150" s="1173">
        <v>11</v>
      </c>
      <c r="J150" s="1173" t="s">
        <v>677</v>
      </c>
      <c r="K150" s="1174" t="s">
        <v>678</v>
      </c>
      <c r="L150" s="1175" t="s">
        <v>679</v>
      </c>
      <c r="M150" s="1176">
        <f>83600000-43826667</f>
        <v>39773333</v>
      </c>
      <c r="N150" s="1344" t="s">
        <v>784</v>
      </c>
      <c r="O150" s="1171" t="s">
        <v>771</v>
      </c>
      <c r="P150" s="1350" t="s">
        <v>682</v>
      </c>
      <c r="Q150" s="1160"/>
      <c r="R150" s="1266">
        <v>68400000</v>
      </c>
      <c r="S150" s="1327">
        <v>68400000</v>
      </c>
      <c r="T150" s="1327">
        <f>+'PAA V30'!$R150-'PAA V30'!$S150</f>
        <v>0</v>
      </c>
      <c r="U150" s="1327">
        <v>68400000</v>
      </c>
      <c r="V150" s="1327">
        <v>32173333</v>
      </c>
      <c r="W150" s="1327"/>
    </row>
    <row r="151" spans="1:23" s="1204" customFormat="1" ht="75" hidden="1" x14ac:dyDescent="0.2">
      <c r="A151" s="1169">
        <v>2022156</v>
      </c>
      <c r="B151" s="1169">
        <v>7655</v>
      </c>
      <c r="C151" s="1326" t="s">
        <v>648</v>
      </c>
      <c r="D151" s="1187" t="s">
        <v>696</v>
      </c>
      <c r="E151" s="1171">
        <v>80111600</v>
      </c>
      <c r="F151" s="1349" t="s">
        <v>855</v>
      </c>
      <c r="G151" s="1343">
        <v>44562</v>
      </c>
      <c r="H151" s="1343">
        <v>44592</v>
      </c>
      <c r="I151" s="1173">
        <v>7</v>
      </c>
      <c r="J151" s="1173" t="s">
        <v>677</v>
      </c>
      <c r="K151" s="1174" t="s">
        <v>678</v>
      </c>
      <c r="L151" s="1175" t="s">
        <v>679</v>
      </c>
      <c r="M151" s="1176">
        <v>26950000</v>
      </c>
      <c r="N151" s="1344" t="s">
        <v>784</v>
      </c>
      <c r="O151" s="1171" t="s">
        <v>771</v>
      </c>
      <c r="P151" s="1350" t="s">
        <v>682</v>
      </c>
      <c r="Q151" s="1160"/>
      <c r="R151" s="1266">
        <v>26950000</v>
      </c>
      <c r="S151" s="1327">
        <v>26950000</v>
      </c>
      <c r="T151" s="1327">
        <f>+'PAA V30'!$R151-'PAA V30'!$S151</f>
        <v>0</v>
      </c>
      <c r="U151" s="1327">
        <v>26950000</v>
      </c>
      <c r="V151" s="1327">
        <v>15400000</v>
      </c>
      <c r="W151" s="1327"/>
    </row>
    <row r="152" spans="1:23" s="1204" customFormat="1" ht="75" hidden="1" x14ac:dyDescent="0.2">
      <c r="A152" s="1169">
        <v>2022157</v>
      </c>
      <c r="B152" s="1169">
        <v>7655</v>
      </c>
      <c r="C152" s="1326" t="s">
        <v>648</v>
      </c>
      <c r="D152" s="1187" t="s">
        <v>696</v>
      </c>
      <c r="E152" s="1171">
        <v>80111600</v>
      </c>
      <c r="F152" s="1349" t="s">
        <v>850</v>
      </c>
      <c r="G152" s="1343">
        <v>44562</v>
      </c>
      <c r="H152" s="1343">
        <v>44592</v>
      </c>
      <c r="I152" s="1173">
        <v>7</v>
      </c>
      <c r="J152" s="1173" t="s">
        <v>677</v>
      </c>
      <c r="K152" s="1174" t="s">
        <v>678</v>
      </c>
      <c r="L152" s="1175" t="s">
        <v>679</v>
      </c>
      <c r="M152" s="1176">
        <v>36225000</v>
      </c>
      <c r="N152" s="1344" t="s">
        <v>784</v>
      </c>
      <c r="O152" s="1171" t="s">
        <v>771</v>
      </c>
      <c r="P152" s="1350" t="s">
        <v>682</v>
      </c>
      <c r="Q152" s="1160"/>
      <c r="R152" s="1266">
        <v>36225000</v>
      </c>
      <c r="S152" s="1327">
        <v>36225000</v>
      </c>
      <c r="T152" s="1327">
        <f>+'PAA V30'!$R152-'PAA V30'!$S152</f>
        <v>0</v>
      </c>
      <c r="U152" s="1327">
        <v>36225000</v>
      </c>
      <c r="V152" s="1327">
        <v>22425000</v>
      </c>
      <c r="W152" s="1327"/>
    </row>
    <row r="153" spans="1:23" s="1204" customFormat="1" ht="75" hidden="1" x14ac:dyDescent="0.2">
      <c r="A153" s="1169">
        <v>2022158</v>
      </c>
      <c r="B153" s="1169">
        <v>7655</v>
      </c>
      <c r="C153" s="1326" t="s">
        <v>648</v>
      </c>
      <c r="D153" s="1187" t="s">
        <v>696</v>
      </c>
      <c r="E153" s="1171">
        <v>80111600</v>
      </c>
      <c r="F153" s="1349" t="s">
        <v>851</v>
      </c>
      <c r="G153" s="1343">
        <v>44562</v>
      </c>
      <c r="H153" s="1343">
        <v>44592</v>
      </c>
      <c r="I153" s="1173">
        <v>8</v>
      </c>
      <c r="J153" s="1173" t="s">
        <v>677</v>
      </c>
      <c r="K153" s="1174" t="s">
        <v>678</v>
      </c>
      <c r="L153" s="1175" t="s">
        <v>679</v>
      </c>
      <c r="M153" s="1176">
        <v>45544000</v>
      </c>
      <c r="N153" s="1344" t="s">
        <v>784</v>
      </c>
      <c r="O153" s="1171" t="s">
        <v>771</v>
      </c>
      <c r="P153" s="1350" t="s">
        <v>682</v>
      </c>
      <c r="Q153" s="1160"/>
      <c r="R153" s="1266">
        <v>45544000</v>
      </c>
      <c r="S153" s="1327">
        <v>45544000</v>
      </c>
      <c r="T153" s="1327">
        <f>+'PAA V30'!$R153-'PAA V30'!$S153</f>
        <v>0</v>
      </c>
      <c r="U153" s="1327">
        <v>45544000</v>
      </c>
      <c r="V153" s="1327">
        <v>24100367</v>
      </c>
      <c r="W153" s="1327"/>
    </row>
    <row r="154" spans="1:23" s="1204" customFormat="1" ht="75" hidden="1" x14ac:dyDescent="0.2">
      <c r="A154" s="1169">
        <v>2022159</v>
      </c>
      <c r="B154" s="1169">
        <v>7655</v>
      </c>
      <c r="C154" s="1326" t="s">
        <v>648</v>
      </c>
      <c r="D154" s="1187" t="s">
        <v>696</v>
      </c>
      <c r="E154" s="1171">
        <v>80111600</v>
      </c>
      <c r="F154" s="1349" t="s">
        <v>856</v>
      </c>
      <c r="G154" s="1343">
        <v>44562</v>
      </c>
      <c r="H154" s="1343">
        <v>44592</v>
      </c>
      <c r="I154" s="1173">
        <v>8</v>
      </c>
      <c r="J154" s="1173" t="s">
        <v>677</v>
      </c>
      <c r="K154" s="1174" t="s">
        <v>678</v>
      </c>
      <c r="L154" s="1175" t="s">
        <v>679</v>
      </c>
      <c r="M154" s="1176">
        <f>19600000-4900000</f>
        <v>14700000</v>
      </c>
      <c r="N154" s="1344" t="s">
        <v>784</v>
      </c>
      <c r="O154" s="1171" t="s">
        <v>771</v>
      </c>
      <c r="P154" s="1350" t="s">
        <v>682</v>
      </c>
      <c r="Q154" s="1160"/>
      <c r="R154" s="1266">
        <v>14700000</v>
      </c>
      <c r="S154" s="1327">
        <v>14700000</v>
      </c>
      <c r="T154" s="1327">
        <f>+'PAA V30'!$R154-'PAA V30'!$S154</f>
        <v>0</v>
      </c>
      <c r="U154" s="1327">
        <v>14700000</v>
      </c>
      <c r="V154" s="1327">
        <v>10698333</v>
      </c>
      <c r="W154" s="1327"/>
    </row>
    <row r="155" spans="1:23" s="1204" customFormat="1" ht="75" hidden="1" x14ac:dyDescent="0.2">
      <c r="A155" s="1169">
        <v>2022160</v>
      </c>
      <c r="B155" s="1169">
        <v>7655</v>
      </c>
      <c r="C155" s="1326" t="s">
        <v>648</v>
      </c>
      <c r="D155" s="1187" t="s">
        <v>696</v>
      </c>
      <c r="E155" s="1171">
        <v>80111600</v>
      </c>
      <c r="F155" s="1349" t="s">
        <v>857</v>
      </c>
      <c r="G155" s="1343">
        <v>44562</v>
      </c>
      <c r="H155" s="1343">
        <v>44592</v>
      </c>
      <c r="I155" s="1173">
        <v>11</v>
      </c>
      <c r="J155" s="1173" t="s">
        <v>677</v>
      </c>
      <c r="K155" s="1174" t="s">
        <v>678</v>
      </c>
      <c r="L155" s="1175" t="s">
        <v>679</v>
      </c>
      <c r="M155" s="1176">
        <v>31306000</v>
      </c>
      <c r="N155" s="1344" t="s">
        <v>784</v>
      </c>
      <c r="O155" s="1171" t="s">
        <v>771</v>
      </c>
      <c r="P155" s="1350" t="s">
        <v>682</v>
      </c>
      <c r="Q155" s="1160"/>
      <c r="R155" s="1266">
        <v>31306000</v>
      </c>
      <c r="S155" s="1327">
        <v>31306000</v>
      </c>
      <c r="T155" s="1327">
        <f>+'PAA V30'!$R155-'PAA V30'!$S155</f>
        <v>0</v>
      </c>
      <c r="U155" s="1327">
        <v>31306000</v>
      </c>
      <c r="V155" s="1327">
        <v>12048067</v>
      </c>
      <c r="W155" s="1327"/>
    </row>
    <row r="156" spans="1:23" s="1204" customFormat="1" ht="105" hidden="1" x14ac:dyDescent="0.2">
      <c r="A156" s="1169">
        <v>2022161</v>
      </c>
      <c r="B156" s="1169">
        <v>7655</v>
      </c>
      <c r="C156" s="1326" t="s">
        <v>648</v>
      </c>
      <c r="D156" s="1187" t="s">
        <v>696</v>
      </c>
      <c r="E156" s="1171">
        <v>80111600</v>
      </c>
      <c r="F156" s="1349" t="s">
        <v>858</v>
      </c>
      <c r="G156" s="1343">
        <v>44562</v>
      </c>
      <c r="H156" s="1343">
        <v>44592</v>
      </c>
      <c r="I156" s="1173">
        <v>8</v>
      </c>
      <c r="J156" s="1173" t="s">
        <v>677</v>
      </c>
      <c r="K156" s="1174" t="s">
        <v>678</v>
      </c>
      <c r="L156" s="1175" t="s">
        <v>679</v>
      </c>
      <c r="M156" s="1176">
        <v>34776000</v>
      </c>
      <c r="N156" s="1344" t="s">
        <v>784</v>
      </c>
      <c r="O156" s="1171" t="s">
        <v>771</v>
      </c>
      <c r="P156" s="1350" t="s">
        <v>682</v>
      </c>
      <c r="Q156" s="1160"/>
      <c r="R156" s="1266">
        <v>34776000</v>
      </c>
      <c r="S156" s="1327">
        <v>34776000</v>
      </c>
      <c r="T156" s="1327">
        <f>+'PAA V30'!$R156-'PAA V30'!$S156</f>
        <v>0</v>
      </c>
      <c r="U156" s="1327">
        <v>34776000</v>
      </c>
      <c r="V156" s="1327">
        <v>18402300</v>
      </c>
      <c r="W156" s="1327"/>
    </row>
    <row r="157" spans="1:23" s="1204" customFormat="1" ht="75" hidden="1" x14ac:dyDescent="0.2">
      <c r="A157" s="1169">
        <v>2022162</v>
      </c>
      <c r="B157" s="1169">
        <v>7655</v>
      </c>
      <c r="C157" s="1326" t="s">
        <v>648</v>
      </c>
      <c r="D157" s="1187" t="s">
        <v>696</v>
      </c>
      <c r="E157" s="1171">
        <v>80111600</v>
      </c>
      <c r="F157" s="1349" t="s">
        <v>859</v>
      </c>
      <c r="G157" s="1343">
        <v>44562</v>
      </c>
      <c r="H157" s="1343">
        <v>44592</v>
      </c>
      <c r="I157" s="1173">
        <v>8</v>
      </c>
      <c r="J157" s="1173" t="s">
        <v>677</v>
      </c>
      <c r="K157" s="1174" t="s">
        <v>678</v>
      </c>
      <c r="L157" s="1175" t="s">
        <v>679</v>
      </c>
      <c r="M157" s="1176">
        <f>34776000-4347000</f>
        <v>30429000</v>
      </c>
      <c r="N157" s="1344" t="s">
        <v>784</v>
      </c>
      <c r="O157" s="1171" t="s">
        <v>771</v>
      </c>
      <c r="P157" s="1350" t="s">
        <v>682</v>
      </c>
      <c r="Q157" s="1160"/>
      <c r="R157" s="1266">
        <v>30429000</v>
      </c>
      <c r="S157" s="1327">
        <v>30429000</v>
      </c>
      <c r="T157" s="1327">
        <f>+'PAA V30'!$R157-'PAA V30'!$S157</f>
        <v>0</v>
      </c>
      <c r="U157" s="1327">
        <v>30429000</v>
      </c>
      <c r="V157" s="1327">
        <v>18981900</v>
      </c>
      <c r="W157" s="1327"/>
    </row>
    <row r="158" spans="1:23" s="1204" customFormat="1" ht="90" hidden="1" x14ac:dyDescent="0.2">
      <c r="A158" s="1169">
        <v>2022163</v>
      </c>
      <c r="B158" s="1169">
        <v>7655</v>
      </c>
      <c r="C158" s="1326" t="s">
        <v>648</v>
      </c>
      <c r="D158" s="1187" t="s">
        <v>696</v>
      </c>
      <c r="E158" s="1171">
        <v>80111600</v>
      </c>
      <c r="F158" s="1349" t="s">
        <v>860</v>
      </c>
      <c r="G158" s="1343">
        <v>44562</v>
      </c>
      <c r="H158" s="1343">
        <v>44592</v>
      </c>
      <c r="I158" s="1173">
        <v>11</v>
      </c>
      <c r="J158" s="1173" t="s">
        <v>677</v>
      </c>
      <c r="K158" s="1174" t="s">
        <v>678</v>
      </c>
      <c r="L158" s="1175" t="s">
        <v>679</v>
      </c>
      <c r="M158" s="1176">
        <v>36850000</v>
      </c>
      <c r="N158" s="1344" t="s">
        <v>784</v>
      </c>
      <c r="O158" s="1171" t="s">
        <v>771</v>
      </c>
      <c r="P158" s="1350" t="s">
        <v>682</v>
      </c>
      <c r="Q158" s="1160"/>
      <c r="R158" s="1266">
        <v>21735000</v>
      </c>
      <c r="S158" s="1327">
        <v>21735000</v>
      </c>
      <c r="T158" s="1327">
        <f>+'PAA V30'!$R158-'PAA V30'!$S158</f>
        <v>0</v>
      </c>
      <c r="U158" s="1327">
        <v>21735000</v>
      </c>
      <c r="V158" s="1327">
        <v>13558500</v>
      </c>
      <c r="W158" s="1327"/>
    </row>
    <row r="159" spans="1:23" s="1204" customFormat="1" ht="75" hidden="1" x14ac:dyDescent="0.2">
      <c r="A159" s="1169">
        <v>2022164</v>
      </c>
      <c r="B159" s="1169">
        <v>7655</v>
      </c>
      <c r="C159" s="1326" t="s">
        <v>648</v>
      </c>
      <c r="D159" s="1187" t="s">
        <v>696</v>
      </c>
      <c r="E159" s="1171">
        <v>80111600</v>
      </c>
      <c r="F159" s="1349" t="s">
        <v>861</v>
      </c>
      <c r="G159" s="1343">
        <v>44562</v>
      </c>
      <c r="H159" s="1343">
        <v>44592</v>
      </c>
      <c r="I159" s="1173">
        <v>7</v>
      </c>
      <c r="J159" s="1173" t="s">
        <v>677</v>
      </c>
      <c r="K159" s="1174" t="s">
        <v>678</v>
      </c>
      <c r="L159" s="1175" t="s">
        <v>679</v>
      </c>
      <c r="M159" s="1176">
        <f>26950000-2100000</f>
        <v>24850000</v>
      </c>
      <c r="N159" s="1344" t="s">
        <v>784</v>
      </c>
      <c r="O159" s="1171" t="s">
        <v>771</v>
      </c>
      <c r="P159" s="1350" t="s">
        <v>682</v>
      </c>
      <c r="Q159" s="1160"/>
      <c r="R159" s="1266">
        <v>24850000</v>
      </c>
      <c r="S159" s="1327">
        <v>24850000</v>
      </c>
      <c r="T159" s="1327">
        <f>+'PAA V30'!$R159-'PAA V30'!$S159</f>
        <v>0</v>
      </c>
      <c r="U159" s="1327">
        <v>24850000</v>
      </c>
      <c r="V159" s="1327">
        <v>15383333</v>
      </c>
      <c r="W159" s="1327"/>
    </row>
    <row r="160" spans="1:23" s="1204" customFormat="1" ht="75" hidden="1" x14ac:dyDescent="0.2">
      <c r="A160" s="1169">
        <v>2022165</v>
      </c>
      <c r="B160" s="1169">
        <v>7655</v>
      </c>
      <c r="C160" s="1326" t="s">
        <v>648</v>
      </c>
      <c r="D160" s="1187" t="s">
        <v>696</v>
      </c>
      <c r="E160" s="1171">
        <v>80111600</v>
      </c>
      <c r="F160" s="1349" t="s">
        <v>862</v>
      </c>
      <c r="G160" s="1343">
        <v>44562</v>
      </c>
      <c r="H160" s="1343">
        <v>44592</v>
      </c>
      <c r="I160" s="1173">
        <v>8</v>
      </c>
      <c r="J160" s="1173" t="s">
        <v>677</v>
      </c>
      <c r="K160" s="1174" t="s">
        <v>678</v>
      </c>
      <c r="L160" s="1175" t="s">
        <v>679</v>
      </c>
      <c r="M160" s="1176">
        <v>41400000</v>
      </c>
      <c r="N160" s="1344" t="s">
        <v>784</v>
      </c>
      <c r="O160" s="1171" t="s">
        <v>771</v>
      </c>
      <c r="P160" s="1350" t="s">
        <v>682</v>
      </c>
      <c r="Q160" s="1160"/>
      <c r="R160" s="1266">
        <v>41400000</v>
      </c>
      <c r="S160" s="1327">
        <v>41400000</v>
      </c>
      <c r="T160" s="1327">
        <f>+'PAA V30'!$R160-'PAA V30'!$S160</f>
        <v>0</v>
      </c>
      <c r="U160" s="1327">
        <v>41400000</v>
      </c>
      <c r="V160" s="1327">
        <v>22597500</v>
      </c>
      <c r="W160" s="1327"/>
    </row>
    <row r="161" spans="1:23" s="1204" customFormat="1" ht="75" hidden="1" x14ac:dyDescent="0.2">
      <c r="A161" s="1169">
        <v>2022166</v>
      </c>
      <c r="B161" s="1169">
        <v>7655</v>
      </c>
      <c r="C161" s="1326" t="s">
        <v>648</v>
      </c>
      <c r="D161" s="1187" t="s">
        <v>696</v>
      </c>
      <c r="E161" s="1171">
        <v>80111600</v>
      </c>
      <c r="F161" s="1349" t="s">
        <v>863</v>
      </c>
      <c r="G161" s="1343">
        <v>44562</v>
      </c>
      <c r="H161" s="1343">
        <v>44592</v>
      </c>
      <c r="I161" s="1173">
        <v>8</v>
      </c>
      <c r="J161" s="1173" t="s">
        <v>677</v>
      </c>
      <c r="K161" s="1174" t="s">
        <v>678</v>
      </c>
      <c r="L161" s="1175" t="s">
        <v>679</v>
      </c>
      <c r="M161" s="1176">
        <f>41400000-13282500</f>
        <v>28117500</v>
      </c>
      <c r="N161" s="1344" t="s">
        <v>784</v>
      </c>
      <c r="O161" s="1171" t="s">
        <v>771</v>
      </c>
      <c r="P161" s="1350" t="s">
        <v>682</v>
      </c>
      <c r="Q161" s="1160"/>
      <c r="R161" s="1266">
        <v>36225000</v>
      </c>
      <c r="S161" s="1327">
        <v>36225000</v>
      </c>
      <c r="T161" s="1327">
        <f>+'PAA V30'!$R161-'PAA V30'!$S161</f>
        <v>0</v>
      </c>
      <c r="U161" s="1327">
        <v>36225000</v>
      </c>
      <c r="V161" s="1327">
        <v>22942500</v>
      </c>
      <c r="W161" s="1327"/>
    </row>
    <row r="162" spans="1:23" s="1204" customFormat="1" ht="75" hidden="1" x14ac:dyDescent="0.2">
      <c r="A162" s="1169">
        <v>2022167</v>
      </c>
      <c r="B162" s="1169">
        <v>7655</v>
      </c>
      <c r="C162" s="1326" t="s">
        <v>648</v>
      </c>
      <c r="D162" s="1187" t="s">
        <v>696</v>
      </c>
      <c r="E162" s="1171">
        <v>80111600</v>
      </c>
      <c r="F162" s="1349" t="s">
        <v>864</v>
      </c>
      <c r="G162" s="1343">
        <v>44562</v>
      </c>
      <c r="H162" s="1343">
        <v>44592</v>
      </c>
      <c r="I162" s="1173">
        <v>11</v>
      </c>
      <c r="J162" s="1173" t="s">
        <v>677</v>
      </c>
      <c r="K162" s="1174" t="s">
        <v>678</v>
      </c>
      <c r="L162" s="1175" t="s">
        <v>679</v>
      </c>
      <c r="M162" s="1176">
        <v>80036000</v>
      </c>
      <c r="N162" s="1344" t="s">
        <v>784</v>
      </c>
      <c r="O162" s="1171" t="s">
        <v>771</v>
      </c>
      <c r="P162" s="1350" t="s">
        <v>682</v>
      </c>
      <c r="Q162" s="1160"/>
      <c r="R162" s="1266">
        <v>80036000</v>
      </c>
      <c r="S162" s="1327">
        <v>80036000</v>
      </c>
      <c r="T162" s="1327">
        <f>+'PAA V30'!$R162-'PAA V30'!$S162</f>
        <v>0</v>
      </c>
      <c r="U162" s="1327">
        <v>80036000</v>
      </c>
      <c r="V162" s="1327">
        <v>32499467</v>
      </c>
      <c r="W162" s="1327"/>
    </row>
    <row r="163" spans="1:23" s="1204" customFormat="1" ht="75" hidden="1" x14ac:dyDescent="0.2">
      <c r="A163" s="1169">
        <v>2022168</v>
      </c>
      <c r="B163" s="1169">
        <v>7655</v>
      </c>
      <c r="C163" s="1326" t="s">
        <v>648</v>
      </c>
      <c r="D163" s="1187" t="s">
        <v>696</v>
      </c>
      <c r="E163" s="1171">
        <v>80111600</v>
      </c>
      <c r="F163" s="1349" t="s">
        <v>862</v>
      </c>
      <c r="G163" s="1343">
        <v>44562</v>
      </c>
      <c r="H163" s="1343">
        <v>44592</v>
      </c>
      <c r="I163" s="1173">
        <v>10</v>
      </c>
      <c r="J163" s="1173" t="s">
        <v>677</v>
      </c>
      <c r="K163" s="1174" t="s">
        <v>678</v>
      </c>
      <c r="L163" s="1175" t="s">
        <v>679</v>
      </c>
      <c r="M163" s="1176">
        <v>60000000</v>
      </c>
      <c r="N163" s="1344" t="s">
        <v>784</v>
      </c>
      <c r="O163" s="1171" t="s">
        <v>771</v>
      </c>
      <c r="P163" s="1350" t="s">
        <v>682</v>
      </c>
      <c r="Q163" s="1160"/>
      <c r="R163" s="1266">
        <v>60000000</v>
      </c>
      <c r="S163" s="1327">
        <v>60000000</v>
      </c>
      <c r="T163" s="1327">
        <f>+'PAA V30'!$R163-'PAA V30'!$S163</f>
        <v>0</v>
      </c>
      <c r="U163" s="1327">
        <v>60000000</v>
      </c>
      <c r="V163" s="1327">
        <v>25400000</v>
      </c>
      <c r="W163" s="1327"/>
    </row>
    <row r="164" spans="1:23" s="1204" customFormat="1" ht="90" hidden="1" x14ac:dyDescent="0.2">
      <c r="A164" s="1169">
        <v>2022169</v>
      </c>
      <c r="B164" s="1169">
        <v>7655</v>
      </c>
      <c r="C164" s="1326" t="s">
        <v>648</v>
      </c>
      <c r="D164" s="1187" t="s">
        <v>696</v>
      </c>
      <c r="E164" s="1171">
        <v>80111600</v>
      </c>
      <c r="F164" s="1349" t="s">
        <v>860</v>
      </c>
      <c r="G164" s="1343">
        <v>44562</v>
      </c>
      <c r="H164" s="1343">
        <v>44592</v>
      </c>
      <c r="I164" s="1173">
        <v>11</v>
      </c>
      <c r="J164" s="1173" t="s">
        <v>677</v>
      </c>
      <c r="K164" s="1174" t="s">
        <v>678</v>
      </c>
      <c r="L164" s="1175" t="s">
        <v>679</v>
      </c>
      <c r="M164" s="1176">
        <f>34155000-11385000-1035000</f>
        <v>21735000</v>
      </c>
      <c r="N164" s="1344" t="s">
        <v>784</v>
      </c>
      <c r="O164" s="1171" t="s">
        <v>771</v>
      </c>
      <c r="P164" s="1350" t="s">
        <v>682</v>
      </c>
      <c r="Q164" s="1160"/>
      <c r="R164" s="1266">
        <v>36850000</v>
      </c>
      <c r="S164" s="1327">
        <v>36850000</v>
      </c>
      <c r="T164" s="1327">
        <f>+'PAA V30'!$R164-'PAA V30'!$S164</f>
        <v>0</v>
      </c>
      <c r="U164" s="1327">
        <v>36850000</v>
      </c>
      <c r="V164" s="1327">
        <v>14181667</v>
      </c>
      <c r="W164" s="1327"/>
    </row>
    <row r="165" spans="1:23" s="1204" customFormat="1" ht="75" hidden="1" x14ac:dyDescent="0.2">
      <c r="A165" s="1169">
        <v>2022170</v>
      </c>
      <c r="B165" s="1169">
        <v>7655</v>
      </c>
      <c r="C165" s="1326" t="s">
        <v>648</v>
      </c>
      <c r="D165" s="1187" t="s">
        <v>696</v>
      </c>
      <c r="E165" s="1171">
        <v>80111600</v>
      </c>
      <c r="F165" s="1349" t="s">
        <v>863</v>
      </c>
      <c r="G165" s="1343">
        <v>44562</v>
      </c>
      <c r="H165" s="1343">
        <v>44592</v>
      </c>
      <c r="I165" s="1173">
        <v>6</v>
      </c>
      <c r="J165" s="1173" t="s">
        <v>677</v>
      </c>
      <c r="K165" s="1174" t="s">
        <v>678</v>
      </c>
      <c r="L165" s="1175" t="s">
        <v>679</v>
      </c>
      <c r="M165" s="1176">
        <v>26082000</v>
      </c>
      <c r="N165" s="1344" t="s">
        <v>784</v>
      </c>
      <c r="O165" s="1171" t="s">
        <v>771</v>
      </c>
      <c r="P165" s="1350" t="s">
        <v>682</v>
      </c>
      <c r="Q165" s="1160"/>
      <c r="R165" s="1266">
        <v>26082000</v>
      </c>
      <c r="S165" s="1327">
        <v>26082000</v>
      </c>
      <c r="T165" s="1327">
        <f>+'PAA V30'!$R165-'PAA V30'!$S165</f>
        <v>0</v>
      </c>
      <c r="U165" s="1327">
        <v>26082000</v>
      </c>
      <c r="V165" s="1327">
        <v>18257400</v>
      </c>
      <c r="W165" s="1327"/>
    </row>
    <row r="166" spans="1:23" s="1204" customFormat="1" ht="75" hidden="1" x14ac:dyDescent="0.2">
      <c r="A166" s="1169">
        <v>2022171</v>
      </c>
      <c r="B166" s="1169">
        <v>7655</v>
      </c>
      <c r="C166" s="1326" t="s">
        <v>648</v>
      </c>
      <c r="D166" s="1187" t="s">
        <v>696</v>
      </c>
      <c r="E166" s="1171">
        <v>80111600</v>
      </c>
      <c r="F166" s="1349" t="s">
        <v>865</v>
      </c>
      <c r="G166" s="1343">
        <v>44562</v>
      </c>
      <c r="H166" s="1343">
        <v>44592</v>
      </c>
      <c r="I166" s="1173">
        <v>7</v>
      </c>
      <c r="J166" s="1173" t="s">
        <v>677</v>
      </c>
      <c r="K166" s="1174" t="s">
        <v>678</v>
      </c>
      <c r="L166" s="1175" t="s">
        <v>679</v>
      </c>
      <c r="M166" s="1176">
        <v>36225000</v>
      </c>
      <c r="N166" s="1344" t="s">
        <v>784</v>
      </c>
      <c r="O166" s="1171" t="s">
        <v>771</v>
      </c>
      <c r="P166" s="1350" t="s">
        <v>682</v>
      </c>
      <c r="Q166" s="1160"/>
      <c r="R166" s="1266">
        <v>36225000</v>
      </c>
      <c r="S166" s="1327">
        <v>36225000</v>
      </c>
      <c r="T166" s="1327">
        <f>+'PAA V30'!$R166-'PAA V30'!$S166</f>
        <v>0</v>
      </c>
      <c r="U166" s="1327">
        <v>36225000</v>
      </c>
      <c r="V166" s="1327">
        <v>18975000</v>
      </c>
      <c r="W166" s="1327"/>
    </row>
    <row r="167" spans="1:23" s="1204" customFormat="1" ht="75" hidden="1" x14ac:dyDescent="0.2">
      <c r="A167" s="1169">
        <v>2022172</v>
      </c>
      <c r="B167" s="1169">
        <v>7655</v>
      </c>
      <c r="C167" s="1326" t="s">
        <v>648</v>
      </c>
      <c r="D167" s="1187" t="s">
        <v>696</v>
      </c>
      <c r="E167" s="1171">
        <v>80111600</v>
      </c>
      <c r="F167" s="1349" t="s">
        <v>862</v>
      </c>
      <c r="G167" s="1343">
        <v>44562</v>
      </c>
      <c r="H167" s="1343">
        <v>44592</v>
      </c>
      <c r="I167" s="1173">
        <v>7</v>
      </c>
      <c r="J167" s="1173" t="s">
        <v>677</v>
      </c>
      <c r="K167" s="1174" t="s">
        <v>678</v>
      </c>
      <c r="L167" s="1175" t="s">
        <v>679</v>
      </c>
      <c r="M167" s="1176">
        <v>36225000</v>
      </c>
      <c r="N167" s="1344" t="s">
        <v>784</v>
      </c>
      <c r="O167" s="1171" t="s">
        <v>771</v>
      </c>
      <c r="P167" s="1350" t="s">
        <v>682</v>
      </c>
      <c r="Q167" s="1160"/>
      <c r="R167" s="1266">
        <v>36225000</v>
      </c>
      <c r="S167" s="1327">
        <v>36225000</v>
      </c>
      <c r="T167" s="1327">
        <f>+'PAA V30'!$R167-'PAA V30'!$S167</f>
        <v>0</v>
      </c>
      <c r="U167" s="1327">
        <v>36225000</v>
      </c>
      <c r="V167" s="1327">
        <v>20700000</v>
      </c>
      <c r="W167" s="1327"/>
    </row>
    <row r="168" spans="1:23" s="1204" customFormat="1" ht="75" hidden="1" x14ac:dyDescent="0.2">
      <c r="A168" s="1169">
        <v>2022173</v>
      </c>
      <c r="B168" s="1169">
        <v>7655</v>
      </c>
      <c r="C168" s="1326" t="s">
        <v>648</v>
      </c>
      <c r="D168" s="1187" t="s">
        <v>696</v>
      </c>
      <c r="E168" s="1171">
        <v>80111600</v>
      </c>
      <c r="F168" s="1349" t="s">
        <v>866</v>
      </c>
      <c r="G168" s="1343">
        <v>44562</v>
      </c>
      <c r="H168" s="1343">
        <v>44592</v>
      </c>
      <c r="I168" s="1173">
        <v>6</v>
      </c>
      <c r="J168" s="1173" t="s">
        <v>677</v>
      </c>
      <c r="K168" s="1174" t="s">
        <v>678</v>
      </c>
      <c r="L168" s="1175" t="s">
        <v>679</v>
      </c>
      <c r="M168" s="1176">
        <f>12000000-1800000</f>
        <v>10200000</v>
      </c>
      <c r="N168" s="1344" t="s">
        <v>784</v>
      </c>
      <c r="O168" s="1171" t="s">
        <v>771</v>
      </c>
      <c r="P168" s="1350" t="s">
        <v>682</v>
      </c>
      <c r="Q168" s="1160"/>
      <c r="R168" s="1266">
        <v>10200000</v>
      </c>
      <c r="S168" s="1327">
        <v>10200000</v>
      </c>
      <c r="T168" s="1327">
        <f>+'PAA V30'!$R168-'PAA V30'!$S168</f>
        <v>0</v>
      </c>
      <c r="U168" s="1327">
        <v>10200000</v>
      </c>
      <c r="V168" s="1327">
        <v>6800000</v>
      </c>
      <c r="W168" s="1327"/>
    </row>
    <row r="169" spans="1:23" s="1204" customFormat="1" ht="75" hidden="1" x14ac:dyDescent="0.2">
      <c r="A169" s="1169">
        <v>2022174</v>
      </c>
      <c r="B169" s="1169">
        <v>7655</v>
      </c>
      <c r="C169" s="1326" t="s">
        <v>648</v>
      </c>
      <c r="D169" s="1187" t="s">
        <v>696</v>
      </c>
      <c r="E169" s="1171">
        <v>80111600</v>
      </c>
      <c r="F169" s="1171" t="s">
        <v>867</v>
      </c>
      <c r="G169" s="1343">
        <v>44562</v>
      </c>
      <c r="H169" s="1343">
        <v>44773</v>
      </c>
      <c r="I169" s="1173">
        <v>5</v>
      </c>
      <c r="J169" s="1173" t="s">
        <v>677</v>
      </c>
      <c r="K169" s="1174" t="s">
        <v>678</v>
      </c>
      <c r="L169" s="1175" t="s">
        <v>679</v>
      </c>
      <c r="M169" s="1176">
        <f>282051000-25000000-7350000-17388000-6800000+1407535-15940000-7350000-10798333-5100000-29200000-16560000-18457500-10143000-20400000-18112500-17325000+11200000+2587500+5100000-550000-20700000-6520500+17325000+10200000+13041000+13282500+10200000+1035000+43826667+21324000+1800000+5100000-12916800-14055300-20010000-15007500-15750633-14055300-7700000-10867500-6520500-17850000-16509700-13400000-13041000+14490000+10200000-15300000-13260000-4078700-47667-104769</f>
        <v>0</v>
      </c>
      <c r="N169" s="1344" t="s">
        <v>784</v>
      </c>
      <c r="O169" s="1171" t="s">
        <v>771</v>
      </c>
      <c r="P169" s="1267" t="s">
        <v>682</v>
      </c>
      <c r="Q169" s="1160"/>
      <c r="R169" s="1266">
        <v>0</v>
      </c>
      <c r="S169" s="1327"/>
      <c r="T169" s="1327">
        <f>+'PAA V30'!$R169-'PAA V30'!$S169</f>
        <v>0</v>
      </c>
      <c r="U169" s="1327"/>
      <c r="V169" s="1327"/>
      <c r="W169" s="1327"/>
    </row>
    <row r="170" spans="1:23" s="1204" customFormat="1" ht="75" x14ac:dyDescent="0.2">
      <c r="A170" s="1169">
        <v>2022175</v>
      </c>
      <c r="B170" s="1169">
        <v>7655</v>
      </c>
      <c r="C170" s="1326" t="s">
        <v>648</v>
      </c>
      <c r="D170" s="1187" t="s">
        <v>702</v>
      </c>
      <c r="E170" s="1171">
        <v>80111600</v>
      </c>
      <c r="F170" s="1349" t="s">
        <v>868</v>
      </c>
      <c r="G170" s="1343">
        <v>44747</v>
      </c>
      <c r="H170" s="1343">
        <v>44835</v>
      </c>
      <c r="I170" s="1173">
        <v>5</v>
      </c>
      <c r="J170" s="1173" t="s">
        <v>677</v>
      </c>
      <c r="K170" s="1174" t="s">
        <v>678</v>
      </c>
      <c r="L170" s="1175" t="s">
        <v>679</v>
      </c>
      <c r="M170" s="1176">
        <f>1000000000-61500000-18000000-5000000+18000000+881702+3500000+104769+14000000+53000+3563333+1235000+2820334-7650000-3042900-2466967-7021367-8159967-10350000-14000000-24000000-141157165-135450000-201925999-76531667-53667553-8950000-15000000-167350000-11592000-6125000-9156667-9466667-13800000-14352000-7245000-10099000</f>
        <v>1098219</v>
      </c>
      <c r="N170" s="1344" t="s">
        <v>785</v>
      </c>
      <c r="O170" s="1171" t="s">
        <v>771</v>
      </c>
      <c r="P170" s="1267" t="s">
        <v>682</v>
      </c>
      <c r="Q170" s="1160"/>
      <c r="R170" s="1266">
        <v>0</v>
      </c>
      <c r="S170" s="1327"/>
      <c r="T170" s="1327">
        <f>+'PAA V30'!$R170-'PAA V30'!$S170</f>
        <v>0</v>
      </c>
      <c r="U170" s="1327"/>
      <c r="V170" s="1327"/>
      <c r="W170" s="1327"/>
    </row>
    <row r="171" spans="1:23" s="1204" customFormat="1" ht="75" hidden="1" x14ac:dyDescent="0.2">
      <c r="A171" s="1169">
        <v>2022177</v>
      </c>
      <c r="B171" s="1169">
        <v>7655</v>
      </c>
      <c r="C171" s="1326" t="s">
        <v>648</v>
      </c>
      <c r="D171" s="1187" t="s">
        <v>699</v>
      </c>
      <c r="E171" s="1171">
        <v>80111600</v>
      </c>
      <c r="F171" s="1349" t="s">
        <v>869</v>
      </c>
      <c r="G171" s="1343">
        <v>44562</v>
      </c>
      <c r="H171" s="1343">
        <v>44620</v>
      </c>
      <c r="I171" s="1173">
        <v>11</v>
      </c>
      <c r="J171" s="1173" t="s">
        <v>677</v>
      </c>
      <c r="K171" s="1174" t="s">
        <v>678</v>
      </c>
      <c r="L171" s="1175" t="s">
        <v>679</v>
      </c>
      <c r="M171" s="1176">
        <f>80000000-14450000-2850000</f>
        <v>62700000</v>
      </c>
      <c r="N171" s="1344" t="s">
        <v>784</v>
      </c>
      <c r="O171" s="1171" t="s">
        <v>771</v>
      </c>
      <c r="P171" s="1350" t="s">
        <v>682</v>
      </c>
      <c r="Q171" s="1160"/>
      <c r="R171" s="1266">
        <v>62700000</v>
      </c>
      <c r="S171" s="1327">
        <v>62700000</v>
      </c>
      <c r="T171" s="1327">
        <f>+'PAA V30'!$R171-'PAA V30'!$S171</f>
        <v>0</v>
      </c>
      <c r="U171" s="1327">
        <v>62700000</v>
      </c>
      <c r="V171" s="1327">
        <v>22990000</v>
      </c>
      <c r="W171" s="1327"/>
    </row>
    <row r="172" spans="1:23" s="1204" customFormat="1" ht="75" hidden="1" x14ac:dyDescent="0.2">
      <c r="A172" s="1169">
        <v>2022178</v>
      </c>
      <c r="B172" s="1169">
        <v>7655</v>
      </c>
      <c r="C172" s="1326" t="s">
        <v>648</v>
      </c>
      <c r="D172" s="1187" t="s">
        <v>693</v>
      </c>
      <c r="E172" s="1171">
        <v>80111600</v>
      </c>
      <c r="F172" s="1349" t="s">
        <v>870</v>
      </c>
      <c r="G172" s="1343">
        <v>44562</v>
      </c>
      <c r="H172" s="1343">
        <v>44620</v>
      </c>
      <c r="I172" s="1173">
        <v>10</v>
      </c>
      <c r="J172" s="1173" t="s">
        <v>677</v>
      </c>
      <c r="K172" s="1174" t="s">
        <v>678</v>
      </c>
      <c r="L172" s="1175" t="s">
        <v>679</v>
      </c>
      <c r="M172" s="1176">
        <f>80000000+10000000+4250000+1750000-10000000-6000000</f>
        <v>80000000</v>
      </c>
      <c r="N172" s="1344" t="s">
        <v>784</v>
      </c>
      <c r="O172" s="1171" t="s">
        <v>771</v>
      </c>
      <c r="P172" s="1350" t="s">
        <v>682</v>
      </c>
      <c r="Q172" s="1160"/>
      <c r="R172" s="1266">
        <v>80000000</v>
      </c>
      <c r="S172" s="1327">
        <v>80000000</v>
      </c>
      <c r="T172" s="1327">
        <f>+'PAA V30'!$R172-'PAA V30'!$S172</f>
        <v>0</v>
      </c>
      <c r="U172" s="1327">
        <v>80000000</v>
      </c>
      <c r="V172" s="1327">
        <v>35733333</v>
      </c>
      <c r="W172" s="1327"/>
    </row>
    <row r="173" spans="1:23" s="1204" customFormat="1" ht="75" hidden="1" x14ac:dyDescent="0.2">
      <c r="A173" s="1169">
        <v>2022179</v>
      </c>
      <c r="B173" s="1169">
        <v>7655</v>
      </c>
      <c r="C173" s="1326" t="s">
        <v>648</v>
      </c>
      <c r="D173" s="1187" t="s">
        <v>686</v>
      </c>
      <c r="E173" s="1171">
        <v>80111600</v>
      </c>
      <c r="F173" s="1349" t="s">
        <v>871</v>
      </c>
      <c r="G173" s="1343">
        <v>44562</v>
      </c>
      <c r="H173" s="1343">
        <v>44592</v>
      </c>
      <c r="I173" s="1173">
        <v>12</v>
      </c>
      <c r="J173" s="1173" t="s">
        <v>677</v>
      </c>
      <c r="K173" s="1174" t="s">
        <v>678</v>
      </c>
      <c r="L173" s="1175" t="s">
        <v>679</v>
      </c>
      <c r="M173" s="1176">
        <f>39371000-13123664</f>
        <v>26247336</v>
      </c>
      <c r="N173" s="1344" t="s">
        <v>784</v>
      </c>
      <c r="O173" s="1171" t="s">
        <v>771</v>
      </c>
      <c r="P173" s="1350" t="s">
        <v>682</v>
      </c>
      <c r="Q173" s="1160"/>
      <c r="R173" s="1266">
        <v>26247328</v>
      </c>
      <c r="S173" s="1327">
        <v>26247328</v>
      </c>
      <c r="T173" s="1327">
        <f>+'PAA V30'!$R173-'PAA V30'!$S173</f>
        <v>0</v>
      </c>
      <c r="U173" s="1327">
        <v>26247328</v>
      </c>
      <c r="V173" s="1327">
        <v>14545394</v>
      </c>
      <c r="W173" s="1327"/>
    </row>
    <row r="174" spans="1:23" s="1204" customFormat="1" ht="75" hidden="1" x14ac:dyDescent="0.2">
      <c r="A174" s="1169">
        <v>2022180</v>
      </c>
      <c r="B174" s="1169">
        <v>7655</v>
      </c>
      <c r="C174" s="1326" t="s">
        <v>648</v>
      </c>
      <c r="D174" s="1187" t="s">
        <v>686</v>
      </c>
      <c r="E174" s="1171">
        <v>80111600</v>
      </c>
      <c r="F174" s="1349" t="s">
        <v>872</v>
      </c>
      <c r="G174" s="1343">
        <v>44562</v>
      </c>
      <c r="H174" s="1343">
        <v>44592</v>
      </c>
      <c r="I174" s="1173">
        <v>12</v>
      </c>
      <c r="J174" s="1173" t="s">
        <v>677</v>
      </c>
      <c r="K174" s="1174" t="s">
        <v>678</v>
      </c>
      <c r="L174" s="1175" t="s">
        <v>679</v>
      </c>
      <c r="M174" s="1176">
        <f>45697000-15232332</f>
        <v>30464668</v>
      </c>
      <c r="N174" s="1344" t="s">
        <v>784</v>
      </c>
      <c r="O174" s="1171" t="s">
        <v>771</v>
      </c>
      <c r="P174" s="1350" t="s">
        <v>682</v>
      </c>
      <c r="Q174" s="1160"/>
      <c r="R174" s="1266">
        <v>30464664</v>
      </c>
      <c r="S174" s="1327">
        <v>30464664</v>
      </c>
      <c r="T174" s="1327">
        <f>+'PAA V30'!$R174-'PAA V30'!$S174</f>
        <v>0</v>
      </c>
      <c r="U174" s="1327">
        <v>30464664</v>
      </c>
      <c r="V174" s="1327">
        <v>16882501</v>
      </c>
      <c r="W174" s="1327"/>
    </row>
    <row r="175" spans="1:23" s="1204" customFormat="1" ht="75" hidden="1" x14ac:dyDescent="0.2">
      <c r="A175" s="1169">
        <v>2022181</v>
      </c>
      <c r="B175" s="1169">
        <v>7655</v>
      </c>
      <c r="C175" s="1326" t="s">
        <v>648</v>
      </c>
      <c r="D175" s="1187" t="s">
        <v>686</v>
      </c>
      <c r="E175" s="1171">
        <v>80111600</v>
      </c>
      <c r="F175" s="1349" t="s">
        <v>872</v>
      </c>
      <c r="G175" s="1343">
        <v>44562</v>
      </c>
      <c r="H175" s="1343">
        <v>44592</v>
      </c>
      <c r="I175" s="1173">
        <v>12</v>
      </c>
      <c r="J175" s="1173" t="s">
        <v>677</v>
      </c>
      <c r="K175" s="1174" t="s">
        <v>678</v>
      </c>
      <c r="L175" s="1175" t="s">
        <v>679</v>
      </c>
      <c r="M175" s="1176">
        <f>79351000-26450332</f>
        <v>52900668</v>
      </c>
      <c r="N175" s="1344" t="s">
        <v>784</v>
      </c>
      <c r="O175" s="1171" t="s">
        <v>771</v>
      </c>
      <c r="P175" s="1350" t="s">
        <v>682</v>
      </c>
      <c r="Q175" s="1160"/>
      <c r="R175" s="1266">
        <v>52900664</v>
      </c>
      <c r="S175" s="1327">
        <v>52900664</v>
      </c>
      <c r="T175" s="1327">
        <f>+'PAA V30'!$R175-'PAA V30'!$S175</f>
        <v>0</v>
      </c>
      <c r="U175" s="1327">
        <v>52900664</v>
      </c>
      <c r="V175" s="1327">
        <v>29315785</v>
      </c>
      <c r="W175" s="1327"/>
    </row>
    <row r="176" spans="1:23" s="1204" customFormat="1" ht="75" hidden="1" x14ac:dyDescent="0.2">
      <c r="A176" s="1169">
        <v>2022182</v>
      </c>
      <c r="B176" s="1169">
        <v>7655</v>
      </c>
      <c r="C176" s="1326" t="s">
        <v>648</v>
      </c>
      <c r="D176" s="1187" t="s">
        <v>686</v>
      </c>
      <c r="E176" s="1171">
        <v>80111600</v>
      </c>
      <c r="F176" s="1349" t="s">
        <v>872</v>
      </c>
      <c r="G176" s="1343">
        <v>44562</v>
      </c>
      <c r="H176" s="1343">
        <v>44592</v>
      </c>
      <c r="I176" s="1173">
        <v>12</v>
      </c>
      <c r="J176" s="1173" t="s">
        <v>677</v>
      </c>
      <c r="K176" s="1174" t="s">
        <v>678</v>
      </c>
      <c r="L176" s="1175" t="s">
        <v>679</v>
      </c>
      <c r="M176" s="1176">
        <f>79351000-22482782-3085872-881702</f>
        <v>52900644</v>
      </c>
      <c r="N176" s="1344" t="s">
        <v>784</v>
      </c>
      <c r="O176" s="1171" t="s">
        <v>771</v>
      </c>
      <c r="P176" s="1267" t="s">
        <v>682</v>
      </c>
      <c r="Q176" s="1160"/>
      <c r="R176" s="1266">
        <v>52900664</v>
      </c>
      <c r="S176" s="1327">
        <v>52900664</v>
      </c>
      <c r="T176" s="1327">
        <f>+'PAA V30'!$R176-'PAA V30'!$S176</f>
        <v>0</v>
      </c>
      <c r="U176" s="1327">
        <v>52900664</v>
      </c>
      <c r="V176" s="1327">
        <v>29315785</v>
      </c>
      <c r="W176" s="1327"/>
    </row>
    <row r="177" spans="1:23" s="1204" customFormat="1" ht="75" hidden="1" x14ac:dyDescent="0.2">
      <c r="A177" s="1169">
        <v>2022183</v>
      </c>
      <c r="B177" s="1169">
        <v>7655</v>
      </c>
      <c r="C177" s="1326" t="s">
        <v>648</v>
      </c>
      <c r="D177" s="1187" t="s">
        <v>686</v>
      </c>
      <c r="E177" s="1171">
        <v>80111600</v>
      </c>
      <c r="F177" s="1349" t="s">
        <v>872</v>
      </c>
      <c r="G177" s="1343">
        <v>44562</v>
      </c>
      <c r="H177" s="1343">
        <v>44592</v>
      </c>
      <c r="I177" s="1173">
        <v>12</v>
      </c>
      <c r="J177" s="1173" t="s">
        <v>677</v>
      </c>
      <c r="K177" s="1174" t="s">
        <v>678</v>
      </c>
      <c r="L177" s="1175" t="s">
        <v>679</v>
      </c>
      <c r="M177" s="1176">
        <f>79351000-26450332</f>
        <v>52900668</v>
      </c>
      <c r="N177" s="1344" t="s">
        <v>784</v>
      </c>
      <c r="O177" s="1171" t="s">
        <v>771</v>
      </c>
      <c r="P177" s="1350" t="s">
        <v>682</v>
      </c>
      <c r="Q177" s="1160"/>
      <c r="R177" s="1266">
        <v>52900664</v>
      </c>
      <c r="S177" s="1327">
        <v>52900664</v>
      </c>
      <c r="T177" s="1327">
        <f>+'PAA V30'!$R177-'PAA V30'!$S177</f>
        <v>0</v>
      </c>
      <c r="U177" s="1327">
        <v>52900664</v>
      </c>
      <c r="V177" s="1327">
        <v>29315785</v>
      </c>
      <c r="W177" s="1327"/>
    </row>
    <row r="178" spans="1:23" s="1204" customFormat="1" ht="75" hidden="1" x14ac:dyDescent="0.2">
      <c r="A178" s="1169">
        <v>2022184</v>
      </c>
      <c r="B178" s="1169">
        <v>7655</v>
      </c>
      <c r="C178" s="1326" t="s">
        <v>648</v>
      </c>
      <c r="D178" s="1187" t="s">
        <v>683</v>
      </c>
      <c r="E178" s="1171">
        <v>80111600</v>
      </c>
      <c r="F178" s="1349" t="s">
        <v>873</v>
      </c>
      <c r="G178" s="1343">
        <v>44566</v>
      </c>
      <c r="H178" s="1343">
        <v>44568</v>
      </c>
      <c r="I178" s="1173">
        <v>11.5</v>
      </c>
      <c r="J178" s="1173" t="s">
        <v>677</v>
      </c>
      <c r="K178" s="1174" t="s">
        <v>678</v>
      </c>
      <c r="L178" s="1175" t="s">
        <v>783</v>
      </c>
      <c r="M178" s="1176">
        <f>106950000-32830000</f>
        <v>74120000</v>
      </c>
      <c r="N178" s="1344" t="s">
        <v>784</v>
      </c>
      <c r="O178" s="1171" t="s">
        <v>771</v>
      </c>
      <c r="P178" s="1350" t="s">
        <v>682</v>
      </c>
      <c r="Q178" s="1160"/>
      <c r="R178" s="1266">
        <v>106950000</v>
      </c>
      <c r="S178" s="1327">
        <v>106950000</v>
      </c>
      <c r="T178" s="1327">
        <f>+'PAA V30'!$R178-'PAA V30'!$S178</f>
        <v>0</v>
      </c>
      <c r="U178" s="1327">
        <v>106950000</v>
      </c>
      <c r="V178" s="1327">
        <v>43400000</v>
      </c>
      <c r="W178" s="1327"/>
    </row>
    <row r="179" spans="1:23" s="1204" customFormat="1" ht="75" hidden="1" x14ac:dyDescent="0.2">
      <c r="A179" s="1169">
        <v>2022185</v>
      </c>
      <c r="B179" s="1169">
        <v>7655</v>
      </c>
      <c r="C179" s="1326" t="s">
        <v>648</v>
      </c>
      <c r="D179" s="1187" t="s">
        <v>683</v>
      </c>
      <c r="E179" s="1171">
        <v>80111600</v>
      </c>
      <c r="F179" s="1349" t="s">
        <v>874</v>
      </c>
      <c r="G179" s="1343">
        <v>44566</v>
      </c>
      <c r="H179" s="1343">
        <v>44568</v>
      </c>
      <c r="I179" s="1173">
        <v>11.5</v>
      </c>
      <c r="J179" s="1173" t="s">
        <v>677</v>
      </c>
      <c r="K179" s="1174" t="s">
        <v>678</v>
      </c>
      <c r="L179" s="1175" t="s">
        <v>783</v>
      </c>
      <c r="M179" s="1176">
        <v>78200000</v>
      </c>
      <c r="N179" s="1344" t="s">
        <v>784</v>
      </c>
      <c r="O179" s="1171" t="s">
        <v>771</v>
      </c>
      <c r="P179" s="1350" t="s">
        <v>682</v>
      </c>
      <c r="Q179" s="1160"/>
      <c r="R179" s="1266">
        <v>78200000</v>
      </c>
      <c r="S179" s="1327">
        <v>78200000</v>
      </c>
      <c r="T179" s="1327">
        <f>+'PAA V30'!$R179-'PAA V30'!$S179</f>
        <v>0</v>
      </c>
      <c r="U179" s="1327">
        <v>78200000</v>
      </c>
      <c r="V179" s="1327">
        <v>27200000</v>
      </c>
      <c r="W179" s="1327"/>
    </row>
    <row r="180" spans="1:23" s="1204" customFormat="1" ht="75" hidden="1" x14ac:dyDescent="0.2">
      <c r="A180" s="1169">
        <v>2022186</v>
      </c>
      <c r="B180" s="1169">
        <v>7655</v>
      </c>
      <c r="C180" s="1326" t="s">
        <v>648</v>
      </c>
      <c r="D180" s="1187" t="s">
        <v>683</v>
      </c>
      <c r="E180" s="1171">
        <v>80111600</v>
      </c>
      <c r="F180" s="1349" t="s">
        <v>875</v>
      </c>
      <c r="G180" s="1343">
        <v>44566</v>
      </c>
      <c r="H180" s="1343">
        <v>44568</v>
      </c>
      <c r="I180" s="1173">
        <v>11.5</v>
      </c>
      <c r="J180" s="1173" t="s">
        <v>677</v>
      </c>
      <c r="K180" s="1174" t="s">
        <v>678</v>
      </c>
      <c r="L180" s="1175" t="s">
        <v>783</v>
      </c>
      <c r="M180" s="1176">
        <f>92000000+61500000-25666667-20166667+14450000-10710000-13500000-11550000-27436334</f>
        <v>58920332</v>
      </c>
      <c r="N180" s="1344" t="s">
        <v>784</v>
      </c>
      <c r="O180" s="1171" t="s">
        <v>771</v>
      </c>
      <c r="P180" s="1350" t="s">
        <v>682</v>
      </c>
      <c r="Q180" s="1160"/>
      <c r="R180" s="1266">
        <v>92000000</v>
      </c>
      <c r="S180" s="1327">
        <v>92000000</v>
      </c>
      <c r="T180" s="1327">
        <f>+'PAA V30'!$R180-'PAA V30'!$S180</f>
        <v>0</v>
      </c>
      <c r="U180" s="1327">
        <v>92000000</v>
      </c>
      <c r="V180" s="1327">
        <v>37333333</v>
      </c>
      <c r="W180" s="1327"/>
    </row>
    <row r="181" spans="1:23" s="1204" customFormat="1" ht="75" hidden="1" x14ac:dyDescent="0.2">
      <c r="A181" s="1169">
        <v>2022187</v>
      </c>
      <c r="B181" s="1169">
        <v>7655</v>
      </c>
      <c r="C181" s="1326" t="s">
        <v>648</v>
      </c>
      <c r="D181" s="1187" t="s">
        <v>683</v>
      </c>
      <c r="E181" s="1171">
        <v>80111600</v>
      </c>
      <c r="F181" s="1349" t="s">
        <v>876</v>
      </c>
      <c r="G181" s="1343">
        <v>44566</v>
      </c>
      <c r="H181" s="1343">
        <v>44568</v>
      </c>
      <c r="I181" s="1173">
        <v>11.5</v>
      </c>
      <c r="J181" s="1173" t="s">
        <v>677</v>
      </c>
      <c r="K181" s="1174" t="s">
        <v>678</v>
      </c>
      <c r="L181" s="1175" t="s">
        <v>679</v>
      </c>
      <c r="M181" s="1176">
        <v>80500000</v>
      </c>
      <c r="N181" s="1344" t="s">
        <v>784</v>
      </c>
      <c r="O181" s="1171" t="s">
        <v>771</v>
      </c>
      <c r="P181" s="1350" t="s">
        <v>682</v>
      </c>
      <c r="Q181" s="1160"/>
      <c r="R181" s="1266">
        <v>80500000</v>
      </c>
      <c r="S181" s="1327">
        <v>80500000</v>
      </c>
      <c r="T181" s="1327">
        <f>+'PAA V30'!$R181-'PAA V30'!$S181</f>
        <v>0</v>
      </c>
      <c r="U181" s="1327">
        <v>80500000</v>
      </c>
      <c r="V181" s="1327">
        <v>31966667</v>
      </c>
      <c r="W181" s="1327"/>
    </row>
    <row r="182" spans="1:23" s="1204" customFormat="1" ht="75" hidden="1" x14ac:dyDescent="0.2">
      <c r="A182" s="1169">
        <v>2022188</v>
      </c>
      <c r="B182" s="1169">
        <v>7655</v>
      </c>
      <c r="C182" s="1326" t="s">
        <v>648</v>
      </c>
      <c r="D182" s="1187" t="s">
        <v>683</v>
      </c>
      <c r="E182" s="1171">
        <v>80111600</v>
      </c>
      <c r="F182" s="1349" t="s">
        <v>877</v>
      </c>
      <c r="G182" s="1343">
        <v>44566</v>
      </c>
      <c r="H182" s="1343">
        <v>44568</v>
      </c>
      <c r="I182" s="1173">
        <v>11.5</v>
      </c>
      <c r="J182" s="1173" t="s">
        <v>677</v>
      </c>
      <c r="K182" s="1174" t="s">
        <v>678</v>
      </c>
      <c r="L182" s="1175" t="s">
        <v>783</v>
      </c>
      <c r="M182" s="1176">
        <v>87975000</v>
      </c>
      <c r="N182" s="1344" t="s">
        <v>784</v>
      </c>
      <c r="O182" s="1171" t="s">
        <v>771</v>
      </c>
      <c r="P182" s="1350" t="s">
        <v>682</v>
      </c>
      <c r="Q182" s="1160"/>
      <c r="R182" s="1266">
        <v>87975000</v>
      </c>
      <c r="S182" s="1327">
        <v>87975000</v>
      </c>
      <c r="T182" s="1327">
        <f>+'PAA V30'!$R182-'PAA V30'!$S182</f>
        <v>0</v>
      </c>
      <c r="U182" s="1327">
        <v>87975000</v>
      </c>
      <c r="V182" s="1327">
        <v>35190000</v>
      </c>
      <c r="W182" s="1327"/>
    </row>
    <row r="183" spans="1:23" s="1204" customFormat="1" ht="75" hidden="1" x14ac:dyDescent="0.2">
      <c r="A183" s="1169">
        <v>2022189</v>
      </c>
      <c r="B183" s="1169">
        <v>7655</v>
      </c>
      <c r="C183" s="1326" t="s">
        <v>648</v>
      </c>
      <c r="D183" s="1187" t="s">
        <v>683</v>
      </c>
      <c r="E183" s="1171">
        <v>80111600</v>
      </c>
      <c r="F183" s="1349" t="s">
        <v>877</v>
      </c>
      <c r="G183" s="1343">
        <v>44566</v>
      </c>
      <c r="H183" s="1343">
        <v>44568</v>
      </c>
      <c r="I183" s="1173">
        <v>11.5</v>
      </c>
      <c r="J183" s="1173" t="s">
        <v>677</v>
      </c>
      <c r="K183" s="1174" t="s">
        <v>678</v>
      </c>
      <c r="L183" s="1175" t="s">
        <v>783</v>
      </c>
      <c r="M183" s="1176">
        <f>87975000-5355000</f>
        <v>82620000</v>
      </c>
      <c r="N183" s="1344" t="s">
        <v>784</v>
      </c>
      <c r="O183" s="1171" t="s">
        <v>771</v>
      </c>
      <c r="P183" s="1267" t="s">
        <v>682</v>
      </c>
      <c r="Q183" s="1160"/>
      <c r="R183" s="1266">
        <v>87975000</v>
      </c>
      <c r="S183" s="1327">
        <v>87975000</v>
      </c>
      <c r="T183" s="1327">
        <f>+'PAA V30'!$R183-'PAA V30'!$S183</f>
        <v>0</v>
      </c>
      <c r="U183" s="1327">
        <v>87975000</v>
      </c>
      <c r="V183" s="1327">
        <v>35700000</v>
      </c>
      <c r="W183" s="1327"/>
    </row>
    <row r="184" spans="1:23" s="1204" customFormat="1" ht="75" hidden="1" x14ac:dyDescent="0.2">
      <c r="A184" s="1169">
        <v>2022190</v>
      </c>
      <c r="B184" s="1169">
        <v>7655</v>
      </c>
      <c r="C184" s="1326" t="s">
        <v>648</v>
      </c>
      <c r="D184" s="1187" t="s">
        <v>683</v>
      </c>
      <c r="E184" s="1171">
        <v>80111600</v>
      </c>
      <c r="F184" s="1349" t="s">
        <v>877</v>
      </c>
      <c r="G184" s="1343">
        <v>44566</v>
      </c>
      <c r="H184" s="1343">
        <v>44568</v>
      </c>
      <c r="I184" s="1173">
        <v>11.5</v>
      </c>
      <c r="J184" s="1173" t="s">
        <v>677</v>
      </c>
      <c r="K184" s="1174" t="s">
        <v>678</v>
      </c>
      <c r="L184" s="1175" t="s">
        <v>783</v>
      </c>
      <c r="M184" s="1176">
        <v>87975000</v>
      </c>
      <c r="N184" s="1344" t="s">
        <v>784</v>
      </c>
      <c r="O184" s="1171" t="s">
        <v>771</v>
      </c>
      <c r="P184" s="1350" t="s">
        <v>682</v>
      </c>
      <c r="Q184" s="1160"/>
      <c r="R184" s="1266">
        <v>87975000</v>
      </c>
      <c r="S184" s="1327">
        <v>87975000</v>
      </c>
      <c r="T184" s="1327">
        <f>+'PAA V30'!$R184-'PAA V30'!$S184</f>
        <v>0</v>
      </c>
      <c r="U184" s="1327">
        <v>87975000</v>
      </c>
      <c r="V184" s="1327">
        <v>35700000</v>
      </c>
      <c r="W184" s="1327"/>
    </row>
    <row r="185" spans="1:23" s="1204" customFormat="1" ht="75" hidden="1" x14ac:dyDescent="0.2">
      <c r="A185" s="1169">
        <v>2022191</v>
      </c>
      <c r="B185" s="1169">
        <v>7655</v>
      </c>
      <c r="C185" s="1326" t="s">
        <v>648</v>
      </c>
      <c r="D185" s="1187" t="s">
        <v>683</v>
      </c>
      <c r="E185" s="1171">
        <v>80111600</v>
      </c>
      <c r="F185" s="1349" t="s">
        <v>877</v>
      </c>
      <c r="G185" s="1343">
        <v>44566</v>
      </c>
      <c r="H185" s="1343">
        <v>44568</v>
      </c>
      <c r="I185" s="1173">
        <v>11.5</v>
      </c>
      <c r="J185" s="1173" t="s">
        <v>677</v>
      </c>
      <c r="K185" s="1174" t="s">
        <v>678</v>
      </c>
      <c r="L185" s="1175" t="s">
        <v>783</v>
      </c>
      <c r="M185" s="1176">
        <v>87975000</v>
      </c>
      <c r="N185" s="1344" t="s">
        <v>784</v>
      </c>
      <c r="O185" s="1171" t="s">
        <v>771</v>
      </c>
      <c r="P185" s="1350" t="s">
        <v>682</v>
      </c>
      <c r="Q185" s="1160"/>
      <c r="R185" s="1266">
        <v>87975000</v>
      </c>
      <c r="S185" s="1327">
        <v>87975000</v>
      </c>
      <c r="T185" s="1327">
        <f>+'PAA V30'!$R185-'PAA V30'!$S185</f>
        <v>0</v>
      </c>
      <c r="U185" s="1327">
        <v>87975000</v>
      </c>
      <c r="V185" s="1327">
        <v>35190000</v>
      </c>
      <c r="W185" s="1327"/>
    </row>
    <row r="186" spans="1:23" s="1204" customFormat="1" ht="75" hidden="1" x14ac:dyDescent="0.2">
      <c r="A186" s="1169">
        <v>2022192</v>
      </c>
      <c r="B186" s="1169">
        <v>7655</v>
      </c>
      <c r="C186" s="1326" t="s">
        <v>648</v>
      </c>
      <c r="D186" s="1187" t="s">
        <v>683</v>
      </c>
      <c r="E186" s="1171">
        <v>80111600</v>
      </c>
      <c r="F186" s="1349" t="s">
        <v>877</v>
      </c>
      <c r="G186" s="1343">
        <v>44566</v>
      </c>
      <c r="H186" s="1343">
        <v>44568</v>
      </c>
      <c r="I186" s="1173">
        <v>11.5</v>
      </c>
      <c r="J186" s="1173" t="s">
        <v>677</v>
      </c>
      <c r="K186" s="1174" t="s">
        <v>678</v>
      </c>
      <c r="L186" s="1175" t="s">
        <v>783</v>
      </c>
      <c r="M186" s="1176">
        <v>87975000</v>
      </c>
      <c r="N186" s="1344" t="s">
        <v>784</v>
      </c>
      <c r="O186" s="1171" t="s">
        <v>771</v>
      </c>
      <c r="P186" s="1350" t="s">
        <v>682</v>
      </c>
      <c r="Q186" s="1160"/>
      <c r="R186" s="1266">
        <v>87975000</v>
      </c>
      <c r="S186" s="1327">
        <v>87975000</v>
      </c>
      <c r="T186" s="1327">
        <f>+'PAA V30'!$R186-'PAA V30'!$S186</f>
        <v>0</v>
      </c>
      <c r="U186" s="1327">
        <v>87975000</v>
      </c>
      <c r="V186" s="1327">
        <v>33660000</v>
      </c>
      <c r="W186" s="1327"/>
    </row>
    <row r="187" spans="1:23" s="1204" customFormat="1" ht="75" hidden="1" x14ac:dyDescent="0.2">
      <c r="A187" s="1169">
        <v>2022193</v>
      </c>
      <c r="B187" s="1169">
        <v>7655</v>
      </c>
      <c r="C187" s="1326" t="s">
        <v>648</v>
      </c>
      <c r="D187" s="1187" t="s">
        <v>683</v>
      </c>
      <c r="E187" s="1171">
        <v>80111600</v>
      </c>
      <c r="F187" s="1349" t="s">
        <v>877</v>
      </c>
      <c r="G187" s="1343">
        <v>44566</v>
      </c>
      <c r="H187" s="1343">
        <v>44568</v>
      </c>
      <c r="I187" s="1173">
        <v>11.5</v>
      </c>
      <c r="J187" s="1173" t="s">
        <v>677</v>
      </c>
      <c r="K187" s="1174" t="s">
        <v>678</v>
      </c>
      <c r="L187" s="1175" t="s">
        <v>783</v>
      </c>
      <c r="M187" s="1176">
        <v>87975000</v>
      </c>
      <c r="N187" s="1344" t="s">
        <v>784</v>
      </c>
      <c r="O187" s="1171" t="s">
        <v>771</v>
      </c>
      <c r="P187" s="1350" t="s">
        <v>682</v>
      </c>
      <c r="Q187" s="1160"/>
      <c r="R187" s="1266">
        <v>87975000</v>
      </c>
      <c r="S187" s="1327">
        <v>87975000</v>
      </c>
      <c r="T187" s="1327">
        <f>+'PAA V30'!$R187-'PAA V30'!$S187</f>
        <v>0</v>
      </c>
      <c r="U187" s="1327">
        <v>87975000</v>
      </c>
      <c r="V187" s="1327">
        <v>35700000</v>
      </c>
      <c r="W187" s="1327"/>
    </row>
    <row r="188" spans="1:23" s="1204" customFormat="1" ht="75" hidden="1" x14ac:dyDescent="0.2">
      <c r="A188" s="1169">
        <v>2022194</v>
      </c>
      <c r="B188" s="1169">
        <v>7655</v>
      </c>
      <c r="C188" s="1326" t="s">
        <v>648</v>
      </c>
      <c r="D188" s="1187" t="s">
        <v>683</v>
      </c>
      <c r="E188" s="1171">
        <v>80111600</v>
      </c>
      <c r="F188" s="1349" t="s">
        <v>878</v>
      </c>
      <c r="G188" s="1343">
        <v>44566</v>
      </c>
      <c r="H188" s="1343">
        <v>44568</v>
      </c>
      <c r="I188" s="1173">
        <v>11.5</v>
      </c>
      <c r="J188" s="1173" t="s">
        <v>677</v>
      </c>
      <c r="K188" s="1174" t="s">
        <v>678</v>
      </c>
      <c r="L188" s="1175" t="s">
        <v>783</v>
      </c>
      <c r="M188" s="1176">
        <v>42642000</v>
      </c>
      <c r="N188" s="1344" t="s">
        <v>784</v>
      </c>
      <c r="O188" s="1171" t="s">
        <v>771</v>
      </c>
      <c r="P188" s="1350" t="s">
        <v>682</v>
      </c>
      <c r="Q188" s="1160"/>
      <c r="R188" s="1266">
        <v>42642000</v>
      </c>
      <c r="S188" s="1327">
        <v>42642000</v>
      </c>
      <c r="T188" s="1327">
        <f>+'PAA V30'!$R188-'PAA V30'!$S188</f>
        <v>0</v>
      </c>
      <c r="U188" s="1327">
        <v>42642000</v>
      </c>
      <c r="V188" s="1327">
        <v>17180400</v>
      </c>
      <c r="W188" s="1327"/>
    </row>
    <row r="189" spans="1:23" s="1204" customFormat="1" ht="75" hidden="1" x14ac:dyDescent="0.2">
      <c r="A189" s="1169">
        <v>2022195</v>
      </c>
      <c r="B189" s="1169">
        <v>7655</v>
      </c>
      <c r="C189" s="1326" t="s">
        <v>648</v>
      </c>
      <c r="D189" s="1187" t="s">
        <v>683</v>
      </c>
      <c r="E189" s="1171">
        <v>80111600</v>
      </c>
      <c r="F189" s="1349" t="s">
        <v>878</v>
      </c>
      <c r="G189" s="1343">
        <v>44566</v>
      </c>
      <c r="H189" s="1343">
        <v>44568</v>
      </c>
      <c r="I189" s="1173">
        <v>11.5</v>
      </c>
      <c r="J189" s="1173" t="s">
        <v>677</v>
      </c>
      <c r="K189" s="1174" t="s">
        <v>678</v>
      </c>
      <c r="L189" s="1175" t="s">
        <v>783</v>
      </c>
      <c r="M189" s="1176">
        <v>42642000</v>
      </c>
      <c r="N189" s="1344" t="s">
        <v>784</v>
      </c>
      <c r="O189" s="1171" t="s">
        <v>771</v>
      </c>
      <c r="P189" s="1350" t="s">
        <v>682</v>
      </c>
      <c r="Q189" s="1160"/>
      <c r="R189" s="1266">
        <v>42642000</v>
      </c>
      <c r="S189" s="1327">
        <v>42642000</v>
      </c>
      <c r="T189" s="1327">
        <f>+'PAA V30'!$R189-'PAA V30'!$S189</f>
        <v>0</v>
      </c>
      <c r="U189" s="1327">
        <v>42642000</v>
      </c>
      <c r="V189" s="1327">
        <v>17180400</v>
      </c>
      <c r="W189" s="1327"/>
    </row>
    <row r="190" spans="1:23" s="1204" customFormat="1" ht="75" hidden="1" x14ac:dyDescent="0.2">
      <c r="A190" s="1169">
        <v>2022196</v>
      </c>
      <c r="B190" s="1169">
        <v>7655</v>
      </c>
      <c r="C190" s="1326" t="s">
        <v>648</v>
      </c>
      <c r="D190" s="1187" t="s">
        <v>683</v>
      </c>
      <c r="E190" s="1171">
        <v>80111600</v>
      </c>
      <c r="F190" s="1349" t="s">
        <v>877</v>
      </c>
      <c r="G190" s="1343">
        <v>44566</v>
      </c>
      <c r="H190" s="1343">
        <v>44568</v>
      </c>
      <c r="I190" s="1173">
        <v>9.3000000000000007</v>
      </c>
      <c r="J190" s="1173" t="s">
        <v>677</v>
      </c>
      <c r="K190" s="1174" t="s">
        <v>678</v>
      </c>
      <c r="L190" s="1175" t="s">
        <v>783</v>
      </c>
      <c r="M190" s="1176">
        <f>71103000-213000-3570000</f>
        <v>67320000</v>
      </c>
      <c r="N190" s="1344" t="s">
        <v>784</v>
      </c>
      <c r="O190" s="1171" t="s">
        <v>771</v>
      </c>
      <c r="P190" s="1267" t="s">
        <v>682</v>
      </c>
      <c r="Q190" s="1160"/>
      <c r="R190" s="1266">
        <v>70890000</v>
      </c>
      <c r="S190" s="1327">
        <v>70890000</v>
      </c>
      <c r="T190" s="1327">
        <f>+'PAA V30'!$R190-'PAA V30'!$S190</f>
        <v>0</v>
      </c>
      <c r="U190" s="1327">
        <v>70890000</v>
      </c>
      <c r="V190" s="1327">
        <v>33915000</v>
      </c>
      <c r="W190" s="1327"/>
    </row>
    <row r="191" spans="1:23" s="1204" customFormat="1" ht="75" hidden="1" x14ac:dyDescent="0.2">
      <c r="A191" s="1169">
        <v>2022197</v>
      </c>
      <c r="B191" s="1169">
        <v>7655</v>
      </c>
      <c r="C191" s="1326" t="s">
        <v>648</v>
      </c>
      <c r="D191" s="1187" t="s">
        <v>683</v>
      </c>
      <c r="E191" s="1171">
        <v>80111600</v>
      </c>
      <c r="F191" s="1349" t="s">
        <v>879</v>
      </c>
      <c r="G191" s="1343">
        <v>44566</v>
      </c>
      <c r="H191" s="1343">
        <v>44568</v>
      </c>
      <c r="I191" s="1173">
        <v>11.5</v>
      </c>
      <c r="J191" s="1173" t="s">
        <v>677</v>
      </c>
      <c r="K191" s="1174" t="s">
        <v>678</v>
      </c>
      <c r="L191" s="1175" t="s">
        <v>783</v>
      </c>
      <c r="M191" s="1176">
        <v>61295000</v>
      </c>
      <c r="N191" s="1344" t="s">
        <v>784</v>
      </c>
      <c r="O191" s="1171" t="s">
        <v>771</v>
      </c>
      <c r="P191" s="1350" t="s">
        <v>682</v>
      </c>
      <c r="Q191" s="1160"/>
      <c r="R191" s="1266">
        <v>61295000</v>
      </c>
      <c r="S191" s="1327">
        <v>61295000</v>
      </c>
      <c r="T191" s="1327">
        <f>+'PAA V30'!$R191-'PAA V30'!$S191</f>
        <v>0</v>
      </c>
      <c r="U191" s="1327">
        <v>61295000</v>
      </c>
      <c r="V191" s="1327">
        <v>24873333</v>
      </c>
      <c r="W191" s="1327"/>
    </row>
    <row r="192" spans="1:23" s="1204" customFormat="1" ht="75" hidden="1" x14ac:dyDescent="0.2">
      <c r="A192" s="1169">
        <v>2022198</v>
      </c>
      <c r="B192" s="1169">
        <v>7655</v>
      </c>
      <c r="C192" s="1326" t="s">
        <v>648</v>
      </c>
      <c r="D192" s="1187" t="s">
        <v>683</v>
      </c>
      <c r="E192" s="1171">
        <v>80111600</v>
      </c>
      <c r="F192" s="1349" t="s">
        <v>880</v>
      </c>
      <c r="G192" s="1343">
        <v>44566</v>
      </c>
      <c r="H192" s="1343">
        <v>44568</v>
      </c>
      <c r="I192" s="1173">
        <v>11.5</v>
      </c>
      <c r="J192" s="1173" t="s">
        <v>677</v>
      </c>
      <c r="K192" s="1174" t="s">
        <v>678</v>
      </c>
      <c r="L192" s="1175" t="s">
        <v>783</v>
      </c>
      <c r="M192" s="1176">
        <v>358041000</v>
      </c>
      <c r="N192" s="1344" t="s">
        <v>784</v>
      </c>
      <c r="O192" s="1171" t="s">
        <v>771</v>
      </c>
      <c r="P192" s="1350" t="s">
        <v>682</v>
      </c>
      <c r="Q192" s="1160"/>
      <c r="R192" s="1266">
        <v>358041000</v>
      </c>
      <c r="S192" s="1327">
        <v>358041000</v>
      </c>
      <c r="T192" s="1327">
        <f>+'PAA V30'!$R192-'PAA V30'!$S192</f>
        <v>0</v>
      </c>
      <c r="U192" s="1327">
        <v>358041000</v>
      </c>
      <c r="V192" s="1327">
        <v>99628800</v>
      </c>
      <c r="W192" s="1327"/>
    </row>
    <row r="193" spans="1:23" s="1204" customFormat="1" ht="75" hidden="1" x14ac:dyDescent="0.2">
      <c r="A193" s="1169">
        <v>2022199</v>
      </c>
      <c r="B193" s="1169">
        <v>7655</v>
      </c>
      <c r="C193" s="1326" t="s">
        <v>648</v>
      </c>
      <c r="D193" s="1187" t="s">
        <v>683</v>
      </c>
      <c r="E193" s="1171">
        <v>80111600</v>
      </c>
      <c r="F193" s="1349" t="s">
        <v>881</v>
      </c>
      <c r="G193" s="1343">
        <v>44566</v>
      </c>
      <c r="H193" s="1343">
        <v>44568</v>
      </c>
      <c r="I193" s="1173">
        <v>11.5</v>
      </c>
      <c r="J193" s="1173" t="s">
        <v>677</v>
      </c>
      <c r="K193" s="1174" t="s">
        <v>678</v>
      </c>
      <c r="L193" s="1175" t="s">
        <v>679</v>
      </c>
      <c r="M193" s="1176">
        <v>38525000</v>
      </c>
      <c r="N193" s="1344" t="s">
        <v>784</v>
      </c>
      <c r="O193" s="1171" t="s">
        <v>771</v>
      </c>
      <c r="P193" s="1350" t="s">
        <v>682</v>
      </c>
      <c r="Q193" s="1160"/>
      <c r="R193" s="1266">
        <v>38525000</v>
      </c>
      <c r="S193" s="1327">
        <v>38525000</v>
      </c>
      <c r="T193" s="1327">
        <f>+'PAA V30'!$R193-'PAA V30'!$S193</f>
        <v>0</v>
      </c>
      <c r="U193" s="1327">
        <v>38525000</v>
      </c>
      <c r="V193" s="1327">
        <v>14963333</v>
      </c>
      <c r="W193" s="1327"/>
    </row>
    <row r="194" spans="1:23" s="1204" customFormat="1" ht="75" hidden="1" x14ac:dyDescent="0.2">
      <c r="A194" s="1169">
        <v>2022200</v>
      </c>
      <c r="B194" s="1169">
        <v>7655</v>
      </c>
      <c r="C194" s="1326" t="s">
        <v>648</v>
      </c>
      <c r="D194" s="1187" t="s">
        <v>683</v>
      </c>
      <c r="E194" s="1171">
        <v>80111600</v>
      </c>
      <c r="F194" s="1349" t="s">
        <v>882</v>
      </c>
      <c r="G194" s="1343">
        <v>44566</v>
      </c>
      <c r="H194" s="1343">
        <v>44568</v>
      </c>
      <c r="I194" s="1173">
        <v>11.5</v>
      </c>
      <c r="J194" s="1173" t="s">
        <v>677</v>
      </c>
      <c r="K194" s="1174" t="s">
        <v>678</v>
      </c>
      <c r="L194" s="1175" t="s">
        <v>679</v>
      </c>
      <c r="M194" s="1176">
        <v>32200000</v>
      </c>
      <c r="N194" s="1344" t="s">
        <v>784</v>
      </c>
      <c r="O194" s="1171" t="s">
        <v>771</v>
      </c>
      <c r="P194" s="1350" t="s">
        <v>682</v>
      </c>
      <c r="Q194" s="1160"/>
      <c r="R194" s="1266">
        <v>32200000</v>
      </c>
      <c r="S194" s="1327">
        <v>32200000</v>
      </c>
      <c r="T194" s="1327">
        <f>+'PAA V30'!$R194-'PAA V30'!$S194</f>
        <v>0</v>
      </c>
      <c r="U194" s="1327">
        <v>32200000</v>
      </c>
      <c r="V194" s="1327">
        <v>12973333</v>
      </c>
      <c r="W194" s="1327"/>
    </row>
    <row r="195" spans="1:23" s="1204" customFormat="1" ht="75" hidden="1" x14ac:dyDescent="0.2">
      <c r="A195" s="1169">
        <v>2022201</v>
      </c>
      <c r="B195" s="1169">
        <v>7655</v>
      </c>
      <c r="C195" s="1326" t="s">
        <v>648</v>
      </c>
      <c r="D195" s="1187" t="s">
        <v>683</v>
      </c>
      <c r="E195" s="1171">
        <v>80111600</v>
      </c>
      <c r="F195" s="1349" t="s">
        <v>882</v>
      </c>
      <c r="G195" s="1343">
        <v>44566</v>
      </c>
      <c r="H195" s="1343">
        <v>44568</v>
      </c>
      <c r="I195" s="1173">
        <v>11.5</v>
      </c>
      <c r="J195" s="1173" t="s">
        <v>677</v>
      </c>
      <c r="K195" s="1174" t="s">
        <v>678</v>
      </c>
      <c r="L195" s="1175" t="s">
        <v>679</v>
      </c>
      <c r="M195" s="1176">
        <v>32200000</v>
      </c>
      <c r="N195" s="1344" t="s">
        <v>784</v>
      </c>
      <c r="O195" s="1171" t="s">
        <v>771</v>
      </c>
      <c r="P195" s="1350" t="s">
        <v>682</v>
      </c>
      <c r="Q195" s="1160"/>
      <c r="R195" s="1266">
        <v>32200000</v>
      </c>
      <c r="S195" s="1327">
        <v>32200000</v>
      </c>
      <c r="T195" s="1327">
        <f>+'PAA V30'!$R195-'PAA V30'!$S195</f>
        <v>0</v>
      </c>
      <c r="U195" s="1327">
        <v>32200000</v>
      </c>
      <c r="V195" s="1327">
        <v>12786667</v>
      </c>
      <c r="W195" s="1327"/>
    </row>
    <row r="196" spans="1:23" s="1204" customFormat="1" ht="75" hidden="1" x14ac:dyDescent="0.2">
      <c r="A196" s="1169">
        <v>2022202</v>
      </c>
      <c r="B196" s="1169">
        <v>7655</v>
      </c>
      <c r="C196" s="1326" t="s">
        <v>648</v>
      </c>
      <c r="D196" s="1187" t="s">
        <v>683</v>
      </c>
      <c r="E196" s="1171">
        <v>80111600</v>
      </c>
      <c r="F196" s="1349" t="s">
        <v>882</v>
      </c>
      <c r="G196" s="1343">
        <v>44566</v>
      </c>
      <c r="H196" s="1343">
        <v>44568</v>
      </c>
      <c r="I196" s="1173">
        <v>11.5</v>
      </c>
      <c r="J196" s="1173" t="s">
        <v>677</v>
      </c>
      <c r="K196" s="1174" t="s">
        <v>678</v>
      </c>
      <c r="L196" s="1175" t="s">
        <v>679</v>
      </c>
      <c r="M196" s="1176">
        <v>32200000</v>
      </c>
      <c r="N196" s="1344" t="s">
        <v>784</v>
      </c>
      <c r="O196" s="1171" t="s">
        <v>771</v>
      </c>
      <c r="P196" s="1350" t="s">
        <v>682</v>
      </c>
      <c r="Q196" s="1160"/>
      <c r="R196" s="1266">
        <v>32200000</v>
      </c>
      <c r="S196" s="1327">
        <v>32200000</v>
      </c>
      <c r="T196" s="1327">
        <f>+'PAA V30'!$R196-'PAA V30'!$S196</f>
        <v>0</v>
      </c>
      <c r="U196" s="1327">
        <v>32200000</v>
      </c>
      <c r="V196" s="1327">
        <v>11666667</v>
      </c>
      <c r="W196" s="1327"/>
    </row>
    <row r="197" spans="1:23" s="1204" customFormat="1" ht="75" hidden="1" x14ac:dyDescent="0.2">
      <c r="A197" s="1169">
        <v>2022203</v>
      </c>
      <c r="B197" s="1169">
        <v>7655</v>
      </c>
      <c r="C197" s="1326" t="s">
        <v>648</v>
      </c>
      <c r="D197" s="1187" t="s">
        <v>683</v>
      </c>
      <c r="E197" s="1171">
        <v>80111600</v>
      </c>
      <c r="F197" s="1349" t="s">
        <v>882</v>
      </c>
      <c r="G197" s="1343">
        <v>44566</v>
      </c>
      <c r="H197" s="1343">
        <v>44568</v>
      </c>
      <c r="I197" s="1173">
        <v>11.5</v>
      </c>
      <c r="J197" s="1173" t="s">
        <v>677</v>
      </c>
      <c r="K197" s="1174" t="s">
        <v>678</v>
      </c>
      <c r="L197" s="1175" t="s">
        <v>679</v>
      </c>
      <c r="M197" s="1176">
        <f>37950000-4620000</f>
        <v>33330000</v>
      </c>
      <c r="N197" s="1344" t="s">
        <v>784</v>
      </c>
      <c r="O197" s="1171" t="s">
        <v>771</v>
      </c>
      <c r="P197" s="1267" t="s">
        <v>682</v>
      </c>
      <c r="Q197" s="1160"/>
      <c r="R197" s="1266">
        <v>37950000</v>
      </c>
      <c r="S197" s="1327">
        <v>37950000</v>
      </c>
      <c r="T197" s="1327">
        <f>+'PAA V30'!$R197-'PAA V30'!$S197</f>
        <v>0</v>
      </c>
      <c r="U197" s="1327">
        <v>37950000</v>
      </c>
      <c r="V197" s="1327">
        <v>15180000</v>
      </c>
      <c r="W197" s="1327"/>
    </row>
    <row r="198" spans="1:23" s="1204" customFormat="1" ht="75" hidden="1" x14ac:dyDescent="0.2">
      <c r="A198" s="1169">
        <v>2022204</v>
      </c>
      <c r="B198" s="1169">
        <v>7655</v>
      </c>
      <c r="C198" s="1326" t="s">
        <v>648</v>
      </c>
      <c r="D198" s="1187" t="s">
        <v>683</v>
      </c>
      <c r="E198" s="1171">
        <v>80111600</v>
      </c>
      <c r="F198" s="1349" t="s">
        <v>883</v>
      </c>
      <c r="G198" s="1343">
        <v>44566</v>
      </c>
      <c r="H198" s="1343">
        <v>44568</v>
      </c>
      <c r="I198" s="1173">
        <v>11.5</v>
      </c>
      <c r="J198" s="1173" t="s">
        <v>677</v>
      </c>
      <c r="K198" s="1174" t="s">
        <v>678</v>
      </c>
      <c r="L198" s="1175" t="s">
        <v>679</v>
      </c>
      <c r="M198" s="1176">
        <f>52900000-1150000</f>
        <v>51750000</v>
      </c>
      <c r="N198" s="1344" t="s">
        <v>784</v>
      </c>
      <c r="O198" s="1171" t="s">
        <v>771</v>
      </c>
      <c r="P198" s="1350" t="s">
        <v>682</v>
      </c>
      <c r="Q198" s="1160"/>
      <c r="R198" s="1266">
        <v>51750000</v>
      </c>
      <c r="S198" s="1327">
        <v>51750000</v>
      </c>
      <c r="T198" s="1327">
        <f>+'PAA V30'!$R198-'PAA V30'!$S198</f>
        <v>0</v>
      </c>
      <c r="U198" s="1327">
        <v>51750000</v>
      </c>
      <c r="V198" s="1327">
        <v>20850000</v>
      </c>
      <c r="W198" s="1327"/>
    </row>
    <row r="199" spans="1:23" s="1204" customFormat="1" ht="75" hidden="1" x14ac:dyDescent="0.2">
      <c r="A199" s="1169">
        <v>2022205</v>
      </c>
      <c r="B199" s="1169">
        <v>7655</v>
      </c>
      <c r="C199" s="1326" t="s">
        <v>648</v>
      </c>
      <c r="D199" s="1187" t="s">
        <v>683</v>
      </c>
      <c r="E199" s="1171">
        <v>80111600</v>
      </c>
      <c r="F199" s="1349" t="s">
        <v>884</v>
      </c>
      <c r="G199" s="1343">
        <v>44566</v>
      </c>
      <c r="H199" s="1343">
        <v>44568</v>
      </c>
      <c r="I199" s="1173">
        <v>6</v>
      </c>
      <c r="J199" s="1173" t="s">
        <v>677</v>
      </c>
      <c r="K199" s="1174" t="s">
        <v>678</v>
      </c>
      <c r="L199" s="1175" t="s">
        <v>679</v>
      </c>
      <c r="M199" s="1176">
        <v>37080000</v>
      </c>
      <c r="N199" s="1344" t="s">
        <v>784</v>
      </c>
      <c r="O199" s="1171" t="s">
        <v>771</v>
      </c>
      <c r="P199" s="1350" t="s">
        <v>682</v>
      </c>
      <c r="Q199" s="1160"/>
      <c r="R199" s="1266">
        <v>37080000</v>
      </c>
      <c r="S199" s="1327">
        <v>37080000</v>
      </c>
      <c r="T199" s="1327">
        <f>+'PAA V30'!$R199-'PAA V30'!$S199</f>
        <v>0</v>
      </c>
      <c r="U199" s="1327">
        <v>37080000</v>
      </c>
      <c r="V199" s="1327">
        <v>28428000</v>
      </c>
      <c r="W199" s="1327"/>
    </row>
    <row r="200" spans="1:23" s="1204" customFormat="1" ht="75" hidden="1" x14ac:dyDescent="0.2">
      <c r="A200" s="1169">
        <v>2022206</v>
      </c>
      <c r="B200" s="1169">
        <v>7655</v>
      </c>
      <c r="C200" s="1326" t="s">
        <v>648</v>
      </c>
      <c r="D200" s="1187" t="s">
        <v>683</v>
      </c>
      <c r="E200" s="1171">
        <v>80111600</v>
      </c>
      <c r="F200" s="1349" t="s">
        <v>885</v>
      </c>
      <c r="G200" s="1343">
        <v>44566</v>
      </c>
      <c r="H200" s="1343">
        <v>44568</v>
      </c>
      <c r="I200" s="1173">
        <v>6</v>
      </c>
      <c r="J200" s="1173" t="s">
        <v>677</v>
      </c>
      <c r="K200" s="1174" t="s">
        <v>678</v>
      </c>
      <c r="L200" s="1175" t="s">
        <v>679</v>
      </c>
      <c r="M200" s="1176">
        <v>16800000</v>
      </c>
      <c r="N200" s="1344" t="s">
        <v>784</v>
      </c>
      <c r="O200" s="1171" t="s">
        <v>771</v>
      </c>
      <c r="P200" s="1350" t="s">
        <v>682</v>
      </c>
      <c r="Q200" s="1160"/>
      <c r="R200" s="1266">
        <v>16800000</v>
      </c>
      <c r="S200" s="1327">
        <v>16800000</v>
      </c>
      <c r="T200" s="1327">
        <f>+'PAA V30'!$R200-'PAA V30'!$S200</f>
        <v>0</v>
      </c>
      <c r="U200" s="1327">
        <v>16800000</v>
      </c>
      <c r="V200" s="1327">
        <v>12880000</v>
      </c>
      <c r="W200" s="1327"/>
    </row>
    <row r="201" spans="1:23" s="1204" customFormat="1" ht="75" hidden="1" x14ac:dyDescent="0.2">
      <c r="A201" s="1169">
        <v>2022207</v>
      </c>
      <c r="B201" s="1169">
        <v>7655</v>
      </c>
      <c r="C201" s="1326" t="s">
        <v>648</v>
      </c>
      <c r="D201" s="1187" t="s">
        <v>683</v>
      </c>
      <c r="E201" s="1171">
        <v>80111600</v>
      </c>
      <c r="F201" s="1349" t="s">
        <v>886</v>
      </c>
      <c r="G201" s="1343">
        <v>44566</v>
      </c>
      <c r="H201" s="1343">
        <v>44568</v>
      </c>
      <c r="I201" s="1173">
        <v>3.5</v>
      </c>
      <c r="J201" s="1173" t="s">
        <v>677</v>
      </c>
      <c r="K201" s="1174" t="s">
        <v>678</v>
      </c>
      <c r="L201" s="1175" t="s">
        <v>679</v>
      </c>
      <c r="M201" s="1176">
        <v>17500000</v>
      </c>
      <c r="N201" s="1344" t="s">
        <v>784</v>
      </c>
      <c r="O201" s="1171" t="s">
        <v>771</v>
      </c>
      <c r="P201" s="1350" t="s">
        <v>682</v>
      </c>
      <c r="Q201" s="1160"/>
      <c r="R201" s="1266">
        <v>17500000</v>
      </c>
      <c r="S201" s="1327">
        <v>17500000</v>
      </c>
      <c r="T201" s="1327">
        <f>+'PAA V30'!$R201-'PAA V30'!$S201</f>
        <v>0</v>
      </c>
      <c r="U201" s="1327">
        <v>17500000</v>
      </c>
      <c r="V201" s="1327">
        <v>17500000</v>
      </c>
      <c r="W201" s="1327"/>
    </row>
    <row r="202" spans="1:23" s="1204" customFormat="1" ht="75" hidden="1" x14ac:dyDescent="0.2">
      <c r="A202" s="1169">
        <v>2022208</v>
      </c>
      <c r="B202" s="1169">
        <v>7655</v>
      </c>
      <c r="C202" s="1326" t="s">
        <v>648</v>
      </c>
      <c r="D202" s="1187" t="s">
        <v>674</v>
      </c>
      <c r="E202" s="1171">
        <v>80111600</v>
      </c>
      <c r="F202" s="1349" t="s">
        <v>887</v>
      </c>
      <c r="G202" s="1343">
        <v>44562</v>
      </c>
      <c r="H202" s="1343">
        <v>44592</v>
      </c>
      <c r="I202" s="1173">
        <v>11.5</v>
      </c>
      <c r="J202" s="1173" t="s">
        <v>677</v>
      </c>
      <c r="K202" s="1174" t="s">
        <v>678</v>
      </c>
      <c r="L202" s="1175" t="s">
        <v>679</v>
      </c>
      <c r="M202" s="1176">
        <f>106950000-4650000</f>
        <v>102300000</v>
      </c>
      <c r="N202" s="1344" t="s">
        <v>784</v>
      </c>
      <c r="O202" s="1171" t="s">
        <v>771</v>
      </c>
      <c r="P202" s="1350" t="s">
        <v>682</v>
      </c>
      <c r="Q202" s="1160"/>
      <c r="R202" s="1266">
        <v>102300000</v>
      </c>
      <c r="S202" s="1327">
        <v>102300000</v>
      </c>
      <c r="T202" s="1327">
        <f>+'PAA V30'!$R202-'PAA V30'!$S202</f>
        <v>0</v>
      </c>
      <c r="U202" s="1327">
        <v>102300000</v>
      </c>
      <c r="V202" s="1327">
        <v>38130000</v>
      </c>
      <c r="W202" s="1327"/>
    </row>
    <row r="203" spans="1:23" s="1204" customFormat="1" ht="75" hidden="1" x14ac:dyDescent="0.2">
      <c r="A203" s="1169">
        <v>2022209</v>
      </c>
      <c r="B203" s="1169">
        <v>7655</v>
      </c>
      <c r="C203" s="1326" t="s">
        <v>648</v>
      </c>
      <c r="D203" s="1187" t="s">
        <v>674</v>
      </c>
      <c r="E203" s="1171">
        <v>80111600</v>
      </c>
      <c r="F203" s="1349" t="s">
        <v>888</v>
      </c>
      <c r="G203" s="1343">
        <v>44562</v>
      </c>
      <c r="H203" s="1343">
        <v>44592</v>
      </c>
      <c r="I203" s="1173">
        <v>11.5</v>
      </c>
      <c r="J203" s="1173" t="s">
        <v>677</v>
      </c>
      <c r="K203" s="1174" t="s">
        <v>678</v>
      </c>
      <c r="L203" s="1175" t="s">
        <v>679</v>
      </c>
      <c r="M203" s="1176">
        <f>97750000-4250000</f>
        <v>93500000</v>
      </c>
      <c r="N203" s="1344" t="s">
        <v>784</v>
      </c>
      <c r="O203" s="1171" t="s">
        <v>771</v>
      </c>
      <c r="P203" s="1350" t="s">
        <v>682</v>
      </c>
      <c r="Q203" s="1160"/>
      <c r="R203" s="1266">
        <v>93500000</v>
      </c>
      <c r="S203" s="1327">
        <v>93500000</v>
      </c>
      <c r="T203" s="1327">
        <f>+'PAA V30'!$R203-'PAA V30'!$S203</f>
        <v>0</v>
      </c>
      <c r="U203" s="1327">
        <v>93500000</v>
      </c>
      <c r="V203" s="1327">
        <v>34850000</v>
      </c>
      <c r="W203" s="1327"/>
    </row>
    <row r="204" spans="1:23" s="1204" customFormat="1" ht="75" hidden="1" x14ac:dyDescent="0.2">
      <c r="A204" s="1169">
        <v>2022210</v>
      </c>
      <c r="B204" s="1169">
        <v>7655</v>
      </c>
      <c r="C204" s="1326" t="s">
        <v>648</v>
      </c>
      <c r="D204" s="1187" t="s">
        <v>674</v>
      </c>
      <c r="E204" s="1171">
        <v>80111600</v>
      </c>
      <c r="F204" s="1349" t="s">
        <v>889</v>
      </c>
      <c r="G204" s="1343">
        <v>44562</v>
      </c>
      <c r="H204" s="1343">
        <v>44592</v>
      </c>
      <c r="I204" s="1173">
        <v>11.5</v>
      </c>
      <c r="J204" s="1173" t="s">
        <v>677</v>
      </c>
      <c r="K204" s="1174" t="s">
        <v>678</v>
      </c>
      <c r="L204" s="1175" t="s">
        <v>679</v>
      </c>
      <c r="M204" s="1176">
        <f>92000000-24000000</f>
        <v>68000000</v>
      </c>
      <c r="N204" s="1344" t="s">
        <v>784</v>
      </c>
      <c r="O204" s="1171" t="s">
        <v>771</v>
      </c>
      <c r="P204" s="1350" t="s">
        <v>682</v>
      </c>
      <c r="Q204" s="1160"/>
      <c r="R204" s="1266">
        <v>68000000</v>
      </c>
      <c r="S204" s="1327">
        <v>68000000</v>
      </c>
      <c r="T204" s="1327">
        <f>+'PAA V30'!$R204-'PAA V30'!$S204</f>
        <v>0</v>
      </c>
      <c r="U204" s="1327">
        <v>68000000</v>
      </c>
      <c r="V204" s="1327">
        <v>37683333</v>
      </c>
      <c r="W204" s="1327"/>
    </row>
    <row r="205" spans="1:23" s="1204" customFormat="1" ht="75" hidden="1" x14ac:dyDescent="0.2">
      <c r="A205" s="1169">
        <v>2022211</v>
      </c>
      <c r="B205" s="1169">
        <v>7655</v>
      </c>
      <c r="C205" s="1326" t="s">
        <v>648</v>
      </c>
      <c r="D205" s="1187" t="s">
        <v>674</v>
      </c>
      <c r="E205" s="1171">
        <v>80111600</v>
      </c>
      <c r="F205" s="1349" t="s">
        <v>890</v>
      </c>
      <c r="G205" s="1343">
        <v>44562</v>
      </c>
      <c r="H205" s="1343">
        <v>44592</v>
      </c>
      <c r="I205" s="1173">
        <v>11.5</v>
      </c>
      <c r="J205" s="1173" t="s">
        <v>677</v>
      </c>
      <c r="K205" s="1174" t="s">
        <v>678</v>
      </c>
      <c r="L205" s="1175" t="s">
        <v>679</v>
      </c>
      <c r="M205" s="1176">
        <f>80500000-3500000</f>
        <v>77000000</v>
      </c>
      <c r="N205" s="1344" t="s">
        <v>784</v>
      </c>
      <c r="O205" s="1171" t="s">
        <v>771</v>
      </c>
      <c r="P205" s="1350" t="s">
        <v>682</v>
      </c>
      <c r="Q205" s="1160"/>
      <c r="R205" s="1266">
        <v>77000000</v>
      </c>
      <c r="S205" s="1327">
        <v>77000000</v>
      </c>
      <c r="T205" s="1327">
        <f>+'PAA V30'!$R205-'PAA V30'!$S205</f>
        <v>0</v>
      </c>
      <c r="U205" s="1327">
        <v>77000000</v>
      </c>
      <c r="V205" s="1327">
        <v>28000000</v>
      </c>
      <c r="W205" s="1327"/>
    </row>
    <row r="206" spans="1:23" s="1204" customFormat="1" ht="75" hidden="1" x14ac:dyDescent="0.2">
      <c r="A206" s="1169">
        <v>2022212</v>
      </c>
      <c r="B206" s="1169">
        <v>7655</v>
      </c>
      <c r="C206" s="1326" t="s">
        <v>648</v>
      </c>
      <c r="D206" s="1187" t="s">
        <v>674</v>
      </c>
      <c r="E206" s="1171">
        <v>80111600</v>
      </c>
      <c r="F206" s="1349" t="s">
        <v>891</v>
      </c>
      <c r="G206" s="1343">
        <v>44562</v>
      </c>
      <c r="H206" s="1343">
        <v>44592</v>
      </c>
      <c r="I206" s="1173">
        <v>11.5</v>
      </c>
      <c r="J206" s="1173" t="s">
        <v>677</v>
      </c>
      <c r="K206" s="1174" t="s">
        <v>678</v>
      </c>
      <c r="L206" s="1175" t="s">
        <v>783</v>
      </c>
      <c r="M206" s="1176">
        <f>92000000-24000000-4000000</f>
        <v>64000000</v>
      </c>
      <c r="N206" s="1344" t="s">
        <v>784</v>
      </c>
      <c r="O206" s="1171" t="s">
        <v>771</v>
      </c>
      <c r="P206" s="1267" t="s">
        <v>682</v>
      </c>
      <c r="Q206" s="1160"/>
      <c r="R206" s="1266">
        <v>64000000</v>
      </c>
      <c r="S206" s="1327">
        <v>64000000</v>
      </c>
      <c r="T206" s="1327">
        <f>+'PAA V30'!$R206-'PAA V30'!$S206</f>
        <v>0</v>
      </c>
      <c r="U206" s="1327">
        <v>64000000</v>
      </c>
      <c r="V206" s="1327">
        <v>32800000</v>
      </c>
      <c r="W206" s="1327"/>
    </row>
    <row r="207" spans="1:23" s="1204" customFormat="1" ht="75" hidden="1" x14ac:dyDescent="0.2">
      <c r="A207" s="1169">
        <v>2022213</v>
      </c>
      <c r="B207" s="1169">
        <v>7655</v>
      </c>
      <c r="C207" s="1326" t="s">
        <v>648</v>
      </c>
      <c r="D207" s="1187" t="s">
        <v>674</v>
      </c>
      <c r="E207" s="1171">
        <v>80111600</v>
      </c>
      <c r="F207" s="1349" t="s">
        <v>892</v>
      </c>
      <c r="G207" s="1343">
        <v>44562</v>
      </c>
      <c r="H207" s="1343">
        <v>44592</v>
      </c>
      <c r="I207" s="1173">
        <v>11.5</v>
      </c>
      <c r="J207" s="1173" t="s">
        <v>677</v>
      </c>
      <c r="K207" s="1174" t="s">
        <v>678</v>
      </c>
      <c r="L207" s="1175" t="s">
        <v>783</v>
      </c>
      <c r="M207" s="1176">
        <f>51750000-2250000</f>
        <v>49500000</v>
      </c>
      <c r="N207" s="1344" t="s">
        <v>784</v>
      </c>
      <c r="O207" s="1171" t="s">
        <v>771</v>
      </c>
      <c r="P207" s="1350" t="s">
        <v>682</v>
      </c>
      <c r="Q207" s="1160"/>
      <c r="R207" s="1266">
        <v>49500000</v>
      </c>
      <c r="S207" s="1327">
        <v>49500000</v>
      </c>
      <c r="T207" s="1327">
        <f>+'PAA V30'!$R207-'PAA V30'!$S207</f>
        <v>0</v>
      </c>
      <c r="U207" s="1327">
        <v>49500000</v>
      </c>
      <c r="V207" s="1327">
        <v>18000000</v>
      </c>
      <c r="W207" s="1327"/>
    </row>
    <row r="208" spans="1:23" s="1204" customFormat="1" ht="75" hidden="1" x14ac:dyDescent="0.2">
      <c r="A208" s="1169">
        <v>2022214</v>
      </c>
      <c r="B208" s="1169">
        <v>7655</v>
      </c>
      <c r="C208" s="1326" t="s">
        <v>648</v>
      </c>
      <c r="D208" s="1187" t="s">
        <v>674</v>
      </c>
      <c r="E208" s="1171">
        <v>80111600</v>
      </c>
      <c r="F208" s="1349" t="s">
        <v>893</v>
      </c>
      <c r="G208" s="1343">
        <v>44562</v>
      </c>
      <c r="H208" s="1343">
        <v>44592</v>
      </c>
      <c r="I208" s="1173">
        <v>11.5</v>
      </c>
      <c r="J208" s="1173" t="s">
        <v>677</v>
      </c>
      <c r="K208" s="1174" t="s">
        <v>678</v>
      </c>
      <c r="L208" s="1175" t="s">
        <v>679</v>
      </c>
      <c r="M208" s="1176">
        <f>ROUND((4500000*10.6666666)-12000000,-3)</f>
        <v>36000000</v>
      </c>
      <c r="N208" s="1344" t="s">
        <v>784</v>
      </c>
      <c r="O208" s="1171" t="s">
        <v>771</v>
      </c>
      <c r="P208" s="1350" t="s">
        <v>682</v>
      </c>
      <c r="Q208" s="1160"/>
      <c r="R208" s="1266">
        <v>36000000</v>
      </c>
      <c r="S208" s="1327">
        <v>36000000</v>
      </c>
      <c r="T208" s="1327">
        <f>+'PAA V30'!$R208-'PAA V30'!$S208</f>
        <v>0</v>
      </c>
      <c r="U208" s="1327">
        <v>36000000</v>
      </c>
      <c r="V208" s="1327">
        <v>18000000</v>
      </c>
      <c r="W208" s="1327"/>
    </row>
    <row r="209" spans="1:23" s="1204" customFormat="1" ht="75" hidden="1" x14ac:dyDescent="0.2">
      <c r="A209" s="1169">
        <v>2022215</v>
      </c>
      <c r="B209" s="1169">
        <v>7655</v>
      </c>
      <c r="C209" s="1326" t="s">
        <v>648</v>
      </c>
      <c r="D209" s="1187" t="s">
        <v>674</v>
      </c>
      <c r="E209" s="1171">
        <v>80111600</v>
      </c>
      <c r="F209" s="1349" t="s">
        <v>894</v>
      </c>
      <c r="G209" s="1343">
        <v>44562</v>
      </c>
      <c r="H209" s="1343">
        <v>44592</v>
      </c>
      <c r="I209" s="1173">
        <v>11.5</v>
      </c>
      <c r="J209" s="1173" t="s">
        <v>677</v>
      </c>
      <c r="K209" s="1174" t="s">
        <v>678</v>
      </c>
      <c r="L209" s="1175" t="s">
        <v>679</v>
      </c>
      <c r="M209" s="1176">
        <f>57500000-15000000-2500000</f>
        <v>40000000</v>
      </c>
      <c r="N209" s="1344" t="s">
        <v>784</v>
      </c>
      <c r="O209" s="1171" t="s">
        <v>771</v>
      </c>
      <c r="P209" s="1350" t="s">
        <v>682</v>
      </c>
      <c r="Q209" s="1160"/>
      <c r="R209" s="1266">
        <v>40000000</v>
      </c>
      <c r="S209" s="1327">
        <v>40000000</v>
      </c>
      <c r="T209" s="1327">
        <f>+'PAA V30'!$R209-'PAA V30'!$S209</f>
        <v>0</v>
      </c>
      <c r="U209" s="1327">
        <v>40000000</v>
      </c>
      <c r="V209" s="1327">
        <v>20500000</v>
      </c>
      <c r="W209" s="1327"/>
    </row>
    <row r="210" spans="1:23" s="1204" customFormat="1" ht="75" hidden="1" x14ac:dyDescent="0.2">
      <c r="A210" s="1169">
        <v>2022216</v>
      </c>
      <c r="B210" s="1169">
        <v>7655</v>
      </c>
      <c r="C210" s="1326" t="s">
        <v>648</v>
      </c>
      <c r="D210" s="1187" t="s">
        <v>674</v>
      </c>
      <c r="E210" s="1171">
        <v>80111600</v>
      </c>
      <c r="F210" s="1349" t="s">
        <v>895</v>
      </c>
      <c r="G210" s="1343">
        <v>44562</v>
      </c>
      <c r="H210" s="1343">
        <v>44592</v>
      </c>
      <c r="I210" s="1173">
        <v>11.5</v>
      </c>
      <c r="J210" s="1173" t="s">
        <v>677</v>
      </c>
      <c r="K210" s="1174" t="s">
        <v>678</v>
      </c>
      <c r="L210" s="1175" t="s">
        <v>679</v>
      </c>
      <c r="M210" s="1176">
        <f>80500000-2800000-250000-450000</f>
        <v>77000000</v>
      </c>
      <c r="N210" s="1344" t="s">
        <v>784</v>
      </c>
      <c r="O210" s="1171" t="s">
        <v>771</v>
      </c>
      <c r="P210" s="1350" t="s">
        <v>682</v>
      </c>
      <c r="Q210" s="1160"/>
      <c r="R210" s="1266">
        <v>77000000</v>
      </c>
      <c r="S210" s="1327">
        <v>77000000</v>
      </c>
      <c r="T210" s="1327">
        <f>+'PAA V30'!$R210-'PAA V30'!$S210</f>
        <v>0</v>
      </c>
      <c r="U210" s="1327">
        <v>77000000</v>
      </c>
      <c r="V210" s="1327">
        <v>30566667</v>
      </c>
      <c r="W210" s="1327"/>
    </row>
    <row r="211" spans="1:23" s="1204" customFormat="1" ht="75" hidden="1" x14ac:dyDescent="0.2">
      <c r="A211" s="1169">
        <v>2022217</v>
      </c>
      <c r="B211" s="1169">
        <v>7655</v>
      </c>
      <c r="C211" s="1326" t="s">
        <v>648</v>
      </c>
      <c r="D211" s="1187" t="s">
        <v>674</v>
      </c>
      <c r="E211" s="1171">
        <v>80111600</v>
      </c>
      <c r="F211" s="1349" t="s">
        <v>896</v>
      </c>
      <c r="G211" s="1343">
        <v>44562</v>
      </c>
      <c r="H211" s="1343">
        <v>44592</v>
      </c>
      <c r="I211" s="1173">
        <v>11</v>
      </c>
      <c r="J211" s="1173" t="s">
        <v>677</v>
      </c>
      <c r="K211" s="1174" t="s">
        <v>678</v>
      </c>
      <c r="L211" s="1175" t="s">
        <v>679</v>
      </c>
      <c r="M211" s="1176">
        <f>57500000-1750000-750000</f>
        <v>55000000</v>
      </c>
      <c r="N211" s="1344" t="s">
        <v>784</v>
      </c>
      <c r="O211" s="1171" t="s">
        <v>771</v>
      </c>
      <c r="P211" s="1350" t="s">
        <v>682</v>
      </c>
      <c r="Q211" s="1160"/>
      <c r="R211" s="1266">
        <v>55000000</v>
      </c>
      <c r="S211" s="1327">
        <v>55000000</v>
      </c>
      <c r="T211" s="1327">
        <f>+'PAA V30'!$R211-'PAA V30'!$S211</f>
        <v>0</v>
      </c>
      <c r="U211" s="1327">
        <v>55000000</v>
      </c>
      <c r="V211" s="1327">
        <v>21000000</v>
      </c>
      <c r="W211" s="1327"/>
    </row>
    <row r="212" spans="1:23" s="1204" customFormat="1" ht="75" hidden="1" x14ac:dyDescent="0.2">
      <c r="A212" s="1169">
        <v>2022218</v>
      </c>
      <c r="B212" s="1169">
        <v>7655</v>
      </c>
      <c r="C212" s="1326" t="s">
        <v>648</v>
      </c>
      <c r="D212" s="1187" t="s">
        <v>674</v>
      </c>
      <c r="E212" s="1171">
        <v>80111600</v>
      </c>
      <c r="F212" s="1349" t="s">
        <v>897</v>
      </c>
      <c r="G212" s="1343">
        <v>44562</v>
      </c>
      <c r="H212" s="1343">
        <v>44592</v>
      </c>
      <c r="I212" s="1173">
        <v>11.5</v>
      </c>
      <c r="J212" s="1173" t="s">
        <v>677</v>
      </c>
      <c r="K212" s="1174" t="s">
        <v>678</v>
      </c>
      <c r="L212" s="1175" t="s">
        <v>679</v>
      </c>
      <c r="M212" s="1176">
        <f>57500000-13500000-5750000-1500000-166667-583333</f>
        <v>36000000</v>
      </c>
      <c r="N212" s="1344" t="s">
        <v>784</v>
      </c>
      <c r="O212" s="1171" t="s">
        <v>771</v>
      </c>
      <c r="P212" s="1350" t="s">
        <v>682</v>
      </c>
      <c r="Q212" s="1160"/>
      <c r="R212" s="1266">
        <v>36000000</v>
      </c>
      <c r="S212" s="1327">
        <v>36000000</v>
      </c>
      <c r="T212" s="1327">
        <f>+'PAA V30'!$R212-'PAA V30'!$S212</f>
        <v>0</v>
      </c>
      <c r="U212" s="1327">
        <v>36000000</v>
      </c>
      <c r="V212" s="1327">
        <v>18450000</v>
      </c>
      <c r="W212" s="1327"/>
    </row>
    <row r="213" spans="1:23" s="1204" customFormat="1" ht="75" hidden="1" x14ac:dyDescent="0.2">
      <c r="A213" s="1169">
        <v>2022219</v>
      </c>
      <c r="B213" s="1169">
        <v>7655</v>
      </c>
      <c r="C213" s="1326" t="s">
        <v>648</v>
      </c>
      <c r="D213" s="1187" t="s">
        <v>674</v>
      </c>
      <c r="E213" s="1171">
        <v>80111600</v>
      </c>
      <c r="F213" s="1349" t="s">
        <v>898</v>
      </c>
      <c r="G213" s="1343">
        <v>44562</v>
      </c>
      <c r="H213" s="1343">
        <v>44592</v>
      </c>
      <c r="I213" s="1173">
        <v>11.5</v>
      </c>
      <c r="J213" s="1173" t="s">
        <v>677</v>
      </c>
      <c r="K213" s="1174" t="s">
        <v>678</v>
      </c>
      <c r="L213" s="1175" t="s">
        <v>679</v>
      </c>
      <c r="M213" s="1176">
        <f>57500000-11000000-850000-4500000-1150000</f>
        <v>40000000</v>
      </c>
      <c r="N213" s="1344" t="s">
        <v>784</v>
      </c>
      <c r="O213" s="1171" t="s">
        <v>771</v>
      </c>
      <c r="P213" s="1350" t="s">
        <v>682</v>
      </c>
      <c r="Q213" s="1160"/>
      <c r="R213" s="1266">
        <v>40000000</v>
      </c>
      <c r="S213" s="1327">
        <v>40000000</v>
      </c>
      <c r="T213" s="1327">
        <f>+'PAA V30'!$R213-'PAA V30'!$S213</f>
        <v>0</v>
      </c>
      <c r="U213" s="1327">
        <v>40000000</v>
      </c>
      <c r="V213" s="1327">
        <v>20500000</v>
      </c>
      <c r="W213" s="1327"/>
    </row>
    <row r="214" spans="1:23" s="1204" customFormat="1" ht="75" hidden="1" x14ac:dyDescent="0.2">
      <c r="A214" s="1169">
        <v>2022220</v>
      </c>
      <c r="B214" s="1169">
        <v>7655</v>
      </c>
      <c r="C214" s="1326" t="s">
        <v>648</v>
      </c>
      <c r="D214" s="1187" t="s">
        <v>674</v>
      </c>
      <c r="E214" s="1171">
        <v>80111600</v>
      </c>
      <c r="F214" s="1349" t="s">
        <v>899</v>
      </c>
      <c r="G214" s="1343">
        <v>44562</v>
      </c>
      <c r="H214" s="1343">
        <v>44592</v>
      </c>
      <c r="I214" s="1173">
        <v>6</v>
      </c>
      <c r="J214" s="1173" t="s">
        <v>677</v>
      </c>
      <c r="K214" s="1174" t="s">
        <v>678</v>
      </c>
      <c r="L214" s="1175" t="s">
        <v>679</v>
      </c>
      <c r="M214" s="1176">
        <f>(10*4500000)-13500000-4500000</f>
        <v>27000000</v>
      </c>
      <c r="N214" s="1344" t="s">
        <v>784</v>
      </c>
      <c r="O214" s="1171" t="s">
        <v>771</v>
      </c>
      <c r="P214" s="1350" t="s">
        <v>682</v>
      </c>
      <c r="Q214" s="1160"/>
      <c r="R214" s="1266">
        <v>27000000</v>
      </c>
      <c r="S214" s="1327">
        <v>27000000</v>
      </c>
      <c r="T214" s="1327">
        <f>+'PAA V30'!$R214-'PAA V30'!$S214</f>
        <v>0</v>
      </c>
      <c r="U214" s="1327">
        <v>27000000</v>
      </c>
      <c r="V214" s="1327">
        <v>18000000</v>
      </c>
      <c r="W214" s="1327"/>
    </row>
    <row r="215" spans="1:23" s="1204" customFormat="1" ht="75" hidden="1" x14ac:dyDescent="0.2">
      <c r="A215" s="1169">
        <v>2022221</v>
      </c>
      <c r="B215" s="1169">
        <v>7655</v>
      </c>
      <c r="C215" s="1326" t="s">
        <v>648</v>
      </c>
      <c r="D215" s="1187" t="s">
        <v>674</v>
      </c>
      <c r="E215" s="1171">
        <v>80111600</v>
      </c>
      <c r="F215" s="1349" t="s">
        <v>900</v>
      </c>
      <c r="G215" s="1343">
        <v>44562</v>
      </c>
      <c r="H215" s="1343">
        <v>44592</v>
      </c>
      <c r="I215" s="1173">
        <v>11.5</v>
      </c>
      <c r="J215" s="1173" t="s">
        <v>677</v>
      </c>
      <c r="K215" s="1174" t="s">
        <v>678</v>
      </c>
      <c r="L215" s="1175" t="s">
        <v>679</v>
      </c>
      <c r="M215" s="1176">
        <f>57500000-2500000</f>
        <v>55000000</v>
      </c>
      <c r="N215" s="1344" t="s">
        <v>784</v>
      </c>
      <c r="O215" s="1171" t="s">
        <v>771</v>
      </c>
      <c r="P215" s="1350" t="s">
        <v>682</v>
      </c>
      <c r="Q215" s="1160"/>
      <c r="R215" s="1266">
        <v>55000000</v>
      </c>
      <c r="S215" s="1327">
        <v>55000000</v>
      </c>
      <c r="T215" s="1327">
        <f>+'PAA V30'!$R215-'PAA V30'!$S215</f>
        <v>0</v>
      </c>
      <c r="U215" s="1327">
        <v>55000000</v>
      </c>
      <c r="V215" s="1327">
        <v>21666667</v>
      </c>
      <c r="W215" s="1327"/>
    </row>
    <row r="216" spans="1:23" s="1204" customFormat="1" ht="75" hidden="1" x14ac:dyDescent="0.2">
      <c r="A216" s="1169">
        <v>2022222</v>
      </c>
      <c r="B216" s="1169">
        <v>7655</v>
      </c>
      <c r="C216" s="1326" t="s">
        <v>648</v>
      </c>
      <c r="D216" s="1187" t="s">
        <v>674</v>
      </c>
      <c r="E216" s="1171">
        <v>80111600</v>
      </c>
      <c r="F216" s="1349" t="s">
        <v>901</v>
      </c>
      <c r="G216" s="1343">
        <v>44562</v>
      </c>
      <c r="H216" s="1343">
        <v>44592</v>
      </c>
      <c r="I216" s="1173">
        <v>11.5</v>
      </c>
      <c r="J216" s="1173" t="s">
        <v>677</v>
      </c>
      <c r="K216" s="1174" t="s">
        <v>678</v>
      </c>
      <c r="L216" s="1175" t="s">
        <v>679</v>
      </c>
      <c r="M216" s="1176">
        <f>57500000-13500000-4500000-2500000-1000000</f>
        <v>36000000</v>
      </c>
      <c r="N216" s="1344" t="s">
        <v>784</v>
      </c>
      <c r="O216" s="1171" t="s">
        <v>771</v>
      </c>
      <c r="P216" s="1350" t="s">
        <v>682</v>
      </c>
      <c r="Q216" s="1160"/>
      <c r="R216" s="1266">
        <v>36000000</v>
      </c>
      <c r="S216" s="1327">
        <v>36000000</v>
      </c>
      <c r="T216" s="1327">
        <f>+'PAA V30'!$R216-'PAA V30'!$S216</f>
        <v>0</v>
      </c>
      <c r="U216" s="1327">
        <v>36000000</v>
      </c>
      <c r="V216" s="1327">
        <v>18000000</v>
      </c>
      <c r="W216" s="1327"/>
    </row>
    <row r="217" spans="1:23" s="1204" customFormat="1" ht="75" hidden="1" x14ac:dyDescent="0.2">
      <c r="A217" s="1169">
        <v>2022223</v>
      </c>
      <c r="B217" s="1169">
        <v>7655</v>
      </c>
      <c r="C217" s="1326" t="s">
        <v>648</v>
      </c>
      <c r="D217" s="1187" t="s">
        <v>674</v>
      </c>
      <c r="E217" s="1171">
        <v>80111600</v>
      </c>
      <c r="F217" s="1349" t="s">
        <v>902</v>
      </c>
      <c r="G217" s="1343">
        <v>44562</v>
      </c>
      <c r="H217" s="1343">
        <v>44592</v>
      </c>
      <c r="I217" s="1173">
        <v>11.5</v>
      </c>
      <c r="J217" s="1173" t="s">
        <v>677</v>
      </c>
      <c r="K217" s="1174" t="s">
        <v>678</v>
      </c>
      <c r="L217" s="1175" t="s">
        <v>679</v>
      </c>
      <c r="M217" s="1176">
        <f>72450000-3000000-150000</f>
        <v>69300000</v>
      </c>
      <c r="N217" s="1344" t="s">
        <v>784</v>
      </c>
      <c r="O217" s="1171" t="s">
        <v>771</v>
      </c>
      <c r="P217" s="1350" t="s">
        <v>682</v>
      </c>
      <c r="Q217" s="1160"/>
      <c r="R217" s="1266">
        <v>69300000</v>
      </c>
      <c r="S217" s="1327">
        <v>69300000</v>
      </c>
      <c r="T217" s="1327">
        <f>+'PAA V30'!$R217-'PAA V30'!$S217</f>
        <v>0</v>
      </c>
      <c r="U217" s="1327">
        <v>69300000</v>
      </c>
      <c r="V217" s="1327">
        <v>24570000</v>
      </c>
      <c r="W217" s="1327"/>
    </row>
    <row r="218" spans="1:23" s="1204" customFormat="1" ht="75" hidden="1" x14ac:dyDescent="0.2">
      <c r="A218" s="1169">
        <v>2022224</v>
      </c>
      <c r="B218" s="1169">
        <v>7655</v>
      </c>
      <c r="C218" s="1326" t="s">
        <v>648</v>
      </c>
      <c r="D218" s="1187" t="s">
        <v>674</v>
      </c>
      <c r="E218" s="1171">
        <v>80111600</v>
      </c>
      <c r="F218" s="1349" t="s">
        <v>903</v>
      </c>
      <c r="G218" s="1343">
        <v>44562</v>
      </c>
      <c r="H218" s="1343">
        <v>44592</v>
      </c>
      <c r="I218" s="1173">
        <v>11.5</v>
      </c>
      <c r="J218" s="1173" t="s">
        <v>677</v>
      </c>
      <c r="K218" s="1174" t="s">
        <v>678</v>
      </c>
      <c r="L218" s="1175" t="s">
        <v>679</v>
      </c>
      <c r="M218" s="1176">
        <f>59800000-1407535-1192465</f>
        <v>57200000</v>
      </c>
      <c r="N218" s="1344" t="s">
        <v>784</v>
      </c>
      <c r="O218" s="1171" t="s">
        <v>771</v>
      </c>
      <c r="P218" s="1350" t="s">
        <v>682</v>
      </c>
      <c r="Q218" s="1160"/>
      <c r="R218" s="1266">
        <v>57200000</v>
      </c>
      <c r="S218" s="1327">
        <v>57200000</v>
      </c>
      <c r="T218" s="1327">
        <f>+'PAA V30'!$R218-'PAA V30'!$S218</f>
        <v>0</v>
      </c>
      <c r="U218" s="1327">
        <v>57200000</v>
      </c>
      <c r="V218" s="1327">
        <v>21320000</v>
      </c>
      <c r="W218" s="1327"/>
    </row>
    <row r="219" spans="1:23" s="1204" customFormat="1" ht="75" hidden="1" x14ac:dyDescent="0.2">
      <c r="A219" s="1169">
        <v>2022225</v>
      </c>
      <c r="B219" s="1169">
        <v>7655</v>
      </c>
      <c r="C219" s="1326" t="s">
        <v>648</v>
      </c>
      <c r="D219" s="1187" t="s">
        <v>674</v>
      </c>
      <c r="E219" s="1171">
        <v>80111600</v>
      </c>
      <c r="F219" s="1349" t="s">
        <v>904</v>
      </c>
      <c r="G219" s="1343">
        <v>44562</v>
      </c>
      <c r="H219" s="1343">
        <v>44592</v>
      </c>
      <c r="I219" s="1173">
        <v>9.5</v>
      </c>
      <c r="J219" s="1173" t="s">
        <v>677</v>
      </c>
      <c r="K219" s="1174" t="s">
        <v>678</v>
      </c>
      <c r="L219" s="1175" t="s">
        <v>679</v>
      </c>
      <c r="M219" s="1176">
        <f>57000000-14400000-31000000+23375798+3500000-28373333</f>
        <v>10102465</v>
      </c>
      <c r="N219" s="1344" t="s">
        <v>784</v>
      </c>
      <c r="O219" s="1171" t="s">
        <v>771</v>
      </c>
      <c r="P219" s="1350" t="s">
        <v>682</v>
      </c>
      <c r="Q219" s="1160"/>
      <c r="R219" s="1266">
        <v>40000000</v>
      </c>
      <c r="S219" s="1327">
        <v>40000000</v>
      </c>
      <c r="T219" s="1327">
        <f>+'PAA V30'!$R219-'PAA V30'!$S219</f>
        <v>0</v>
      </c>
      <c r="U219" s="1327">
        <v>40000000</v>
      </c>
      <c r="V219" s="1327">
        <v>5000000</v>
      </c>
      <c r="W219" s="1327"/>
    </row>
    <row r="220" spans="1:23" s="1204" customFormat="1" ht="75" hidden="1" x14ac:dyDescent="0.2">
      <c r="A220" s="1169">
        <v>2022227</v>
      </c>
      <c r="B220" s="1169">
        <v>7655</v>
      </c>
      <c r="C220" s="1326" t="s">
        <v>648</v>
      </c>
      <c r="D220" s="1187" t="s">
        <v>649</v>
      </c>
      <c r="E220" s="1171">
        <v>80111600</v>
      </c>
      <c r="F220" s="1349" t="s">
        <v>905</v>
      </c>
      <c r="G220" s="1343">
        <v>44562</v>
      </c>
      <c r="H220" s="1343">
        <v>44592</v>
      </c>
      <c r="I220" s="1173">
        <v>11</v>
      </c>
      <c r="J220" s="1173" t="s">
        <v>677</v>
      </c>
      <c r="K220" s="1174" t="s">
        <v>678</v>
      </c>
      <c r="L220" s="1175" t="s">
        <v>679</v>
      </c>
      <c r="M220" s="1176">
        <f>29920000-2920000</f>
        <v>27000000</v>
      </c>
      <c r="N220" s="1344" t="s">
        <v>784</v>
      </c>
      <c r="O220" s="1171" t="s">
        <v>771</v>
      </c>
      <c r="P220" s="1350" t="s">
        <v>682</v>
      </c>
      <c r="Q220" s="1160"/>
      <c r="R220" s="1266">
        <v>27000000</v>
      </c>
      <c r="S220" s="1327">
        <v>27000000</v>
      </c>
      <c r="T220" s="1327">
        <f>+'PAA V30'!$R220-'PAA V30'!$S220</f>
        <v>0</v>
      </c>
      <c r="U220" s="1327">
        <v>27000000</v>
      </c>
      <c r="V220" s="1327">
        <v>13300000</v>
      </c>
      <c r="W220" s="1327"/>
    </row>
    <row r="221" spans="1:23" s="1204" customFormat="1" ht="75" hidden="1" x14ac:dyDescent="0.2">
      <c r="A221" s="1169">
        <v>2022228</v>
      </c>
      <c r="B221" s="1169">
        <v>7655</v>
      </c>
      <c r="C221" s="1326" t="s">
        <v>648</v>
      </c>
      <c r="D221" s="1187" t="s">
        <v>649</v>
      </c>
      <c r="E221" s="1171">
        <v>80111600</v>
      </c>
      <c r="F221" s="1349" t="s">
        <v>906</v>
      </c>
      <c r="G221" s="1343">
        <v>44562</v>
      </c>
      <c r="H221" s="1343">
        <v>44592</v>
      </c>
      <c r="I221" s="1173">
        <v>11</v>
      </c>
      <c r="J221" s="1173" t="s">
        <v>677</v>
      </c>
      <c r="K221" s="1174" t="s">
        <v>678</v>
      </c>
      <c r="L221" s="1175" t="s">
        <v>679</v>
      </c>
      <c r="M221" s="1176">
        <v>30800000</v>
      </c>
      <c r="N221" s="1344" t="s">
        <v>784</v>
      </c>
      <c r="O221" s="1171" t="s">
        <v>771</v>
      </c>
      <c r="P221" s="1350" t="s">
        <v>682</v>
      </c>
      <c r="Q221" s="1160"/>
      <c r="R221" s="1266">
        <v>30800000</v>
      </c>
      <c r="S221" s="1327">
        <v>30800000</v>
      </c>
      <c r="T221" s="1327">
        <f>+'PAA V30'!$R221-'PAA V30'!$S221</f>
        <v>0</v>
      </c>
      <c r="U221" s="1327">
        <v>30800000</v>
      </c>
      <c r="V221" s="1327">
        <v>11760000</v>
      </c>
      <c r="W221" s="1327"/>
    </row>
    <row r="222" spans="1:23" s="1204" customFormat="1" ht="75" hidden="1" x14ac:dyDescent="0.2">
      <c r="A222" s="1169">
        <v>2022229</v>
      </c>
      <c r="B222" s="1169">
        <v>7655</v>
      </c>
      <c r="C222" s="1326" t="s">
        <v>648</v>
      </c>
      <c r="D222" s="1187" t="s">
        <v>649</v>
      </c>
      <c r="E222" s="1171">
        <v>80111600</v>
      </c>
      <c r="F222" s="1349" t="s">
        <v>907</v>
      </c>
      <c r="G222" s="1343">
        <v>44562</v>
      </c>
      <c r="H222" s="1343">
        <v>44592</v>
      </c>
      <c r="I222" s="1173">
        <v>11</v>
      </c>
      <c r="J222" s="1173" t="s">
        <v>677</v>
      </c>
      <c r="K222" s="1174" t="s">
        <v>678</v>
      </c>
      <c r="L222" s="1175" t="s">
        <v>679</v>
      </c>
      <c r="M222" s="1176">
        <f>78320000-35600000</f>
        <v>42720000</v>
      </c>
      <c r="N222" s="1344" t="s">
        <v>784</v>
      </c>
      <c r="O222" s="1171" t="s">
        <v>771</v>
      </c>
      <c r="P222" s="1350" t="s">
        <v>682</v>
      </c>
      <c r="Q222" s="1160"/>
      <c r="R222" s="1266">
        <v>42720000</v>
      </c>
      <c r="S222" s="1327">
        <v>42720000</v>
      </c>
      <c r="T222" s="1327">
        <f>+'PAA V30'!$R222-'PAA V30'!$S222</f>
        <v>0</v>
      </c>
      <c r="U222" s="1327">
        <v>42720000</v>
      </c>
      <c r="V222" s="1327">
        <v>31802667</v>
      </c>
      <c r="W222" s="1327"/>
    </row>
    <row r="223" spans="1:23" s="1204" customFormat="1" ht="75" hidden="1" x14ac:dyDescent="0.2">
      <c r="A223" s="1169">
        <v>2022230</v>
      </c>
      <c r="B223" s="1169">
        <v>7655</v>
      </c>
      <c r="C223" s="1326" t="s">
        <v>648</v>
      </c>
      <c r="D223" s="1187" t="s">
        <v>649</v>
      </c>
      <c r="E223" s="1171">
        <v>80111600</v>
      </c>
      <c r="F223" s="1349" t="s">
        <v>908</v>
      </c>
      <c r="G223" s="1343">
        <v>44562</v>
      </c>
      <c r="H223" s="1343">
        <v>44592</v>
      </c>
      <c r="I223" s="1173">
        <v>11</v>
      </c>
      <c r="J223" s="1173" t="s">
        <v>677</v>
      </c>
      <c r="K223" s="1174" t="s">
        <v>678</v>
      </c>
      <c r="L223" s="1175" t="s">
        <v>679</v>
      </c>
      <c r="M223" s="1176">
        <v>102520000</v>
      </c>
      <c r="N223" s="1344" t="s">
        <v>784</v>
      </c>
      <c r="O223" s="1171" t="s">
        <v>771</v>
      </c>
      <c r="P223" s="1350" t="s">
        <v>682</v>
      </c>
      <c r="Q223" s="1160"/>
      <c r="R223" s="1266">
        <v>205040000</v>
      </c>
      <c r="S223" s="1327">
        <v>205040000</v>
      </c>
      <c r="T223" s="1327">
        <f>+'PAA V30'!$R223-'PAA V30'!$S223</f>
        <v>0</v>
      </c>
      <c r="U223" s="1327">
        <v>102520000</v>
      </c>
      <c r="V223" s="1327">
        <v>41008000</v>
      </c>
      <c r="W223" s="1327"/>
    </row>
    <row r="224" spans="1:23" s="1204" customFormat="1" ht="90" hidden="1" x14ac:dyDescent="0.2">
      <c r="A224" s="1169">
        <v>2022231</v>
      </c>
      <c r="B224" s="1169">
        <v>7655</v>
      </c>
      <c r="C224" s="1326" t="s">
        <v>648</v>
      </c>
      <c r="D224" s="1187" t="s">
        <v>649</v>
      </c>
      <c r="E224" s="1171">
        <v>80111600</v>
      </c>
      <c r="F224" s="1349" t="s">
        <v>909</v>
      </c>
      <c r="G224" s="1343">
        <v>44562</v>
      </c>
      <c r="H224" s="1343">
        <v>44592</v>
      </c>
      <c r="I224" s="1173">
        <v>11</v>
      </c>
      <c r="J224" s="1173" t="s">
        <v>677</v>
      </c>
      <c r="K224" s="1174" t="s">
        <v>678</v>
      </c>
      <c r="L224" s="1175" t="s">
        <v>679</v>
      </c>
      <c r="M224" s="1176">
        <f>101200000-8800000-19200000-17947000-53000</f>
        <v>55200000</v>
      </c>
      <c r="N224" s="1344" t="s">
        <v>784</v>
      </c>
      <c r="O224" s="1171" t="s">
        <v>771</v>
      </c>
      <c r="P224" s="1350" t="s">
        <v>682</v>
      </c>
      <c r="Q224" s="1160"/>
      <c r="R224" s="1266">
        <v>55200000</v>
      </c>
      <c r="S224" s="1327">
        <v>55200000</v>
      </c>
      <c r="T224" s="1327">
        <f>+'PAA V30'!$R224-'PAA V30'!$S224</f>
        <v>0</v>
      </c>
      <c r="U224" s="1327">
        <v>55200000</v>
      </c>
      <c r="V224" s="1327">
        <v>40786667</v>
      </c>
      <c r="W224" s="1327"/>
    </row>
    <row r="225" spans="1:23" s="1204" customFormat="1" ht="75" hidden="1" x14ac:dyDescent="0.2">
      <c r="A225" s="1169">
        <v>2022232</v>
      </c>
      <c r="B225" s="1169">
        <v>7655</v>
      </c>
      <c r="C225" s="1326" t="s">
        <v>648</v>
      </c>
      <c r="D225" s="1187" t="s">
        <v>649</v>
      </c>
      <c r="E225" s="1171">
        <v>80111600</v>
      </c>
      <c r="F225" s="1349" t="s">
        <v>910</v>
      </c>
      <c r="G225" s="1343">
        <v>44562</v>
      </c>
      <c r="H225" s="1343">
        <v>44592</v>
      </c>
      <c r="I225" s="1173">
        <v>11</v>
      </c>
      <c r="J225" s="1173" t="s">
        <v>677</v>
      </c>
      <c r="K225" s="1174" t="s">
        <v>678</v>
      </c>
      <c r="L225" s="1175" t="s">
        <v>679</v>
      </c>
      <c r="M225" s="1176">
        <v>58080000</v>
      </c>
      <c r="N225" s="1344" t="s">
        <v>784</v>
      </c>
      <c r="O225" s="1171" t="s">
        <v>771</v>
      </c>
      <c r="P225" s="1350" t="s">
        <v>682</v>
      </c>
      <c r="Q225" s="1160"/>
      <c r="R225" s="1266">
        <v>58080000</v>
      </c>
      <c r="S225" s="1327">
        <v>58080000</v>
      </c>
      <c r="T225" s="1327">
        <f>+'PAA V30'!$R225-'PAA V30'!$S225</f>
        <v>0</v>
      </c>
      <c r="U225" s="1327">
        <v>58080000</v>
      </c>
      <c r="V225" s="1327">
        <v>24112000</v>
      </c>
      <c r="W225" s="1327"/>
    </row>
    <row r="226" spans="1:23" s="1204" customFormat="1" ht="105" hidden="1" x14ac:dyDescent="0.2">
      <c r="A226" s="1169">
        <v>2022233</v>
      </c>
      <c r="B226" s="1169">
        <v>7655</v>
      </c>
      <c r="C226" s="1326" t="s">
        <v>648</v>
      </c>
      <c r="D226" s="1187" t="s">
        <v>649</v>
      </c>
      <c r="E226" s="1171">
        <v>80111600</v>
      </c>
      <c r="F226" s="1349" t="s">
        <v>911</v>
      </c>
      <c r="G226" s="1343">
        <v>44562</v>
      </c>
      <c r="H226" s="1343">
        <v>44592</v>
      </c>
      <c r="I226" s="1173">
        <v>11</v>
      </c>
      <c r="J226" s="1173" t="s">
        <v>677</v>
      </c>
      <c r="K226" s="1174" t="s">
        <v>678</v>
      </c>
      <c r="L226" s="1175" t="s">
        <v>679</v>
      </c>
      <c r="M226" s="1176">
        <v>42350000</v>
      </c>
      <c r="N226" s="1344" t="s">
        <v>784</v>
      </c>
      <c r="O226" s="1171" t="s">
        <v>771</v>
      </c>
      <c r="P226" s="1350" t="s">
        <v>682</v>
      </c>
      <c r="Q226" s="1160"/>
      <c r="R226" s="1266">
        <v>42350000</v>
      </c>
      <c r="S226" s="1327">
        <v>42350000</v>
      </c>
      <c r="T226" s="1327">
        <f>+'PAA V30'!$R226-'PAA V30'!$S226</f>
        <v>0</v>
      </c>
      <c r="U226" s="1327">
        <v>42350000</v>
      </c>
      <c r="V226" s="1327">
        <v>17068333</v>
      </c>
      <c r="W226" s="1327"/>
    </row>
    <row r="227" spans="1:23" s="1204" customFormat="1" ht="75" hidden="1" x14ac:dyDescent="0.2">
      <c r="A227" s="1169">
        <v>2022234</v>
      </c>
      <c r="B227" s="1169">
        <v>7655</v>
      </c>
      <c r="C227" s="1326" t="s">
        <v>648</v>
      </c>
      <c r="D227" s="1187" t="s">
        <v>649</v>
      </c>
      <c r="E227" s="1171">
        <v>80111600</v>
      </c>
      <c r="F227" s="1349" t="s">
        <v>912</v>
      </c>
      <c r="G227" s="1343">
        <v>44562</v>
      </c>
      <c r="H227" s="1343">
        <v>44592</v>
      </c>
      <c r="I227" s="1173">
        <v>11</v>
      </c>
      <c r="J227" s="1173" t="s">
        <v>677</v>
      </c>
      <c r="K227" s="1174" t="s">
        <v>678</v>
      </c>
      <c r="L227" s="1175" t="s">
        <v>679</v>
      </c>
      <c r="M227" s="1176">
        <f>39600000-11500000-5480000-5256667-3563333</f>
        <v>13800000</v>
      </c>
      <c r="N227" s="1344" t="s">
        <v>784</v>
      </c>
      <c r="O227" s="1171" t="s">
        <v>771</v>
      </c>
      <c r="P227" s="1350" t="s">
        <v>682</v>
      </c>
      <c r="Q227" s="1160"/>
      <c r="R227" s="1266">
        <v>13800000</v>
      </c>
      <c r="S227" s="1327">
        <v>13800000</v>
      </c>
      <c r="T227" s="1327">
        <f>+'PAA V30'!$R227-'PAA V30'!$S227</f>
        <v>0</v>
      </c>
      <c r="U227" s="1327">
        <v>13800000</v>
      </c>
      <c r="V227" s="1327">
        <v>9046667</v>
      </c>
      <c r="W227" s="1327"/>
    </row>
    <row r="228" spans="1:23" s="1204" customFormat="1" ht="75" hidden="1" x14ac:dyDescent="0.2">
      <c r="A228" s="1169">
        <v>2022235</v>
      </c>
      <c r="B228" s="1169">
        <v>7655</v>
      </c>
      <c r="C228" s="1326" t="s">
        <v>648</v>
      </c>
      <c r="D228" s="1187" t="s">
        <v>649</v>
      </c>
      <c r="E228" s="1171">
        <v>80111600</v>
      </c>
      <c r="F228" s="1349" t="s">
        <v>913</v>
      </c>
      <c r="G228" s="1343">
        <v>44562</v>
      </c>
      <c r="H228" s="1343">
        <v>44592</v>
      </c>
      <c r="I228" s="1173">
        <v>11</v>
      </c>
      <c r="J228" s="1173" t="s">
        <v>677</v>
      </c>
      <c r="K228" s="1174" t="s">
        <v>678</v>
      </c>
      <c r="L228" s="1175" t="s">
        <v>679</v>
      </c>
      <c r="M228" s="1176">
        <v>39600000</v>
      </c>
      <c r="N228" s="1344" t="s">
        <v>784</v>
      </c>
      <c r="O228" s="1171" t="s">
        <v>771</v>
      </c>
      <c r="P228" s="1350" t="s">
        <v>682</v>
      </c>
      <c r="Q228" s="1160"/>
      <c r="R228" s="1266">
        <v>39600000</v>
      </c>
      <c r="S228" s="1327">
        <v>39600000</v>
      </c>
      <c r="T228" s="1327">
        <f>+'PAA V30'!$R228-'PAA V30'!$S228</f>
        <v>0</v>
      </c>
      <c r="U228" s="1327">
        <v>39600000</v>
      </c>
      <c r="V228" s="1327">
        <v>15840000</v>
      </c>
      <c r="W228" s="1327"/>
    </row>
    <row r="229" spans="1:23" s="1204" customFormat="1" ht="120" hidden="1" x14ac:dyDescent="0.2">
      <c r="A229" s="1169">
        <v>2022236</v>
      </c>
      <c r="B229" s="1169">
        <v>7658</v>
      </c>
      <c r="C229" s="1326" t="s">
        <v>673</v>
      </c>
      <c r="D229" s="1187" t="s">
        <v>699</v>
      </c>
      <c r="E229" s="1171">
        <v>80111600</v>
      </c>
      <c r="F229" s="1349" t="s">
        <v>914</v>
      </c>
      <c r="G229" s="1343">
        <v>44562</v>
      </c>
      <c r="H229" s="1343">
        <v>44592</v>
      </c>
      <c r="I229" s="1173">
        <v>11.5</v>
      </c>
      <c r="J229" s="1173" t="s">
        <v>677</v>
      </c>
      <c r="K229" s="1174" t="s">
        <v>678</v>
      </c>
      <c r="L229" s="1175" t="s">
        <v>679</v>
      </c>
      <c r="M229" s="1176">
        <f>39100000-1700000</f>
        <v>37400000</v>
      </c>
      <c r="N229" s="1344" t="s">
        <v>775</v>
      </c>
      <c r="O229" s="1171" t="s">
        <v>915</v>
      </c>
      <c r="P229" s="1218" t="s">
        <v>682</v>
      </c>
      <c r="Q229" s="1160"/>
      <c r="R229" s="1327">
        <v>37400000</v>
      </c>
      <c r="S229" s="1327">
        <v>37400000</v>
      </c>
      <c r="T229" s="1327">
        <f>+'PAA V30'!$R229-'PAA V30'!$S229</f>
        <v>0</v>
      </c>
      <c r="U229" s="1327">
        <v>37400000</v>
      </c>
      <c r="V229" s="1327">
        <v>14053333</v>
      </c>
      <c r="W229" s="1327"/>
    </row>
    <row r="230" spans="1:23" s="1204" customFormat="1" ht="75" hidden="1" x14ac:dyDescent="0.2">
      <c r="A230" s="1169">
        <v>2022237</v>
      </c>
      <c r="B230" s="1169">
        <v>7655</v>
      </c>
      <c r="C230" s="1326" t="s">
        <v>648</v>
      </c>
      <c r="D230" s="1187" t="s">
        <v>649</v>
      </c>
      <c r="E230" s="1171">
        <v>80111600</v>
      </c>
      <c r="F230" s="1349" t="s">
        <v>916</v>
      </c>
      <c r="G230" s="1343">
        <v>44562</v>
      </c>
      <c r="H230" s="1343">
        <v>44592</v>
      </c>
      <c r="I230" s="1173">
        <v>11</v>
      </c>
      <c r="J230" s="1173" t="s">
        <v>677</v>
      </c>
      <c r="K230" s="1174" t="s">
        <v>678</v>
      </c>
      <c r="L230" s="1175" t="s">
        <v>679</v>
      </c>
      <c r="M230" s="1176">
        <f>48735000-19500000-1235000</f>
        <v>28000000</v>
      </c>
      <c r="N230" s="1344" t="s">
        <v>784</v>
      </c>
      <c r="O230" s="1171" t="s">
        <v>771</v>
      </c>
      <c r="P230" s="1218" t="s">
        <v>682</v>
      </c>
      <c r="Q230" s="1160"/>
      <c r="R230" s="1266">
        <v>0</v>
      </c>
      <c r="S230" s="1327"/>
      <c r="T230" s="1327">
        <f>+'PAA V30'!$R230-'PAA V30'!$S230</f>
        <v>0</v>
      </c>
      <c r="U230" s="1327"/>
      <c r="V230" s="1327"/>
      <c r="W230" s="1327"/>
    </row>
    <row r="231" spans="1:23" s="1204" customFormat="1" ht="75" hidden="1" x14ac:dyDescent="0.2">
      <c r="A231" s="1169">
        <v>2022238</v>
      </c>
      <c r="B231" s="1169">
        <v>7655</v>
      </c>
      <c r="C231" s="1326" t="s">
        <v>648</v>
      </c>
      <c r="D231" s="1187" t="s">
        <v>649</v>
      </c>
      <c r="E231" s="1171">
        <v>80111600</v>
      </c>
      <c r="F231" s="1349" t="s">
        <v>917</v>
      </c>
      <c r="G231" s="1343">
        <v>44562</v>
      </c>
      <c r="H231" s="1343">
        <v>44592</v>
      </c>
      <c r="I231" s="1173">
        <v>11</v>
      </c>
      <c r="J231" s="1173" t="s">
        <v>677</v>
      </c>
      <c r="K231" s="1174" t="s">
        <v>678</v>
      </c>
      <c r="L231" s="1175" t="s">
        <v>679</v>
      </c>
      <c r="M231" s="1176">
        <f>44000000+8800000-24000000</f>
        <v>28800000</v>
      </c>
      <c r="N231" s="1344" t="s">
        <v>784</v>
      </c>
      <c r="O231" s="1171" t="s">
        <v>771</v>
      </c>
      <c r="P231" s="1218" t="s">
        <v>682</v>
      </c>
      <c r="Q231" s="1160"/>
      <c r="R231" s="1266">
        <v>28800000</v>
      </c>
      <c r="S231" s="1327">
        <v>28800000</v>
      </c>
      <c r="T231" s="1327">
        <f>+'PAA V30'!$R231-'PAA V30'!$S231</f>
        <v>0</v>
      </c>
      <c r="U231" s="1327">
        <v>28800000</v>
      </c>
      <c r="V231" s="1327">
        <v>18880000</v>
      </c>
      <c r="W231" s="1327"/>
    </row>
    <row r="232" spans="1:23" s="1204" customFormat="1" ht="75" hidden="1" x14ac:dyDescent="0.2">
      <c r="A232" s="1169">
        <v>2022239</v>
      </c>
      <c r="B232" s="1169">
        <v>7655</v>
      </c>
      <c r="C232" s="1326" t="s">
        <v>648</v>
      </c>
      <c r="D232" s="1187" t="s">
        <v>646</v>
      </c>
      <c r="E232" s="1171">
        <v>80111600</v>
      </c>
      <c r="F232" s="1349" t="s">
        <v>918</v>
      </c>
      <c r="G232" s="1343">
        <v>44562</v>
      </c>
      <c r="H232" s="1343">
        <v>44592</v>
      </c>
      <c r="I232" s="1173">
        <v>11</v>
      </c>
      <c r="J232" s="1173" t="s">
        <v>677</v>
      </c>
      <c r="K232" s="1174" t="s">
        <v>678</v>
      </c>
      <c r="L232" s="1175" t="s">
        <v>679</v>
      </c>
      <c r="M232" s="1176">
        <v>102520000</v>
      </c>
      <c r="N232" s="1344" t="s">
        <v>784</v>
      </c>
      <c r="O232" s="1171" t="s">
        <v>771</v>
      </c>
      <c r="P232" s="1218" t="s">
        <v>682</v>
      </c>
      <c r="Q232" s="1160"/>
      <c r="R232" s="1266">
        <v>102520000</v>
      </c>
      <c r="S232" s="1327">
        <v>102520000</v>
      </c>
      <c r="T232" s="1327">
        <f>+'PAA V30'!$R232-'PAA V30'!$S232</f>
        <v>0</v>
      </c>
      <c r="U232" s="1327">
        <v>102520000</v>
      </c>
      <c r="V232" s="1327">
        <v>37901334</v>
      </c>
      <c r="W232" s="1327"/>
    </row>
    <row r="233" spans="1:23" s="1204" customFormat="1" ht="90" hidden="1" x14ac:dyDescent="0.2">
      <c r="A233" s="1169">
        <v>2022240</v>
      </c>
      <c r="B233" s="1169">
        <v>7655</v>
      </c>
      <c r="C233" s="1326" t="s">
        <v>648</v>
      </c>
      <c r="D233" s="1187" t="s">
        <v>646</v>
      </c>
      <c r="E233" s="1171">
        <v>80111600</v>
      </c>
      <c r="F233" s="1349" t="s">
        <v>919</v>
      </c>
      <c r="G233" s="1343">
        <v>44562</v>
      </c>
      <c r="H233" s="1343">
        <v>44592</v>
      </c>
      <c r="I233" s="1173">
        <v>11</v>
      </c>
      <c r="J233" s="1173" t="s">
        <v>677</v>
      </c>
      <c r="K233" s="1174" t="s">
        <v>678</v>
      </c>
      <c r="L233" s="1175" t="s">
        <v>679</v>
      </c>
      <c r="M233" s="1176">
        <f>90200000-24053333</f>
        <v>66146667</v>
      </c>
      <c r="N233" s="1344" t="s">
        <v>784</v>
      </c>
      <c r="O233" s="1171" t="s">
        <v>771</v>
      </c>
      <c r="P233" s="1218" t="s">
        <v>682</v>
      </c>
      <c r="Q233" s="1160"/>
      <c r="R233" s="1266">
        <v>90200000</v>
      </c>
      <c r="S233" s="1327">
        <v>90200000</v>
      </c>
      <c r="T233" s="1327">
        <f>+'PAA V30'!$R233-'PAA V30'!$S233</f>
        <v>0</v>
      </c>
      <c r="U233" s="1327">
        <v>90200000</v>
      </c>
      <c r="V233" s="1327">
        <v>37720000</v>
      </c>
      <c r="W233" s="1327"/>
    </row>
    <row r="234" spans="1:23" s="1204" customFormat="1" ht="75" hidden="1" x14ac:dyDescent="0.2">
      <c r="A234" s="1169">
        <v>2022241</v>
      </c>
      <c r="B234" s="1169">
        <v>7655</v>
      </c>
      <c r="C234" s="1326" t="s">
        <v>648</v>
      </c>
      <c r="D234" s="1187" t="s">
        <v>646</v>
      </c>
      <c r="E234" s="1171">
        <v>80111600</v>
      </c>
      <c r="F234" s="1349" t="s">
        <v>920</v>
      </c>
      <c r="G234" s="1343">
        <v>44562</v>
      </c>
      <c r="H234" s="1343">
        <v>44592</v>
      </c>
      <c r="I234" s="1173">
        <v>11</v>
      </c>
      <c r="J234" s="1173" t="s">
        <v>677</v>
      </c>
      <c r="K234" s="1174" t="s">
        <v>678</v>
      </c>
      <c r="L234" s="1175" t="s">
        <v>679</v>
      </c>
      <c r="M234" s="1176">
        <f>82500000-12512000-488000</f>
        <v>69500000</v>
      </c>
      <c r="N234" s="1344" t="s">
        <v>784</v>
      </c>
      <c r="O234" s="1171" t="s">
        <v>771</v>
      </c>
      <c r="P234" s="1218" t="s">
        <v>682</v>
      </c>
      <c r="Q234" s="1160"/>
      <c r="R234" s="1266">
        <v>82500000</v>
      </c>
      <c r="S234" s="1327">
        <v>82500000</v>
      </c>
      <c r="T234" s="1327">
        <f>+'PAA V30'!$R234-'PAA V30'!$S234</f>
        <v>0</v>
      </c>
      <c r="U234" s="1327">
        <v>82500000</v>
      </c>
      <c r="V234" s="1327">
        <v>32750000</v>
      </c>
      <c r="W234" s="1327"/>
    </row>
    <row r="235" spans="1:23" s="1204" customFormat="1" ht="75" hidden="1" x14ac:dyDescent="0.2">
      <c r="A235" s="1169">
        <v>2022242</v>
      </c>
      <c r="B235" s="1169">
        <v>7655</v>
      </c>
      <c r="C235" s="1326" t="s">
        <v>648</v>
      </c>
      <c r="D235" s="1187" t="s">
        <v>646</v>
      </c>
      <c r="E235" s="1171">
        <v>80111600</v>
      </c>
      <c r="F235" s="1349" t="s">
        <v>921</v>
      </c>
      <c r="G235" s="1343">
        <v>44562</v>
      </c>
      <c r="H235" s="1343">
        <v>44592</v>
      </c>
      <c r="I235" s="1173">
        <v>11</v>
      </c>
      <c r="J235" s="1173" t="s">
        <v>677</v>
      </c>
      <c r="K235" s="1174" t="s">
        <v>678</v>
      </c>
      <c r="L235" s="1175" t="s">
        <v>679</v>
      </c>
      <c r="M235" s="1176">
        <v>50600000</v>
      </c>
      <c r="N235" s="1344" t="s">
        <v>784</v>
      </c>
      <c r="O235" s="1171" t="s">
        <v>771</v>
      </c>
      <c r="P235" s="1218" t="s">
        <v>682</v>
      </c>
      <c r="Q235" s="1160"/>
      <c r="R235" s="1266">
        <v>50600000</v>
      </c>
      <c r="S235" s="1327">
        <v>50600000</v>
      </c>
      <c r="T235" s="1327">
        <f>+'PAA V30'!$R235-'PAA V30'!$S235</f>
        <v>0</v>
      </c>
      <c r="U235" s="1327">
        <v>50600000</v>
      </c>
      <c r="V235" s="1327">
        <v>19320000</v>
      </c>
      <c r="W235" s="1327"/>
    </row>
    <row r="236" spans="1:23" s="1204" customFormat="1" ht="75" hidden="1" x14ac:dyDescent="0.2">
      <c r="A236" s="1169">
        <v>2022243</v>
      </c>
      <c r="B236" s="1169">
        <v>7655</v>
      </c>
      <c r="C236" s="1326" t="s">
        <v>648</v>
      </c>
      <c r="D236" s="1187" t="s">
        <v>646</v>
      </c>
      <c r="E236" s="1171">
        <v>80111600</v>
      </c>
      <c r="F236" s="1349" t="s">
        <v>922</v>
      </c>
      <c r="G236" s="1343">
        <v>44562</v>
      </c>
      <c r="H236" s="1343">
        <v>44592</v>
      </c>
      <c r="I236" s="1173">
        <v>11</v>
      </c>
      <c r="J236" s="1173" t="s">
        <v>677</v>
      </c>
      <c r="K236" s="1174" t="s">
        <v>678</v>
      </c>
      <c r="L236" s="1175" t="s">
        <v>679</v>
      </c>
      <c r="M236" s="1176">
        <f>35200000-2820334-2129666</f>
        <v>30250000</v>
      </c>
      <c r="N236" s="1344" t="s">
        <v>784</v>
      </c>
      <c r="O236" s="1171" t="s">
        <v>771</v>
      </c>
      <c r="P236" s="1218" t="s">
        <v>682</v>
      </c>
      <c r="Q236" s="1160"/>
      <c r="R236" s="1266">
        <v>30250000</v>
      </c>
      <c r="S236" s="1327">
        <v>30250000</v>
      </c>
      <c r="T236" s="1327">
        <f>+'PAA V30'!$R236-'PAA V30'!$S236</f>
        <v>0</v>
      </c>
      <c r="U236" s="1327">
        <v>30250000</v>
      </c>
      <c r="V236" s="1327">
        <v>10450000</v>
      </c>
      <c r="W236" s="1327"/>
    </row>
    <row r="237" spans="1:23" s="1204" customFormat="1" ht="75" hidden="1" x14ac:dyDescent="0.2">
      <c r="A237" s="1169">
        <v>2022244</v>
      </c>
      <c r="B237" s="1169">
        <v>7655</v>
      </c>
      <c r="C237" s="1326" t="s">
        <v>648</v>
      </c>
      <c r="D237" s="1187" t="s">
        <v>646</v>
      </c>
      <c r="E237" s="1171">
        <v>80111600</v>
      </c>
      <c r="F237" s="1349" t="s">
        <v>923</v>
      </c>
      <c r="G237" s="1343">
        <v>44562</v>
      </c>
      <c r="H237" s="1343">
        <v>44592</v>
      </c>
      <c r="I237" s="1173">
        <v>11</v>
      </c>
      <c r="J237" s="1173" t="s">
        <v>677</v>
      </c>
      <c r="K237" s="1174" t="s">
        <v>678</v>
      </c>
      <c r="L237" s="1175" t="s">
        <v>679</v>
      </c>
      <c r="M237" s="1176">
        <v>39050000</v>
      </c>
      <c r="N237" s="1344" t="s">
        <v>784</v>
      </c>
      <c r="O237" s="1171" t="s">
        <v>771</v>
      </c>
      <c r="P237" s="1218" t="s">
        <v>682</v>
      </c>
      <c r="Q237" s="1160"/>
      <c r="R237" s="1266">
        <v>39050000</v>
      </c>
      <c r="S237" s="1327">
        <v>39050000</v>
      </c>
      <c r="T237" s="1327">
        <f>+'PAA V30'!$R237-'PAA V30'!$S237</f>
        <v>0</v>
      </c>
      <c r="U237" s="1327">
        <v>39050000</v>
      </c>
      <c r="V237" s="1327">
        <v>15501667</v>
      </c>
      <c r="W237" s="1327"/>
    </row>
    <row r="238" spans="1:23" s="1204" customFormat="1" ht="75" hidden="1" x14ac:dyDescent="0.2">
      <c r="A238" s="1169">
        <v>2022245</v>
      </c>
      <c r="B238" s="1169">
        <v>7655</v>
      </c>
      <c r="C238" s="1326" t="s">
        <v>648</v>
      </c>
      <c r="D238" s="1187" t="s">
        <v>646</v>
      </c>
      <c r="E238" s="1171">
        <v>80111600</v>
      </c>
      <c r="F238" s="1349" t="s">
        <v>924</v>
      </c>
      <c r="G238" s="1343">
        <v>44562</v>
      </c>
      <c r="H238" s="1343">
        <v>44592</v>
      </c>
      <c r="I238" s="1173">
        <v>11</v>
      </c>
      <c r="J238" s="1173" t="s">
        <v>677</v>
      </c>
      <c r="K238" s="1174" t="s">
        <v>678</v>
      </c>
      <c r="L238" s="1175" t="s">
        <v>679</v>
      </c>
      <c r="M238" s="1176">
        <v>39050000</v>
      </c>
      <c r="N238" s="1344" t="s">
        <v>784</v>
      </c>
      <c r="O238" s="1171" t="s">
        <v>771</v>
      </c>
      <c r="P238" s="1218" t="s">
        <v>682</v>
      </c>
      <c r="Q238" s="1160"/>
      <c r="R238" s="1266">
        <v>39050000</v>
      </c>
      <c r="S238" s="1327">
        <v>39050000</v>
      </c>
      <c r="T238" s="1327">
        <f>+'PAA V30'!$R238-'PAA V30'!$S238</f>
        <v>0</v>
      </c>
      <c r="U238" s="1327">
        <v>39050000</v>
      </c>
      <c r="V238" s="1327">
        <v>15620000</v>
      </c>
      <c r="W238" s="1327"/>
    </row>
    <row r="239" spans="1:23" s="1204" customFormat="1" ht="75" hidden="1" x14ac:dyDescent="0.2">
      <c r="A239" s="1169">
        <v>2022246</v>
      </c>
      <c r="B239" s="1169">
        <v>7655</v>
      </c>
      <c r="C239" s="1326" t="s">
        <v>648</v>
      </c>
      <c r="D239" s="1187" t="s">
        <v>646</v>
      </c>
      <c r="E239" s="1171">
        <v>80111600</v>
      </c>
      <c r="F239" s="1349" t="s">
        <v>925</v>
      </c>
      <c r="G239" s="1343">
        <v>44562</v>
      </c>
      <c r="H239" s="1343">
        <v>44592</v>
      </c>
      <c r="I239" s="1173">
        <v>11</v>
      </c>
      <c r="J239" s="1173" t="s">
        <v>677</v>
      </c>
      <c r="K239" s="1174" t="s">
        <v>678</v>
      </c>
      <c r="L239" s="1175" t="s">
        <v>679</v>
      </c>
      <c r="M239" s="1176">
        <v>39050000</v>
      </c>
      <c r="N239" s="1344" t="s">
        <v>784</v>
      </c>
      <c r="O239" s="1171" t="s">
        <v>771</v>
      </c>
      <c r="P239" s="1218" t="s">
        <v>682</v>
      </c>
      <c r="Q239" s="1160"/>
      <c r="R239" s="1266">
        <v>39050000</v>
      </c>
      <c r="S239" s="1327">
        <v>39050000</v>
      </c>
      <c r="T239" s="1327">
        <f>+'PAA V30'!$R239-'PAA V30'!$S239</f>
        <v>0</v>
      </c>
      <c r="U239" s="1327">
        <v>39050000</v>
      </c>
      <c r="V239" s="1327">
        <v>15501667</v>
      </c>
      <c r="W239" s="1327"/>
    </row>
    <row r="240" spans="1:23" s="1204" customFormat="1" ht="75" hidden="1" x14ac:dyDescent="0.2">
      <c r="A240" s="1169">
        <v>2022247</v>
      </c>
      <c r="B240" s="1169">
        <v>7655</v>
      </c>
      <c r="C240" s="1326" t="s">
        <v>648</v>
      </c>
      <c r="D240" s="1187" t="s">
        <v>646</v>
      </c>
      <c r="E240" s="1171">
        <v>80111600</v>
      </c>
      <c r="F240" s="1349" t="s">
        <v>926</v>
      </c>
      <c r="G240" s="1343">
        <v>44562</v>
      </c>
      <c r="H240" s="1343">
        <v>44592</v>
      </c>
      <c r="I240" s="1173">
        <v>11</v>
      </c>
      <c r="J240" s="1173" t="s">
        <v>677</v>
      </c>
      <c r="K240" s="1174" t="s">
        <v>678</v>
      </c>
      <c r="L240" s="1175" t="s">
        <v>679</v>
      </c>
      <c r="M240" s="1176">
        <v>30250000</v>
      </c>
      <c r="N240" s="1344" t="s">
        <v>784</v>
      </c>
      <c r="O240" s="1171" t="s">
        <v>771</v>
      </c>
      <c r="P240" s="1170" t="s">
        <v>682</v>
      </c>
      <c r="Q240" s="1160"/>
      <c r="R240" s="1266">
        <v>30250000</v>
      </c>
      <c r="S240" s="1327">
        <v>30250000</v>
      </c>
      <c r="T240" s="1327">
        <f>+'PAA V30'!$R240-'PAA V30'!$S240</f>
        <v>0</v>
      </c>
      <c r="U240" s="1327">
        <v>30250000</v>
      </c>
      <c r="V240" s="1327">
        <v>12100000</v>
      </c>
      <c r="W240" s="1327"/>
    </row>
    <row r="241" spans="1:23" s="1204" customFormat="1" ht="75" hidden="1" x14ac:dyDescent="0.2">
      <c r="A241" s="1169">
        <v>2022248</v>
      </c>
      <c r="B241" s="1169">
        <v>7655</v>
      </c>
      <c r="C241" s="1326" t="s">
        <v>648</v>
      </c>
      <c r="D241" s="1187" t="s">
        <v>646</v>
      </c>
      <c r="E241" s="1171">
        <v>80111600</v>
      </c>
      <c r="F241" s="1349" t="s">
        <v>927</v>
      </c>
      <c r="G241" s="1343">
        <v>44562</v>
      </c>
      <c r="H241" s="1343">
        <v>44592</v>
      </c>
      <c r="I241" s="1173">
        <v>11</v>
      </c>
      <c r="J241" s="1173" t="s">
        <v>677</v>
      </c>
      <c r="K241" s="1174" t="s">
        <v>678</v>
      </c>
      <c r="L241" s="1175" t="s">
        <v>679</v>
      </c>
      <c r="M241" s="1176">
        <v>36850000</v>
      </c>
      <c r="N241" s="1344" t="s">
        <v>784</v>
      </c>
      <c r="O241" s="1171" t="s">
        <v>771</v>
      </c>
      <c r="P241" s="1170" t="s">
        <v>682</v>
      </c>
      <c r="Q241" s="1160"/>
      <c r="R241" s="1266">
        <v>36850000</v>
      </c>
      <c r="S241" s="1327">
        <v>36850000</v>
      </c>
      <c r="T241" s="1327">
        <f>+'PAA V30'!$R241-'PAA V30'!$S241</f>
        <v>0</v>
      </c>
      <c r="U241" s="1327">
        <v>36850000</v>
      </c>
      <c r="V241" s="1327">
        <v>14628333</v>
      </c>
      <c r="W241" s="1327"/>
    </row>
    <row r="242" spans="1:23" s="1204" customFormat="1" ht="75" hidden="1" x14ac:dyDescent="0.2">
      <c r="A242" s="1169">
        <v>2022249</v>
      </c>
      <c r="B242" s="1169">
        <v>7655</v>
      </c>
      <c r="C242" s="1326" t="s">
        <v>648</v>
      </c>
      <c r="D242" s="1187" t="s">
        <v>646</v>
      </c>
      <c r="E242" s="1171">
        <v>80111600</v>
      </c>
      <c r="F242" s="1349" t="s">
        <v>928</v>
      </c>
      <c r="G242" s="1343">
        <v>44562</v>
      </c>
      <c r="H242" s="1343">
        <v>44592</v>
      </c>
      <c r="I242" s="1173">
        <v>11</v>
      </c>
      <c r="J242" s="1173" t="s">
        <v>677</v>
      </c>
      <c r="K242" s="1174" t="s">
        <v>678</v>
      </c>
      <c r="L242" s="1175" t="s">
        <v>679</v>
      </c>
      <c r="M242" s="1176">
        <v>38500000</v>
      </c>
      <c r="N242" s="1344" t="s">
        <v>784</v>
      </c>
      <c r="O242" s="1171" t="s">
        <v>771</v>
      </c>
      <c r="P242" s="1170" t="s">
        <v>682</v>
      </c>
      <c r="Q242" s="1160"/>
      <c r="R242" s="1266">
        <v>38500000</v>
      </c>
      <c r="S242" s="1327">
        <v>38500000</v>
      </c>
      <c r="T242" s="1327">
        <f>+'PAA V30'!$R242-'PAA V30'!$S242</f>
        <v>0</v>
      </c>
      <c r="U242" s="1327">
        <v>38500000</v>
      </c>
      <c r="V242" s="1327">
        <v>14700000</v>
      </c>
      <c r="W242" s="1327"/>
    </row>
    <row r="243" spans="1:23" s="1204" customFormat="1" ht="75" hidden="1" x14ac:dyDescent="0.2">
      <c r="A243" s="1169">
        <v>2022250</v>
      </c>
      <c r="B243" s="1169">
        <v>7655</v>
      </c>
      <c r="C243" s="1326" t="s">
        <v>648</v>
      </c>
      <c r="D243" s="1187" t="s">
        <v>646</v>
      </c>
      <c r="E243" s="1171">
        <v>80111600</v>
      </c>
      <c r="F243" s="1349" t="s">
        <v>929</v>
      </c>
      <c r="G243" s="1343">
        <v>44562</v>
      </c>
      <c r="H243" s="1343">
        <v>44592</v>
      </c>
      <c r="I243" s="1173">
        <v>11</v>
      </c>
      <c r="J243" s="1173" t="s">
        <v>677</v>
      </c>
      <c r="K243" s="1174" t="s">
        <v>678</v>
      </c>
      <c r="L243" s="1175" t="s">
        <v>679</v>
      </c>
      <c r="M243" s="1176">
        <v>95700000</v>
      </c>
      <c r="N243" s="1344" t="s">
        <v>784</v>
      </c>
      <c r="O243" s="1171" t="s">
        <v>771</v>
      </c>
      <c r="P243" s="1170" t="s">
        <v>682</v>
      </c>
      <c r="Q243" s="1160"/>
      <c r="R243" s="1266">
        <v>95700000</v>
      </c>
      <c r="S243" s="1327">
        <v>95700000</v>
      </c>
      <c r="T243" s="1327">
        <f>+'PAA V30'!$R243-'PAA V30'!$S243</f>
        <v>0</v>
      </c>
      <c r="U243" s="1327">
        <v>95700000</v>
      </c>
      <c r="V243" s="1327">
        <v>37700000</v>
      </c>
      <c r="W243" s="1327"/>
    </row>
    <row r="244" spans="1:23" s="1204" customFormat="1" ht="120" hidden="1" x14ac:dyDescent="0.2">
      <c r="A244" s="1169">
        <v>2022251</v>
      </c>
      <c r="B244" s="1169">
        <v>7658</v>
      </c>
      <c r="C244" s="1326" t="s">
        <v>673</v>
      </c>
      <c r="D244" s="1187" t="s">
        <v>690</v>
      </c>
      <c r="E244" s="1171">
        <v>80111600</v>
      </c>
      <c r="F244" s="1349" t="s">
        <v>930</v>
      </c>
      <c r="G244" s="1343">
        <v>44575</v>
      </c>
      <c r="H244" s="1343">
        <v>44575</v>
      </c>
      <c r="I244" s="1173">
        <v>11.5</v>
      </c>
      <c r="J244" s="1173" t="s">
        <v>677</v>
      </c>
      <c r="K244" s="1174" t="s">
        <v>678</v>
      </c>
      <c r="L244" s="1175" t="s">
        <v>679</v>
      </c>
      <c r="M244" s="1176">
        <f>103500000-52400000</f>
        <v>51100000</v>
      </c>
      <c r="N244" s="1344" t="s">
        <v>931</v>
      </c>
      <c r="O244" s="1171" t="s">
        <v>915</v>
      </c>
      <c r="P244" s="1170" t="s">
        <v>682</v>
      </c>
      <c r="Q244" s="1160"/>
      <c r="R244" s="1266">
        <v>0</v>
      </c>
      <c r="S244" s="1327"/>
      <c r="T244" s="1327">
        <f>+'PAA V30'!$R244-'PAA V30'!$S244</f>
        <v>0</v>
      </c>
      <c r="U244" s="1327"/>
      <c r="V244" s="1327"/>
      <c r="W244" s="1327"/>
    </row>
    <row r="245" spans="1:23" s="1204" customFormat="1" ht="120" hidden="1" x14ac:dyDescent="0.2">
      <c r="A245" s="1169">
        <v>2022252</v>
      </c>
      <c r="B245" s="1169">
        <v>7658</v>
      </c>
      <c r="C245" s="1326" t="s">
        <v>673</v>
      </c>
      <c r="D245" s="1187" t="s">
        <v>690</v>
      </c>
      <c r="E245" s="1171">
        <v>80111600</v>
      </c>
      <c r="F245" s="1349" t="s">
        <v>932</v>
      </c>
      <c r="G245" s="1343">
        <v>44575</v>
      </c>
      <c r="H245" s="1343">
        <v>44575</v>
      </c>
      <c r="I245" s="1173">
        <v>11.5</v>
      </c>
      <c r="J245" s="1173" t="s">
        <v>677</v>
      </c>
      <c r="K245" s="1174" t="s">
        <v>678</v>
      </c>
      <c r="L245" s="1175" t="s">
        <v>783</v>
      </c>
      <c r="M245" s="1176">
        <v>103500000</v>
      </c>
      <c r="N245" s="1344" t="s">
        <v>931</v>
      </c>
      <c r="O245" s="1171" t="s">
        <v>915</v>
      </c>
      <c r="P245" s="1218" t="s">
        <v>682</v>
      </c>
      <c r="Q245" s="1160"/>
      <c r="R245" s="1327">
        <v>103500000</v>
      </c>
      <c r="S245" s="1327">
        <v>103500000</v>
      </c>
      <c r="T245" s="1327">
        <f>+'PAA V30'!$R245-'PAA V30'!$S245</f>
        <v>0</v>
      </c>
      <c r="U245" s="1327">
        <v>103500000</v>
      </c>
      <c r="V245" s="1327">
        <v>39900000</v>
      </c>
      <c r="W245" s="1327"/>
    </row>
    <row r="246" spans="1:23" s="1204" customFormat="1" ht="120" hidden="1" x14ac:dyDescent="0.2">
      <c r="A246" s="1169">
        <v>2022253</v>
      </c>
      <c r="B246" s="1169">
        <v>7658</v>
      </c>
      <c r="C246" s="1326" t="s">
        <v>673</v>
      </c>
      <c r="D246" s="1187" t="s">
        <v>690</v>
      </c>
      <c r="E246" s="1171">
        <v>80111600</v>
      </c>
      <c r="F246" s="1349" t="s">
        <v>933</v>
      </c>
      <c r="G246" s="1343">
        <v>44575</v>
      </c>
      <c r="H246" s="1343">
        <v>44575</v>
      </c>
      <c r="I246" s="1173">
        <v>11.5</v>
      </c>
      <c r="J246" s="1173" t="s">
        <v>677</v>
      </c>
      <c r="K246" s="1174" t="s">
        <v>678</v>
      </c>
      <c r="L246" s="1175" t="s">
        <v>679</v>
      </c>
      <c r="M246" s="1176">
        <f>32775000-575000</f>
        <v>32200000</v>
      </c>
      <c r="N246" s="1344" t="s">
        <v>931</v>
      </c>
      <c r="O246" s="1171" t="s">
        <v>915</v>
      </c>
      <c r="P246" s="1218" t="s">
        <v>682</v>
      </c>
      <c r="Q246" s="1160"/>
      <c r="R246" s="1327">
        <v>32200000</v>
      </c>
      <c r="S246" s="1327">
        <v>32200000</v>
      </c>
      <c r="T246" s="1327">
        <f>+'PAA V30'!$R246-'PAA V30'!$S246</f>
        <v>0</v>
      </c>
      <c r="U246" s="1327">
        <v>32200000</v>
      </c>
      <c r="V246" s="1327">
        <v>11293333</v>
      </c>
      <c r="W246" s="1327"/>
    </row>
    <row r="247" spans="1:23" s="1204" customFormat="1" ht="120" hidden="1" x14ac:dyDescent="0.2">
      <c r="A247" s="1169">
        <v>2022255</v>
      </c>
      <c r="B247" s="1169">
        <v>7658</v>
      </c>
      <c r="C247" s="1326" t="s">
        <v>673</v>
      </c>
      <c r="D247" s="1187" t="s">
        <v>690</v>
      </c>
      <c r="E247" s="1171">
        <v>80111600</v>
      </c>
      <c r="F247" s="1349" t="s">
        <v>934</v>
      </c>
      <c r="G247" s="1343">
        <v>44575</v>
      </c>
      <c r="H247" s="1343">
        <v>44575</v>
      </c>
      <c r="I247" s="1173">
        <v>11.5</v>
      </c>
      <c r="J247" s="1173" t="s">
        <v>677</v>
      </c>
      <c r="K247" s="1174" t="s">
        <v>678</v>
      </c>
      <c r="L247" s="1175" t="s">
        <v>679</v>
      </c>
      <c r="M247" s="1176">
        <v>83950000</v>
      </c>
      <c r="N247" s="1344" t="s">
        <v>931</v>
      </c>
      <c r="O247" s="1171" t="s">
        <v>915</v>
      </c>
      <c r="P247" s="1218" t="s">
        <v>682</v>
      </c>
      <c r="Q247" s="1160"/>
      <c r="R247" s="1327">
        <v>83950000</v>
      </c>
      <c r="S247" s="1327">
        <v>83950000</v>
      </c>
      <c r="T247" s="1327">
        <f>+'PAA V30'!$R247-'PAA V30'!$S247</f>
        <v>0</v>
      </c>
      <c r="U247" s="1327">
        <v>83950000</v>
      </c>
      <c r="V247" s="1327">
        <v>31876667</v>
      </c>
      <c r="W247" s="1327"/>
    </row>
    <row r="248" spans="1:23" s="1204" customFormat="1" ht="120" hidden="1" x14ac:dyDescent="0.2">
      <c r="A248" s="1169">
        <v>2022257</v>
      </c>
      <c r="B248" s="1169">
        <v>7658</v>
      </c>
      <c r="C248" s="1326" t="s">
        <v>673</v>
      </c>
      <c r="D248" s="1187" t="s">
        <v>690</v>
      </c>
      <c r="E248" s="1171">
        <v>80111600</v>
      </c>
      <c r="F248" s="1349" t="s">
        <v>935</v>
      </c>
      <c r="G248" s="1343">
        <v>44575</v>
      </c>
      <c r="H248" s="1343">
        <v>44575</v>
      </c>
      <c r="I248" s="1173">
        <v>11.5</v>
      </c>
      <c r="J248" s="1173" t="s">
        <v>677</v>
      </c>
      <c r="K248" s="1174" t="s">
        <v>678</v>
      </c>
      <c r="L248" s="1175" t="s">
        <v>679</v>
      </c>
      <c r="M248" s="1176">
        <v>83950000</v>
      </c>
      <c r="N248" s="1344" t="s">
        <v>931</v>
      </c>
      <c r="O248" s="1171" t="s">
        <v>915</v>
      </c>
      <c r="P248" s="1218" t="s">
        <v>682</v>
      </c>
      <c r="Q248" s="1160"/>
      <c r="R248" s="1327">
        <v>65700000</v>
      </c>
      <c r="S248" s="1327">
        <v>65700000</v>
      </c>
      <c r="T248" s="1327">
        <f>+'PAA V30'!$R248-'PAA V30'!$S248</f>
        <v>0</v>
      </c>
      <c r="U248" s="1327">
        <v>65700000</v>
      </c>
      <c r="V248" s="1327">
        <v>20440000</v>
      </c>
      <c r="W248" s="1327"/>
    </row>
    <row r="249" spans="1:23" s="1204" customFormat="1" ht="120" hidden="1" x14ac:dyDescent="0.2">
      <c r="A249" s="1169">
        <v>2022258</v>
      </c>
      <c r="B249" s="1169">
        <v>7658</v>
      </c>
      <c r="C249" s="1326" t="s">
        <v>673</v>
      </c>
      <c r="D249" s="1187" t="s">
        <v>690</v>
      </c>
      <c r="E249" s="1171">
        <v>80111600</v>
      </c>
      <c r="F249" s="1349" t="s">
        <v>936</v>
      </c>
      <c r="G249" s="1343">
        <v>44575</v>
      </c>
      <c r="H249" s="1343">
        <v>44575</v>
      </c>
      <c r="I249" s="1173">
        <v>11.5</v>
      </c>
      <c r="J249" s="1173" t="s">
        <v>677</v>
      </c>
      <c r="K249" s="1174" t="s">
        <v>678</v>
      </c>
      <c r="L249" s="1175" t="s">
        <v>679</v>
      </c>
      <c r="M249" s="1176">
        <f>83950000-4450000-35700000</f>
        <v>43800000</v>
      </c>
      <c r="N249" s="1344" t="s">
        <v>931</v>
      </c>
      <c r="O249" s="1171" t="s">
        <v>915</v>
      </c>
      <c r="P249" s="1218" t="s">
        <v>682</v>
      </c>
      <c r="Q249" s="1160"/>
      <c r="R249" s="1327">
        <v>83950000</v>
      </c>
      <c r="S249" s="1327">
        <v>83950000</v>
      </c>
      <c r="T249" s="1327">
        <f>+'PAA V30'!$R249-'PAA V30'!$S249</f>
        <v>0</v>
      </c>
      <c r="U249" s="1327">
        <v>43800000</v>
      </c>
      <c r="V249" s="1327">
        <v>30903333</v>
      </c>
      <c r="W249" s="1327"/>
    </row>
    <row r="250" spans="1:23" s="1204" customFormat="1" ht="120" hidden="1" x14ac:dyDescent="0.2">
      <c r="A250" s="1169">
        <v>2022260</v>
      </c>
      <c r="B250" s="1169">
        <v>7658</v>
      </c>
      <c r="C250" s="1326" t="s">
        <v>673</v>
      </c>
      <c r="D250" s="1187" t="s">
        <v>690</v>
      </c>
      <c r="E250" s="1171">
        <v>80111600</v>
      </c>
      <c r="F250" s="1349" t="s">
        <v>936</v>
      </c>
      <c r="G250" s="1343">
        <v>44575</v>
      </c>
      <c r="H250" s="1343">
        <v>44575</v>
      </c>
      <c r="I250" s="1173">
        <v>11.5</v>
      </c>
      <c r="J250" s="1173" t="s">
        <v>677</v>
      </c>
      <c r="K250" s="1174" t="s">
        <v>678</v>
      </c>
      <c r="L250" s="1175" t="s">
        <v>679</v>
      </c>
      <c r="M250" s="1176">
        <f>83950000-40150000</f>
        <v>43800000</v>
      </c>
      <c r="N250" s="1344" t="s">
        <v>931</v>
      </c>
      <c r="O250" s="1171" t="s">
        <v>915</v>
      </c>
      <c r="P250" s="1218" t="s">
        <v>682</v>
      </c>
      <c r="Q250" s="1160"/>
      <c r="R250" s="1327">
        <v>51100000</v>
      </c>
      <c r="S250" s="1327">
        <v>51100000</v>
      </c>
      <c r="T250" s="1327">
        <f>+'PAA V30'!$R250-'PAA V30'!$S250</f>
        <v>0</v>
      </c>
      <c r="U250" s="1327">
        <v>51100000</v>
      </c>
      <c r="V250" s="1327">
        <v>29930000</v>
      </c>
      <c r="W250" s="1327"/>
    </row>
    <row r="251" spans="1:23" s="1204" customFormat="1" ht="120" hidden="1" x14ac:dyDescent="0.2">
      <c r="A251" s="1169">
        <v>2022261</v>
      </c>
      <c r="B251" s="1169">
        <v>7658</v>
      </c>
      <c r="C251" s="1326" t="s">
        <v>673</v>
      </c>
      <c r="D251" s="1187" t="s">
        <v>690</v>
      </c>
      <c r="E251" s="1171">
        <v>80111600</v>
      </c>
      <c r="F251" s="1349" t="s">
        <v>936</v>
      </c>
      <c r="G251" s="1343">
        <v>44575</v>
      </c>
      <c r="H251" s="1343">
        <v>44575</v>
      </c>
      <c r="I251" s="1173">
        <v>11.5</v>
      </c>
      <c r="J251" s="1173" t="s">
        <v>677</v>
      </c>
      <c r="K251" s="1174" t="s">
        <v>678</v>
      </c>
      <c r="L251" s="1175" t="s">
        <v>679</v>
      </c>
      <c r="M251" s="1176">
        <f>83950000-32850000</f>
        <v>51100000</v>
      </c>
      <c r="N251" s="1344" t="s">
        <v>931</v>
      </c>
      <c r="O251" s="1171" t="s">
        <v>915</v>
      </c>
      <c r="P251" s="1218" t="s">
        <v>682</v>
      </c>
      <c r="Q251" s="1160"/>
      <c r="R251" s="1327">
        <v>78200000</v>
      </c>
      <c r="S251" s="1327">
        <v>78200000</v>
      </c>
      <c r="T251" s="1327">
        <f>+'PAA V30'!$R251-'PAA V30'!$S251</f>
        <v>0</v>
      </c>
      <c r="U251" s="1327">
        <v>78200000</v>
      </c>
      <c r="V251" s="1327">
        <v>30373333</v>
      </c>
      <c r="W251" s="1327"/>
    </row>
    <row r="252" spans="1:23" s="1204" customFormat="1" ht="120" hidden="1" x14ac:dyDescent="0.2">
      <c r="A252" s="1169">
        <v>2022262</v>
      </c>
      <c r="B252" s="1169">
        <v>7658</v>
      </c>
      <c r="C252" s="1326" t="s">
        <v>673</v>
      </c>
      <c r="D252" s="1187" t="s">
        <v>690</v>
      </c>
      <c r="E252" s="1171">
        <v>80111600</v>
      </c>
      <c r="F252" s="1349" t="s">
        <v>936</v>
      </c>
      <c r="G252" s="1343">
        <v>44575</v>
      </c>
      <c r="H252" s="1343">
        <v>44575</v>
      </c>
      <c r="I252" s="1173">
        <v>11.5</v>
      </c>
      <c r="J252" s="1173" t="s">
        <v>677</v>
      </c>
      <c r="K252" s="1174" t="s">
        <v>678</v>
      </c>
      <c r="L252" s="1175" t="s">
        <v>679</v>
      </c>
      <c r="M252" s="1176">
        <f>83950000-11791270-6458730</f>
        <v>65700000</v>
      </c>
      <c r="N252" s="1344" t="s">
        <v>931</v>
      </c>
      <c r="O252" s="1171" t="s">
        <v>915</v>
      </c>
      <c r="P252" s="1218" t="s">
        <v>682</v>
      </c>
      <c r="Q252" s="1160"/>
      <c r="R252" s="1327">
        <v>83950000</v>
      </c>
      <c r="S252" s="1327">
        <v>83950000</v>
      </c>
      <c r="T252" s="1327">
        <f>+'PAA V30'!$R252-'PAA V30'!$S252</f>
        <v>0</v>
      </c>
      <c r="U252" s="1327">
        <v>83950000</v>
      </c>
      <c r="V252" s="1327">
        <v>31876667</v>
      </c>
      <c r="W252" s="1327"/>
    </row>
    <row r="253" spans="1:23" s="1204" customFormat="1" ht="120" hidden="1" x14ac:dyDescent="0.2">
      <c r="A253" s="1169">
        <v>2022263</v>
      </c>
      <c r="B253" s="1169">
        <v>7658</v>
      </c>
      <c r="C253" s="1326" t="s">
        <v>673</v>
      </c>
      <c r="D253" s="1187" t="s">
        <v>690</v>
      </c>
      <c r="E253" s="1171">
        <v>80111600</v>
      </c>
      <c r="F253" s="1349" t="s">
        <v>935</v>
      </c>
      <c r="G253" s="1343">
        <v>44575</v>
      </c>
      <c r="H253" s="1343">
        <v>44575</v>
      </c>
      <c r="I253" s="1173">
        <v>11.5</v>
      </c>
      <c r="J253" s="1173" t="s">
        <v>677</v>
      </c>
      <c r="K253" s="1174" t="s">
        <v>678</v>
      </c>
      <c r="L253" s="1175" t="s">
        <v>679</v>
      </c>
      <c r="M253" s="1176">
        <f>78200000-27000000+27000000-31054992-1585008</f>
        <v>45560000</v>
      </c>
      <c r="N253" s="1344" t="s">
        <v>931</v>
      </c>
      <c r="O253" s="1171" t="s">
        <v>915</v>
      </c>
      <c r="P253" s="1218" t="s">
        <v>682</v>
      </c>
      <c r="Q253" s="1160"/>
      <c r="R253" s="1327">
        <v>43800000</v>
      </c>
      <c r="S253" s="1327">
        <v>43800000</v>
      </c>
      <c r="T253" s="1327">
        <f>+'PAA V30'!$R253-'PAA V30'!$S253</f>
        <v>0</v>
      </c>
      <c r="U253" s="1327">
        <v>43800000</v>
      </c>
      <c r="V253" s="1327">
        <v>28956667</v>
      </c>
      <c r="W253" s="1327"/>
    </row>
    <row r="254" spans="1:23" s="1204" customFormat="1" ht="120" hidden="1" x14ac:dyDescent="0.2">
      <c r="A254" s="1169">
        <v>2022264</v>
      </c>
      <c r="B254" s="1169">
        <v>7658</v>
      </c>
      <c r="C254" s="1326" t="s">
        <v>673</v>
      </c>
      <c r="D254" s="1187" t="s">
        <v>690</v>
      </c>
      <c r="E254" s="1171">
        <v>80111600</v>
      </c>
      <c r="F254" s="1349" t="s">
        <v>937</v>
      </c>
      <c r="G254" s="1343">
        <v>44575</v>
      </c>
      <c r="H254" s="1343">
        <v>44575</v>
      </c>
      <c r="I254" s="1173">
        <v>11.5</v>
      </c>
      <c r="J254" s="1173" t="s">
        <v>677</v>
      </c>
      <c r="K254" s="1174" t="s">
        <v>678</v>
      </c>
      <c r="L254" s="1175" t="s">
        <v>679</v>
      </c>
      <c r="M254" s="1176">
        <v>44275000</v>
      </c>
      <c r="N254" s="1344" t="s">
        <v>931</v>
      </c>
      <c r="O254" s="1171" t="s">
        <v>915</v>
      </c>
      <c r="P254" s="1218" t="s">
        <v>682</v>
      </c>
      <c r="Q254" s="1160"/>
      <c r="R254" s="1327">
        <v>44275000</v>
      </c>
      <c r="S254" s="1327">
        <v>44275000</v>
      </c>
      <c r="T254" s="1327">
        <f>+'PAA V30'!$R254-'PAA V30'!$S254</f>
        <v>0</v>
      </c>
      <c r="U254" s="1327">
        <v>44275000</v>
      </c>
      <c r="V254" s="1327">
        <v>11935000</v>
      </c>
      <c r="W254" s="1327"/>
    </row>
    <row r="255" spans="1:23" s="1204" customFormat="1" ht="120" hidden="1" x14ac:dyDescent="0.2">
      <c r="A255" s="1169">
        <v>2022265</v>
      </c>
      <c r="B255" s="1169">
        <v>7658</v>
      </c>
      <c r="C255" s="1326" t="s">
        <v>673</v>
      </c>
      <c r="D255" s="1187" t="s">
        <v>690</v>
      </c>
      <c r="E255" s="1171">
        <v>80111600</v>
      </c>
      <c r="F255" s="1349" t="s">
        <v>938</v>
      </c>
      <c r="G255" s="1343">
        <v>44575</v>
      </c>
      <c r="H255" s="1343">
        <v>44575</v>
      </c>
      <c r="I255" s="1173">
        <v>11.5</v>
      </c>
      <c r="J255" s="1173" t="s">
        <v>677</v>
      </c>
      <c r="K255" s="1174" t="s">
        <v>678</v>
      </c>
      <c r="L255" s="1175" t="s">
        <v>679</v>
      </c>
      <c r="M255" s="1176">
        <v>28175000</v>
      </c>
      <c r="N255" s="1344" t="s">
        <v>931</v>
      </c>
      <c r="O255" s="1171" t="s">
        <v>915</v>
      </c>
      <c r="P255" s="1218" t="s">
        <v>682</v>
      </c>
      <c r="Q255" s="1160"/>
      <c r="R255" s="1327">
        <v>28175000</v>
      </c>
      <c r="S255" s="1327">
        <v>28175000</v>
      </c>
      <c r="T255" s="1327">
        <f>+'PAA V30'!$R255-'PAA V30'!$S255</f>
        <v>0</v>
      </c>
      <c r="U255" s="1327">
        <v>28175000</v>
      </c>
      <c r="V255" s="1327">
        <v>10616667</v>
      </c>
      <c r="W255" s="1327"/>
    </row>
    <row r="256" spans="1:23" s="1204" customFormat="1" ht="120" hidden="1" x14ac:dyDescent="0.2">
      <c r="A256" s="1169">
        <v>2022266</v>
      </c>
      <c r="B256" s="1169">
        <v>7658</v>
      </c>
      <c r="C256" s="1326" t="s">
        <v>673</v>
      </c>
      <c r="D256" s="1187" t="s">
        <v>690</v>
      </c>
      <c r="E256" s="1171">
        <v>80111600</v>
      </c>
      <c r="F256" s="1349" t="s">
        <v>939</v>
      </c>
      <c r="G256" s="1343">
        <v>44575</v>
      </c>
      <c r="H256" s="1343">
        <v>44575</v>
      </c>
      <c r="I256" s="1173">
        <v>11.5</v>
      </c>
      <c r="J256" s="1173" t="s">
        <v>677</v>
      </c>
      <c r="K256" s="1174" t="s">
        <v>678</v>
      </c>
      <c r="L256" s="1175" t="s">
        <v>679</v>
      </c>
      <c r="M256" s="1176">
        <v>63250000</v>
      </c>
      <c r="N256" s="1344" t="s">
        <v>931</v>
      </c>
      <c r="O256" s="1171" t="s">
        <v>915</v>
      </c>
      <c r="P256" s="1218" t="s">
        <v>682</v>
      </c>
      <c r="Q256" s="1160"/>
      <c r="R256" s="1327">
        <v>63250000</v>
      </c>
      <c r="S256" s="1327">
        <v>63250000</v>
      </c>
      <c r="T256" s="1327">
        <f>+'PAA V30'!$R256-'PAA V30'!$S256</f>
        <v>0</v>
      </c>
      <c r="U256" s="1327">
        <v>63250000</v>
      </c>
      <c r="V256" s="1327">
        <v>24383333</v>
      </c>
      <c r="W256" s="1327"/>
    </row>
    <row r="257" spans="1:23" s="1204" customFormat="1" ht="120" hidden="1" x14ac:dyDescent="0.2">
      <c r="A257" s="1169">
        <v>2022267</v>
      </c>
      <c r="B257" s="1169">
        <v>7658</v>
      </c>
      <c r="C257" s="1326" t="s">
        <v>673</v>
      </c>
      <c r="D257" s="1187" t="s">
        <v>690</v>
      </c>
      <c r="E257" s="1171">
        <v>80111600</v>
      </c>
      <c r="F257" s="1349" t="s">
        <v>940</v>
      </c>
      <c r="G257" s="1343">
        <v>44575</v>
      </c>
      <c r="H257" s="1343">
        <v>44575</v>
      </c>
      <c r="I257" s="1173">
        <v>11.5</v>
      </c>
      <c r="J257" s="1173" t="s">
        <v>677</v>
      </c>
      <c r="K257" s="1174" t="s">
        <v>678</v>
      </c>
      <c r="L257" s="1175" t="s">
        <v>679</v>
      </c>
      <c r="M257" s="1176">
        <v>28175000</v>
      </c>
      <c r="N257" s="1344" t="s">
        <v>931</v>
      </c>
      <c r="O257" s="1171" t="s">
        <v>915</v>
      </c>
      <c r="P257" s="1218" t="s">
        <v>682</v>
      </c>
      <c r="Q257" s="1160"/>
      <c r="R257" s="1327">
        <v>28175000</v>
      </c>
      <c r="S257" s="1327">
        <v>28175000</v>
      </c>
      <c r="T257" s="1327">
        <f>+'PAA V30'!$R257-'PAA V30'!$S257</f>
        <v>0</v>
      </c>
      <c r="U257" s="1327">
        <v>28175000</v>
      </c>
      <c r="V257" s="1327">
        <v>9555000</v>
      </c>
      <c r="W257" s="1327"/>
    </row>
    <row r="258" spans="1:23" s="1204" customFormat="1" ht="120" hidden="1" x14ac:dyDescent="0.2">
      <c r="A258" s="1169">
        <v>2022268</v>
      </c>
      <c r="B258" s="1169">
        <v>7658</v>
      </c>
      <c r="C258" s="1326" t="s">
        <v>673</v>
      </c>
      <c r="D258" s="1187" t="s">
        <v>690</v>
      </c>
      <c r="E258" s="1171">
        <v>80111600</v>
      </c>
      <c r="F258" s="1349" t="s">
        <v>940</v>
      </c>
      <c r="G258" s="1343">
        <v>44575</v>
      </c>
      <c r="H258" s="1343">
        <v>44575</v>
      </c>
      <c r="I258" s="1173">
        <v>11.5</v>
      </c>
      <c r="J258" s="1173" t="s">
        <v>677</v>
      </c>
      <c r="K258" s="1174" t="s">
        <v>678</v>
      </c>
      <c r="L258" s="1175" t="s">
        <v>679</v>
      </c>
      <c r="M258" s="1176">
        <v>28175000</v>
      </c>
      <c r="N258" s="1344" t="s">
        <v>931</v>
      </c>
      <c r="O258" s="1171" t="s">
        <v>915</v>
      </c>
      <c r="P258" s="1218" t="s">
        <v>682</v>
      </c>
      <c r="Q258" s="1160"/>
      <c r="R258" s="1327">
        <v>28175000</v>
      </c>
      <c r="S258" s="1327">
        <v>28175000</v>
      </c>
      <c r="T258" s="1327">
        <f>+'PAA V30'!$R258-'PAA V30'!$S258</f>
        <v>0</v>
      </c>
      <c r="U258" s="1327">
        <v>28175000</v>
      </c>
      <c r="V258" s="1327">
        <v>8738333</v>
      </c>
      <c r="W258" s="1327"/>
    </row>
    <row r="259" spans="1:23" s="1204" customFormat="1" ht="120" hidden="1" x14ac:dyDescent="0.2">
      <c r="A259" s="1169">
        <v>2022269</v>
      </c>
      <c r="B259" s="1169">
        <v>7658</v>
      </c>
      <c r="C259" s="1326" t="s">
        <v>673</v>
      </c>
      <c r="D259" s="1187" t="s">
        <v>690</v>
      </c>
      <c r="E259" s="1171">
        <v>80111600</v>
      </c>
      <c r="F259" s="1349" t="s">
        <v>940</v>
      </c>
      <c r="G259" s="1343">
        <v>44575</v>
      </c>
      <c r="H259" s="1343">
        <v>44575</v>
      </c>
      <c r="I259" s="1173">
        <v>11.5</v>
      </c>
      <c r="J259" s="1173" t="s">
        <v>677</v>
      </c>
      <c r="K259" s="1174" t="s">
        <v>678</v>
      </c>
      <c r="L259" s="1175" t="s">
        <v>679</v>
      </c>
      <c r="M259" s="1176">
        <v>28175000</v>
      </c>
      <c r="N259" s="1344" t="s">
        <v>931</v>
      </c>
      <c r="O259" s="1171" t="s">
        <v>915</v>
      </c>
      <c r="P259" s="1218" t="s">
        <v>682</v>
      </c>
      <c r="Q259" s="1160"/>
      <c r="R259" s="1327">
        <v>28175000</v>
      </c>
      <c r="S259" s="1327">
        <v>28175000</v>
      </c>
      <c r="T259" s="1327">
        <f>+'PAA V30'!$R259-'PAA V30'!$S259</f>
        <v>0</v>
      </c>
      <c r="U259" s="1327">
        <v>28175000</v>
      </c>
      <c r="V259" s="1327">
        <v>9718333</v>
      </c>
      <c r="W259" s="1327"/>
    </row>
    <row r="260" spans="1:23" s="1204" customFormat="1" ht="120" hidden="1" x14ac:dyDescent="0.2">
      <c r="A260" s="1169">
        <v>2022270</v>
      </c>
      <c r="B260" s="1169">
        <v>7658</v>
      </c>
      <c r="C260" s="1326" t="s">
        <v>673</v>
      </c>
      <c r="D260" s="1187" t="s">
        <v>690</v>
      </c>
      <c r="E260" s="1171">
        <v>80111600</v>
      </c>
      <c r="F260" s="1349" t="s">
        <v>940</v>
      </c>
      <c r="G260" s="1343">
        <v>44575</v>
      </c>
      <c r="H260" s="1343">
        <v>44575</v>
      </c>
      <c r="I260" s="1173">
        <v>11.5</v>
      </c>
      <c r="J260" s="1173" t="s">
        <v>677</v>
      </c>
      <c r="K260" s="1174" t="s">
        <v>678</v>
      </c>
      <c r="L260" s="1175" t="s">
        <v>679</v>
      </c>
      <c r="M260" s="1176">
        <v>28175000</v>
      </c>
      <c r="N260" s="1344" t="s">
        <v>931</v>
      </c>
      <c r="O260" s="1171" t="s">
        <v>915</v>
      </c>
      <c r="P260" s="1218" t="s">
        <v>682</v>
      </c>
      <c r="Q260" s="1160"/>
      <c r="R260" s="1327">
        <v>28175000</v>
      </c>
      <c r="S260" s="1327">
        <v>28175000</v>
      </c>
      <c r="T260" s="1327">
        <f>+'PAA V30'!$R260-'PAA V30'!$S260</f>
        <v>0</v>
      </c>
      <c r="U260" s="1327">
        <v>28175000</v>
      </c>
      <c r="V260" s="1327">
        <v>9555000</v>
      </c>
      <c r="W260" s="1327"/>
    </row>
    <row r="261" spans="1:23" s="1204" customFormat="1" ht="120" hidden="1" x14ac:dyDescent="0.2">
      <c r="A261" s="1169">
        <v>2022271</v>
      </c>
      <c r="B261" s="1169">
        <v>7658</v>
      </c>
      <c r="C261" s="1326" t="s">
        <v>673</v>
      </c>
      <c r="D261" s="1187" t="s">
        <v>690</v>
      </c>
      <c r="E261" s="1171">
        <v>80111600</v>
      </c>
      <c r="F261" s="1349" t="s">
        <v>940</v>
      </c>
      <c r="G261" s="1343">
        <v>44575</v>
      </c>
      <c r="H261" s="1343">
        <v>44575</v>
      </c>
      <c r="I261" s="1173">
        <v>11.5</v>
      </c>
      <c r="J261" s="1173" t="s">
        <v>677</v>
      </c>
      <c r="K261" s="1174" t="s">
        <v>678</v>
      </c>
      <c r="L261" s="1175" t="s">
        <v>679</v>
      </c>
      <c r="M261" s="1176">
        <v>28175000</v>
      </c>
      <c r="N261" s="1344" t="s">
        <v>931</v>
      </c>
      <c r="O261" s="1171" t="s">
        <v>915</v>
      </c>
      <c r="P261" s="1218" t="s">
        <v>682</v>
      </c>
      <c r="Q261" s="1160"/>
      <c r="R261" s="1327">
        <v>28175000</v>
      </c>
      <c r="S261" s="1327">
        <v>28175000</v>
      </c>
      <c r="T261" s="1327">
        <f>+'PAA V30'!$R261-'PAA V30'!$S261</f>
        <v>0</v>
      </c>
      <c r="U261" s="1327">
        <v>28175000</v>
      </c>
      <c r="V261" s="1327">
        <v>7350000</v>
      </c>
      <c r="W261" s="1327"/>
    </row>
    <row r="262" spans="1:23" s="1204" customFormat="1" ht="120" hidden="1" x14ac:dyDescent="0.2">
      <c r="A262" s="1169">
        <v>2022272</v>
      </c>
      <c r="B262" s="1169">
        <v>7658</v>
      </c>
      <c r="C262" s="1326" t="s">
        <v>673</v>
      </c>
      <c r="D262" s="1187" t="s">
        <v>690</v>
      </c>
      <c r="E262" s="1171">
        <v>80111600</v>
      </c>
      <c r="F262" s="1349" t="s">
        <v>940</v>
      </c>
      <c r="G262" s="1343">
        <v>44575</v>
      </c>
      <c r="H262" s="1343">
        <v>44575</v>
      </c>
      <c r="I262" s="1173">
        <v>11.5</v>
      </c>
      <c r="J262" s="1173" t="s">
        <v>677</v>
      </c>
      <c r="K262" s="1174" t="s">
        <v>678</v>
      </c>
      <c r="L262" s="1175" t="s">
        <v>679</v>
      </c>
      <c r="M262" s="1176">
        <v>28175000</v>
      </c>
      <c r="N262" s="1344" t="s">
        <v>931</v>
      </c>
      <c r="O262" s="1171" t="s">
        <v>915</v>
      </c>
      <c r="P262" s="1218" t="s">
        <v>682</v>
      </c>
      <c r="Q262" s="1160"/>
      <c r="R262" s="1327">
        <v>28175000</v>
      </c>
      <c r="S262" s="1327">
        <v>28175000</v>
      </c>
      <c r="T262" s="1327">
        <f>+'PAA V30'!$R262-'PAA V30'!$S262</f>
        <v>0</v>
      </c>
      <c r="U262" s="1327">
        <v>28175000</v>
      </c>
      <c r="V262" s="1327">
        <v>9310000</v>
      </c>
      <c r="W262" s="1327"/>
    </row>
    <row r="263" spans="1:23" s="1204" customFormat="1" ht="120" hidden="1" x14ac:dyDescent="0.2">
      <c r="A263" s="1169">
        <v>2022273</v>
      </c>
      <c r="B263" s="1169">
        <v>7658</v>
      </c>
      <c r="C263" s="1326" t="s">
        <v>673</v>
      </c>
      <c r="D263" s="1187" t="s">
        <v>690</v>
      </c>
      <c r="E263" s="1171">
        <v>80111600</v>
      </c>
      <c r="F263" s="1349" t="s">
        <v>940</v>
      </c>
      <c r="G263" s="1343">
        <v>44575</v>
      </c>
      <c r="H263" s="1343">
        <v>44575</v>
      </c>
      <c r="I263" s="1173">
        <v>11.5</v>
      </c>
      <c r="J263" s="1173" t="s">
        <v>677</v>
      </c>
      <c r="K263" s="1174" t="s">
        <v>678</v>
      </c>
      <c r="L263" s="1175" t="s">
        <v>679</v>
      </c>
      <c r="M263" s="1176">
        <v>28175000</v>
      </c>
      <c r="N263" s="1344" t="s">
        <v>931</v>
      </c>
      <c r="O263" s="1171" t="s">
        <v>915</v>
      </c>
      <c r="P263" s="1218" t="s">
        <v>682</v>
      </c>
      <c r="Q263" s="1160"/>
      <c r="R263" s="1327">
        <v>28175000</v>
      </c>
      <c r="S263" s="1327">
        <v>28175000</v>
      </c>
      <c r="T263" s="1327">
        <f>+'PAA V30'!$R263-'PAA V30'!$S263</f>
        <v>0</v>
      </c>
      <c r="U263" s="1327">
        <v>28175000</v>
      </c>
      <c r="V263" s="1327">
        <v>9555000</v>
      </c>
      <c r="W263" s="1327"/>
    </row>
    <row r="264" spans="1:23" s="1204" customFormat="1" ht="120" hidden="1" x14ac:dyDescent="0.2">
      <c r="A264" s="1169">
        <v>2022274</v>
      </c>
      <c r="B264" s="1169">
        <v>7658</v>
      </c>
      <c r="C264" s="1326" t="s">
        <v>673</v>
      </c>
      <c r="D264" s="1187" t="s">
        <v>690</v>
      </c>
      <c r="E264" s="1171">
        <v>80111600</v>
      </c>
      <c r="F264" s="1349" t="s">
        <v>940</v>
      </c>
      <c r="G264" s="1343">
        <v>44575</v>
      </c>
      <c r="H264" s="1343">
        <v>44575</v>
      </c>
      <c r="I264" s="1173">
        <v>11.5</v>
      </c>
      <c r="J264" s="1173" t="s">
        <v>677</v>
      </c>
      <c r="K264" s="1174" t="s">
        <v>678</v>
      </c>
      <c r="L264" s="1175" t="s">
        <v>679</v>
      </c>
      <c r="M264" s="1176">
        <v>28175000</v>
      </c>
      <c r="N264" s="1344" t="s">
        <v>931</v>
      </c>
      <c r="O264" s="1171" t="s">
        <v>915</v>
      </c>
      <c r="P264" s="1218" t="s">
        <v>682</v>
      </c>
      <c r="Q264" s="1160"/>
      <c r="R264" s="1327">
        <v>28175000</v>
      </c>
      <c r="S264" s="1327">
        <v>28175000</v>
      </c>
      <c r="T264" s="1327">
        <f>+'PAA V30'!$R264-'PAA V30'!$S264</f>
        <v>0</v>
      </c>
      <c r="U264" s="1327">
        <v>28175000</v>
      </c>
      <c r="V264" s="1327"/>
      <c r="W264" s="1327"/>
    </row>
    <row r="265" spans="1:23" s="1204" customFormat="1" ht="120" hidden="1" x14ac:dyDescent="0.2">
      <c r="A265" s="1169">
        <v>2022275</v>
      </c>
      <c r="B265" s="1169">
        <v>7658</v>
      </c>
      <c r="C265" s="1326" t="s">
        <v>673</v>
      </c>
      <c r="D265" s="1187" t="s">
        <v>690</v>
      </c>
      <c r="E265" s="1171">
        <v>80111600</v>
      </c>
      <c r="F265" s="1349" t="s">
        <v>940</v>
      </c>
      <c r="G265" s="1343">
        <v>44575</v>
      </c>
      <c r="H265" s="1343">
        <v>44575</v>
      </c>
      <c r="I265" s="1173">
        <v>11.5</v>
      </c>
      <c r="J265" s="1173" t="s">
        <v>677</v>
      </c>
      <c r="K265" s="1174" t="s">
        <v>678</v>
      </c>
      <c r="L265" s="1175" t="s">
        <v>679</v>
      </c>
      <c r="M265" s="1176">
        <v>28175000</v>
      </c>
      <c r="N265" s="1344" t="s">
        <v>931</v>
      </c>
      <c r="O265" s="1171" t="s">
        <v>915</v>
      </c>
      <c r="P265" s="1218" t="s">
        <v>682</v>
      </c>
      <c r="Q265" s="1160"/>
      <c r="R265" s="1327">
        <v>28175000</v>
      </c>
      <c r="S265" s="1327">
        <v>28175000</v>
      </c>
      <c r="T265" s="1327">
        <f>+'PAA V30'!$R265-'PAA V30'!$S265</f>
        <v>0</v>
      </c>
      <c r="U265" s="1327">
        <v>28175000</v>
      </c>
      <c r="V265" s="1327">
        <v>7595000</v>
      </c>
      <c r="W265" s="1327"/>
    </row>
    <row r="266" spans="1:23" s="1204" customFormat="1" ht="120" hidden="1" x14ac:dyDescent="0.2">
      <c r="A266" s="1169">
        <v>2022276</v>
      </c>
      <c r="B266" s="1169">
        <v>7658</v>
      </c>
      <c r="C266" s="1326" t="s">
        <v>673</v>
      </c>
      <c r="D266" s="1187" t="s">
        <v>690</v>
      </c>
      <c r="E266" s="1171">
        <v>80111600</v>
      </c>
      <c r="F266" s="1349" t="s">
        <v>940</v>
      </c>
      <c r="G266" s="1343">
        <v>44575</v>
      </c>
      <c r="H266" s="1343">
        <v>44575</v>
      </c>
      <c r="I266" s="1173">
        <v>11.5</v>
      </c>
      <c r="J266" s="1173" t="s">
        <v>677</v>
      </c>
      <c r="K266" s="1174" t="s">
        <v>678</v>
      </c>
      <c r="L266" s="1175" t="s">
        <v>679</v>
      </c>
      <c r="M266" s="1176">
        <v>24150000</v>
      </c>
      <c r="N266" s="1344" t="s">
        <v>931</v>
      </c>
      <c r="O266" s="1171" t="s">
        <v>915</v>
      </c>
      <c r="P266" s="1218" t="s">
        <v>682</v>
      </c>
      <c r="Q266" s="1160"/>
      <c r="R266" s="1327">
        <v>24150000</v>
      </c>
      <c r="S266" s="1327">
        <v>24150000</v>
      </c>
      <c r="T266" s="1327">
        <f>+'PAA V30'!$R266-'PAA V30'!$S266</f>
        <v>0</v>
      </c>
      <c r="U266" s="1327">
        <v>24150000</v>
      </c>
      <c r="V266" s="1327">
        <v>8400000</v>
      </c>
      <c r="W266" s="1327"/>
    </row>
    <row r="267" spans="1:23" s="1204" customFormat="1" ht="120" hidden="1" x14ac:dyDescent="0.2">
      <c r="A267" s="1169">
        <v>2022277</v>
      </c>
      <c r="B267" s="1169">
        <v>7658</v>
      </c>
      <c r="C267" s="1326" t="s">
        <v>673</v>
      </c>
      <c r="D267" s="1187" t="s">
        <v>690</v>
      </c>
      <c r="E267" s="1171">
        <v>80111600</v>
      </c>
      <c r="F267" s="1349" t="s">
        <v>940</v>
      </c>
      <c r="G267" s="1343">
        <v>44575</v>
      </c>
      <c r="H267" s="1343">
        <v>44575</v>
      </c>
      <c r="I267" s="1173">
        <v>11.5</v>
      </c>
      <c r="J267" s="1173" t="s">
        <v>677</v>
      </c>
      <c r="K267" s="1174" t="s">
        <v>678</v>
      </c>
      <c r="L267" s="1175" t="s">
        <v>679</v>
      </c>
      <c r="M267" s="1176">
        <v>28175000</v>
      </c>
      <c r="N267" s="1344" t="s">
        <v>931</v>
      </c>
      <c r="O267" s="1171" t="s">
        <v>915</v>
      </c>
      <c r="P267" s="1218" t="s">
        <v>682</v>
      </c>
      <c r="Q267" s="1160"/>
      <c r="R267" s="1327">
        <v>28175000</v>
      </c>
      <c r="S267" s="1327">
        <v>28175000</v>
      </c>
      <c r="T267" s="1327">
        <f>+'PAA V30'!$R267-'PAA V30'!$S267</f>
        <v>0</v>
      </c>
      <c r="U267" s="1327">
        <v>28175000</v>
      </c>
      <c r="V267" s="1327">
        <v>9718333</v>
      </c>
      <c r="W267" s="1327"/>
    </row>
    <row r="268" spans="1:23" s="1204" customFormat="1" ht="120" hidden="1" x14ac:dyDescent="0.2">
      <c r="A268" s="1169">
        <v>2022278</v>
      </c>
      <c r="B268" s="1169">
        <v>7658</v>
      </c>
      <c r="C268" s="1326" t="s">
        <v>673</v>
      </c>
      <c r="D268" s="1187" t="s">
        <v>690</v>
      </c>
      <c r="E268" s="1171">
        <v>80111600</v>
      </c>
      <c r="F268" s="1349" t="s">
        <v>940</v>
      </c>
      <c r="G268" s="1343">
        <v>44575</v>
      </c>
      <c r="H268" s="1343">
        <v>44575</v>
      </c>
      <c r="I268" s="1173">
        <v>11.5</v>
      </c>
      <c r="J268" s="1173" t="s">
        <v>677</v>
      </c>
      <c r="K268" s="1174" t="s">
        <v>678</v>
      </c>
      <c r="L268" s="1175" t="s">
        <v>679</v>
      </c>
      <c r="M268" s="1176">
        <v>28175000</v>
      </c>
      <c r="N268" s="1344" t="s">
        <v>931</v>
      </c>
      <c r="O268" s="1171" t="s">
        <v>915</v>
      </c>
      <c r="P268" s="1218" t="s">
        <v>682</v>
      </c>
      <c r="Q268" s="1160"/>
      <c r="R268" s="1327">
        <v>28175000</v>
      </c>
      <c r="S268" s="1327">
        <v>28175000</v>
      </c>
      <c r="T268" s="1327">
        <f>+'PAA V30'!$R268-'PAA V30'!$S268</f>
        <v>0</v>
      </c>
      <c r="U268" s="1327">
        <v>28175000</v>
      </c>
      <c r="V268" s="1327">
        <v>9718333</v>
      </c>
      <c r="W268" s="1327"/>
    </row>
    <row r="269" spans="1:23" s="1204" customFormat="1" ht="120" hidden="1" x14ac:dyDescent="0.2">
      <c r="A269" s="1169">
        <v>2022279</v>
      </c>
      <c r="B269" s="1169">
        <v>7658</v>
      </c>
      <c r="C269" s="1326" t="s">
        <v>673</v>
      </c>
      <c r="D269" s="1187" t="s">
        <v>690</v>
      </c>
      <c r="E269" s="1171">
        <v>80111600</v>
      </c>
      <c r="F269" s="1349" t="s">
        <v>940</v>
      </c>
      <c r="G269" s="1343">
        <v>44575</v>
      </c>
      <c r="H269" s="1343">
        <v>44575</v>
      </c>
      <c r="I269" s="1173">
        <v>11.5</v>
      </c>
      <c r="J269" s="1173" t="s">
        <v>677</v>
      </c>
      <c r="K269" s="1174" t="s">
        <v>678</v>
      </c>
      <c r="L269" s="1175" t="s">
        <v>679</v>
      </c>
      <c r="M269" s="1176">
        <v>28175000</v>
      </c>
      <c r="N269" s="1344" t="s">
        <v>931</v>
      </c>
      <c r="O269" s="1171" t="s">
        <v>915</v>
      </c>
      <c r="P269" s="1218" t="s">
        <v>682</v>
      </c>
      <c r="Q269" s="1160"/>
      <c r="R269" s="1266">
        <v>0</v>
      </c>
      <c r="S269" s="1327"/>
      <c r="T269" s="1327">
        <f>+'PAA V30'!$R269-'PAA V30'!$S269</f>
        <v>0</v>
      </c>
      <c r="U269" s="1327"/>
      <c r="V269" s="1327"/>
      <c r="W269" s="1327"/>
    </row>
    <row r="270" spans="1:23" s="1204" customFormat="1" ht="120" hidden="1" x14ac:dyDescent="0.2">
      <c r="A270" s="1169">
        <v>2022281</v>
      </c>
      <c r="B270" s="1169">
        <v>7658</v>
      </c>
      <c r="C270" s="1326" t="s">
        <v>673</v>
      </c>
      <c r="D270" s="1187" t="s">
        <v>690</v>
      </c>
      <c r="E270" s="1171">
        <v>80111600</v>
      </c>
      <c r="F270" s="1349" t="s">
        <v>940</v>
      </c>
      <c r="G270" s="1343">
        <v>44575</v>
      </c>
      <c r="H270" s="1343">
        <v>44575</v>
      </c>
      <c r="I270" s="1173">
        <v>11.5</v>
      </c>
      <c r="J270" s="1173" t="s">
        <v>677</v>
      </c>
      <c r="K270" s="1174" t="s">
        <v>678</v>
      </c>
      <c r="L270" s="1175" t="s">
        <v>679</v>
      </c>
      <c r="M270" s="1176">
        <v>28175000</v>
      </c>
      <c r="N270" s="1344" t="s">
        <v>931</v>
      </c>
      <c r="O270" s="1171" t="s">
        <v>915</v>
      </c>
      <c r="P270" s="1218" t="s">
        <v>682</v>
      </c>
      <c r="Q270" s="1160"/>
      <c r="R270" s="1327">
        <v>28175000</v>
      </c>
      <c r="S270" s="1327">
        <v>28175000</v>
      </c>
      <c r="T270" s="1327">
        <f>+'PAA V30'!$R270-'PAA V30'!$S270</f>
        <v>0</v>
      </c>
      <c r="U270" s="1327">
        <v>28175000</v>
      </c>
      <c r="V270" s="1327">
        <v>8983333</v>
      </c>
      <c r="W270" s="1327"/>
    </row>
    <row r="271" spans="1:23" s="1204" customFormat="1" ht="120" hidden="1" x14ac:dyDescent="0.2">
      <c r="A271" s="1169">
        <v>2022283</v>
      </c>
      <c r="B271" s="1169">
        <v>7658</v>
      </c>
      <c r="C271" s="1326" t="s">
        <v>673</v>
      </c>
      <c r="D271" s="1187" t="s">
        <v>690</v>
      </c>
      <c r="E271" s="1171">
        <v>80111600</v>
      </c>
      <c r="F271" s="1349" t="s">
        <v>941</v>
      </c>
      <c r="G271" s="1343">
        <v>44575</v>
      </c>
      <c r="H271" s="1343">
        <v>44575</v>
      </c>
      <c r="I271" s="1173">
        <v>11.5</v>
      </c>
      <c r="J271" s="1173" t="s">
        <v>677</v>
      </c>
      <c r="K271" s="1174" t="s">
        <v>678</v>
      </c>
      <c r="L271" s="1175" t="s">
        <v>679</v>
      </c>
      <c r="M271" s="1176">
        <f>47150000-2875000</f>
        <v>44275000</v>
      </c>
      <c r="N271" s="1344" t="s">
        <v>931</v>
      </c>
      <c r="O271" s="1171" t="s">
        <v>915</v>
      </c>
      <c r="P271" s="1218" t="s">
        <v>682</v>
      </c>
      <c r="Q271" s="1160"/>
      <c r="R271" s="1327">
        <v>44275000</v>
      </c>
      <c r="S271" s="1327">
        <v>44275000</v>
      </c>
      <c r="T271" s="1327">
        <f>+'PAA V30'!$R271-'PAA V30'!$S271</f>
        <v>0</v>
      </c>
      <c r="U271" s="1327">
        <v>44275000</v>
      </c>
      <c r="V271" s="1327">
        <v>14501667</v>
      </c>
      <c r="W271" s="1327"/>
    </row>
    <row r="272" spans="1:23" s="1204" customFormat="1" ht="120" hidden="1" x14ac:dyDescent="0.2">
      <c r="A272" s="1328">
        <v>2022286</v>
      </c>
      <c r="B272" s="1169">
        <v>7658</v>
      </c>
      <c r="C272" s="1326" t="s">
        <v>673</v>
      </c>
      <c r="D272" s="1187" t="s">
        <v>690</v>
      </c>
      <c r="E272" s="1171" t="s">
        <v>942</v>
      </c>
      <c r="F272" s="1349" t="s">
        <v>943</v>
      </c>
      <c r="G272" s="1343">
        <v>44774</v>
      </c>
      <c r="H272" s="1343">
        <v>44774</v>
      </c>
      <c r="I272" s="1173">
        <v>7</v>
      </c>
      <c r="J272" s="1173" t="s">
        <v>687</v>
      </c>
      <c r="K272" s="1174" t="s">
        <v>678</v>
      </c>
      <c r="L272" s="1175" t="s">
        <v>944</v>
      </c>
      <c r="M272" s="1176">
        <f>150000000-50000000</f>
        <v>100000000</v>
      </c>
      <c r="N272" s="1344" t="s">
        <v>931</v>
      </c>
      <c r="O272" s="1171" t="s">
        <v>915</v>
      </c>
      <c r="P272" s="1218" t="s">
        <v>682</v>
      </c>
      <c r="Q272" s="1160"/>
      <c r="R272" s="1327">
        <v>100000000</v>
      </c>
      <c r="S272" s="1327">
        <v>100000000</v>
      </c>
      <c r="T272" s="1327">
        <f>+'PAA V30'!$R272-'PAA V30'!$S272</f>
        <v>0</v>
      </c>
      <c r="U272" s="1327"/>
      <c r="V272" s="1327"/>
      <c r="W272" s="1327"/>
    </row>
    <row r="273" spans="1:23" s="1204" customFormat="1" ht="120" hidden="1" x14ac:dyDescent="0.2">
      <c r="A273" s="1169">
        <v>2022287</v>
      </c>
      <c r="B273" s="1169">
        <v>7658</v>
      </c>
      <c r="C273" s="1326" t="s">
        <v>673</v>
      </c>
      <c r="D273" s="1187" t="s">
        <v>690</v>
      </c>
      <c r="E273" s="1171" t="s">
        <v>945</v>
      </c>
      <c r="F273" s="1349" t="s">
        <v>946</v>
      </c>
      <c r="G273" s="1343">
        <v>44788</v>
      </c>
      <c r="H273" s="1343">
        <v>44768</v>
      </c>
      <c r="I273" s="1173">
        <v>6</v>
      </c>
      <c r="J273" s="1173" t="s">
        <v>700</v>
      </c>
      <c r="K273" s="1174" t="s">
        <v>678</v>
      </c>
      <c r="L273" s="1175" t="s">
        <v>944</v>
      </c>
      <c r="M273" s="1176">
        <f>100000000-60000000</f>
        <v>40000000</v>
      </c>
      <c r="N273" s="1344" t="s">
        <v>931</v>
      </c>
      <c r="O273" s="1171" t="s">
        <v>915</v>
      </c>
      <c r="P273" s="1218" t="s">
        <v>682</v>
      </c>
      <c r="Q273" s="1160"/>
      <c r="R273" s="1266">
        <v>0</v>
      </c>
      <c r="S273" s="1327"/>
      <c r="T273" s="1327">
        <f>+'PAA V30'!$R273-'PAA V30'!$S273</f>
        <v>0</v>
      </c>
      <c r="U273" s="1327"/>
      <c r="V273" s="1327"/>
      <c r="W273" s="1327"/>
    </row>
    <row r="274" spans="1:23" s="1204" customFormat="1" ht="120" hidden="1" x14ac:dyDescent="0.2">
      <c r="A274" s="1328">
        <v>2022290</v>
      </c>
      <c r="B274" s="1169">
        <v>7658</v>
      </c>
      <c r="C274" s="1326" t="s">
        <v>673</v>
      </c>
      <c r="D274" s="1187" t="s">
        <v>690</v>
      </c>
      <c r="E274" s="1171" t="s">
        <v>947</v>
      </c>
      <c r="F274" s="1349" t="s">
        <v>948</v>
      </c>
      <c r="G274" s="1343">
        <v>44593</v>
      </c>
      <c r="H274" s="1343">
        <v>44593</v>
      </c>
      <c r="I274" s="1173">
        <v>9</v>
      </c>
      <c r="J274" s="1173" t="s">
        <v>687</v>
      </c>
      <c r="K274" s="1174" t="s">
        <v>678</v>
      </c>
      <c r="L274" s="1175" t="s">
        <v>944</v>
      </c>
      <c r="M274" s="1176">
        <v>20000000</v>
      </c>
      <c r="N274" s="1344" t="s">
        <v>931</v>
      </c>
      <c r="O274" s="1171" t="s">
        <v>915</v>
      </c>
      <c r="P274" s="1218" t="s">
        <v>682</v>
      </c>
      <c r="Q274" s="1160"/>
      <c r="R274" s="1327">
        <v>20000000</v>
      </c>
      <c r="S274" s="1327">
        <v>20000000</v>
      </c>
      <c r="T274" s="1327">
        <f>+'PAA V30'!$R274-'PAA V30'!$S274</f>
        <v>0</v>
      </c>
      <c r="U274" s="1327"/>
      <c r="V274" s="1327"/>
      <c r="W274" s="1327"/>
    </row>
    <row r="275" spans="1:23" s="1204" customFormat="1" ht="60" hidden="1" x14ac:dyDescent="0.2">
      <c r="A275" s="1328">
        <v>2022291</v>
      </c>
      <c r="B275" s="1169">
        <v>7658</v>
      </c>
      <c r="C275" s="1326" t="s">
        <v>673</v>
      </c>
      <c r="D275" s="1187" t="s">
        <v>690</v>
      </c>
      <c r="E275" s="1171" t="s">
        <v>949</v>
      </c>
      <c r="F275" s="1349" t="s">
        <v>950</v>
      </c>
      <c r="G275" s="1343">
        <v>44593</v>
      </c>
      <c r="H275" s="1343">
        <v>44593</v>
      </c>
      <c r="I275" s="1173">
        <v>10</v>
      </c>
      <c r="J275" s="1173" t="s">
        <v>675</v>
      </c>
      <c r="K275" s="1174" t="s">
        <v>774</v>
      </c>
      <c r="L275" s="1175" t="s">
        <v>951</v>
      </c>
      <c r="M275" s="1176">
        <f>900000000-450000000</f>
        <v>450000000</v>
      </c>
      <c r="N275" s="1344" t="s">
        <v>780</v>
      </c>
      <c r="O275" s="1171" t="s">
        <v>768</v>
      </c>
      <c r="P275" s="1218" t="s">
        <v>682</v>
      </c>
      <c r="Q275" s="1160"/>
      <c r="R275" s="1327">
        <v>450000000</v>
      </c>
      <c r="S275" s="1327">
        <v>450000000</v>
      </c>
      <c r="T275" s="1327">
        <f>+'PAA V30'!$R275-'PAA V30'!$S275</f>
        <v>0</v>
      </c>
      <c r="U275" s="1327"/>
      <c r="V275" s="1327"/>
      <c r="W275" s="1327"/>
    </row>
    <row r="276" spans="1:23" s="1204" customFormat="1" ht="75" hidden="1" x14ac:dyDescent="0.2">
      <c r="A276" s="1328">
        <v>2022292</v>
      </c>
      <c r="B276" s="1169">
        <v>7658</v>
      </c>
      <c r="C276" s="1326" t="s">
        <v>673</v>
      </c>
      <c r="D276" s="1187" t="s">
        <v>690</v>
      </c>
      <c r="E276" s="1171" t="s">
        <v>952</v>
      </c>
      <c r="F276" s="1349" t="s">
        <v>953</v>
      </c>
      <c r="G276" s="1343">
        <v>44593</v>
      </c>
      <c r="H276" s="1343">
        <v>44593</v>
      </c>
      <c r="I276" s="1173">
        <v>11</v>
      </c>
      <c r="J276" s="1173" t="s">
        <v>675</v>
      </c>
      <c r="K276" s="1174" t="s">
        <v>774</v>
      </c>
      <c r="L276" s="1175" t="s">
        <v>951</v>
      </c>
      <c r="M276" s="1176">
        <f>180000000-71000000-19000000</f>
        <v>90000000</v>
      </c>
      <c r="N276" s="1344" t="s">
        <v>780</v>
      </c>
      <c r="O276" s="1171" t="s">
        <v>768</v>
      </c>
      <c r="P276" s="1218" t="s">
        <v>682</v>
      </c>
      <c r="Q276" s="1160"/>
      <c r="R276" s="1327">
        <v>90000000</v>
      </c>
      <c r="S276" s="1327"/>
      <c r="T276" s="1327">
        <f>+'PAA V30'!$R276-'PAA V30'!$S276</f>
        <v>90000000</v>
      </c>
      <c r="U276" s="1327"/>
      <c r="V276" s="1327"/>
      <c r="W276" s="1327"/>
    </row>
    <row r="277" spans="1:23" s="1204" customFormat="1" ht="120" hidden="1" x14ac:dyDescent="0.2">
      <c r="A277" s="1328">
        <v>2022295</v>
      </c>
      <c r="B277" s="1169">
        <v>7658</v>
      </c>
      <c r="C277" s="1326" t="s">
        <v>673</v>
      </c>
      <c r="D277" s="1187" t="s">
        <v>690</v>
      </c>
      <c r="E277" s="1171" t="s">
        <v>954</v>
      </c>
      <c r="F277" s="1349" t="s">
        <v>955</v>
      </c>
      <c r="G277" s="1343">
        <v>44593</v>
      </c>
      <c r="H277" s="1343">
        <v>44593</v>
      </c>
      <c r="I277" s="1173">
        <v>6</v>
      </c>
      <c r="J277" s="1173" t="s">
        <v>687</v>
      </c>
      <c r="K277" s="1174" t="s">
        <v>678</v>
      </c>
      <c r="L277" s="1175" t="s">
        <v>944</v>
      </c>
      <c r="M277" s="1176">
        <f>70000000+60000000+60000000-24453598-35546402</f>
        <v>130000000</v>
      </c>
      <c r="N277" s="1344" t="s">
        <v>931</v>
      </c>
      <c r="O277" s="1171" t="s">
        <v>915</v>
      </c>
      <c r="P277" s="1218" t="s">
        <v>682</v>
      </c>
      <c r="Q277" s="1160"/>
      <c r="R277" s="1327">
        <v>130000000</v>
      </c>
      <c r="S277" s="1327">
        <v>130000000</v>
      </c>
      <c r="T277" s="1327">
        <f>+'PAA V30'!$R277-'PAA V30'!$S277</f>
        <v>0</v>
      </c>
      <c r="U277" s="1327"/>
      <c r="V277" s="1327"/>
      <c r="W277" s="1327"/>
    </row>
    <row r="278" spans="1:23" s="1204" customFormat="1" ht="120" hidden="1" x14ac:dyDescent="0.2">
      <c r="A278" s="1169">
        <v>2022297</v>
      </c>
      <c r="B278" s="1169">
        <v>7658</v>
      </c>
      <c r="C278" s="1326" t="s">
        <v>673</v>
      </c>
      <c r="D278" s="1187" t="s">
        <v>690</v>
      </c>
      <c r="E278" s="1171" t="s">
        <v>956</v>
      </c>
      <c r="F278" s="1349" t="s">
        <v>957</v>
      </c>
      <c r="G278" s="1343">
        <v>44593</v>
      </c>
      <c r="H278" s="1343">
        <v>44593</v>
      </c>
      <c r="I278" s="1173">
        <v>5</v>
      </c>
      <c r="J278" s="1173" t="s">
        <v>647</v>
      </c>
      <c r="K278" s="1174" t="s">
        <v>678</v>
      </c>
      <c r="L278" s="1175" t="s">
        <v>951</v>
      </c>
      <c r="M278" s="1176">
        <f>1119870000-514000000-50011677-370857468-105559750+24453598+100000000+18500000+200000000+50011677+370857468+123844882+40150000+52400000+35700000+32850000+11791270</f>
        <v>1140000000</v>
      </c>
      <c r="N278" s="1344" t="s">
        <v>931</v>
      </c>
      <c r="O278" s="1171" t="s">
        <v>915</v>
      </c>
      <c r="P278" s="1218" t="s">
        <v>682</v>
      </c>
      <c r="Q278" s="1160"/>
      <c r="R278" s="1266">
        <v>0</v>
      </c>
      <c r="S278" s="1327"/>
      <c r="T278" s="1327">
        <f>+'PAA V30'!$R278-'PAA V30'!$S278</f>
        <v>0</v>
      </c>
      <c r="U278" s="1327"/>
      <c r="V278" s="1327"/>
      <c r="W278" s="1327"/>
    </row>
    <row r="279" spans="1:23" s="1204" customFormat="1" ht="120" hidden="1" x14ac:dyDescent="0.2">
      <c r="A279" s="1328">
        <v>2022298</v>
      </c>
      <c r="B279" s="1169">
        <v>7658</v>
      </c>
      <c r="C279" s="1326" t="s">
        <v>673</v>
      </c>
      <c r="D279" s="1187" t="s">
        <v>690</v>
      </c>
      <c r="E279" s="1171" t="s">
        <v>958</v>
      </c>
      <c r="F279" s="1349" t="s">
        <v>959</v>
      </c>
      <c r="G279" s="1343">
        <v>44593</v>
      </c>
      <c r="H279" s="1343">
        <v>44593</v>
      </c>
      <c r="I279" s="1173">
        <v>5</v>
      </c>
      <c r="J279" s="1173" t="s">
        <v>675</v>
      </c>
      <c r="K279" s="1174" t="s">
        <v>678</v>
      </c>
      <c r="L279" s="1175" t="s">
        <v>951</v>
      </c>
      <c r="M279" s="1176">
        <f>420000000-146500000-123500000+35546402-650</f>
        <v>185545752</v>
      </c>
      <c r="N279" s="1344" t="s">
        <v>931</v>
      </c>
      <c r="O279" s="1171" t="s">
        <v>915</v>
      </c>
      <c r="P279" s="1218" t="s">
        <v>682</v>
      </c>
      <c r="Q279" s="1160"/>
      <c r="R279" s="1266">
        <v>0</v>
      </c>
      <c r="S279" s="1327"/>
      <c r="T279" s="1327">
        <f>+'PAA V30'!$R279-'PAA V30'!$S279</f>
        <v>0</v>
      </c>
      <c r="U279" s="1327"/>
      <c r="V279" s="1327"/>
      <c r="W279" s="1327"/>
    </row>
    <row r="280" spans="1:23" s="1204" customFormat="1" ht="120" hidden="1" x14ac:dyDescent="0.2">
      <c r="A280" s="1328">
        <v>2022300</v>
      </c>
      <c r="B280" s="1169">
        <v>7658</v>
      </c>
      <c r="C280" s="1326" t="s">
        <v>673</v>
      </c>
      <c r="D280" s="1187" t="s">
        <v>690</v>
      </c>
      <c r="E280" s="1171" t="s">
        <v>960</v>
      </c>
      <c r="F280" s="1349" t="s">
        <v>961</v>
      </c>
      <c r="G280" s="1343">
        <v>44621</v>
      </c>
      <c r="H280" s="1343">
        <v>44621</v>
      </c>
      <c r="I280" s="1173">
        <v>4</v>
      </c>
      <c r="J280" s="1173" t="s">
        <v>697</v>
      </c>
      <c r="K280" s="1174" t="s">
        <v>774</v>
      </c>
      <c r="L280" s="1175" t="s">
        <v>962</v>
      </c>
      <c r="M280" s="1176">
        <f>300000000+65381424-5595424</f>
        <v>359786000</v>
      </c>
      <c r="N280" s="1344" t="s">
        <v>931</v>
      </c>
      <c r="O280" s="1171" t="s">
        <v>915</v>
      </c>
      <c r="P280" s="1218" t="s">
        <v>682</v>
      </c>
      <c r="Q280" s="1160"/>
      <c r="R280" s="1266">
        <v>0</v>
      </c>
      <c r="S280" s="1327"/>
      <c r="T280" s="1327">
        <f>+'PAA V30'!$R280-'PAA V30'!$S280</f>
        <v>0</v>
      </c>
      <c r="U280" s="1327"/>
      <c r="V280" s="1327"/>
      <c r="W280" s="1327"/>
    </row>
    <row r="281" spans="1:23" s="1204" customFormat="1" ht="120" hidden="1" x14ac:dyDescent="0.2">
      <c r="A281" s="1169">
        <v>2022301</v>
      </c>
      <c r="B281" s="1169">
        <v>7658</v>
      </c>
      <c r="C281" s="1326" t="s">
        <v>673</v>
      </c>
      <c r="D281" s="1187" t="s">
        <v>690</v>
      </c>
      <c r="E281" s="1171" t="s">
        <v>97</v>
      </c>
      <c r="F281" s="1349" t="s">
        <v>963</v>
      </c>
      <c r="G281" s="1343">
        <v>44621</v>
      </c>
      <c r="H281" s="1343">
        <v>44621</v>
      </c>
      <c r="I281" s="1173" t="s">
        <v>97</v>
      </c>
      <c r="J281" s="1173" t="s">
        <v>97</v>
      </c>
      <c r="K281" s="1174" t="s">
        <v>516</v>
      </c>
      <c r="L281" s="1175" t="s">
        <v>962</v>
      </c>
      <c r="M281" s="1176">
        <f>46155118</f>
        <v>46155118</v>
      </c>
      <c r="N281" s="1344" t="s">
        <v>931</v>
      </c>
      <c r="O281" s="1171" t="s">
        <v>915</v>
      </c>
      <c r="P281" s="1218" t="s">
        <v>751</v>
      </c>
      <c r="Q281" s="1160"/>
      <c r="R281" s="1327">
        <v>46155118</v>
      </c>
      <c r="S281" s="1327">
        <v>46155118</v>
      </c>
      <c r="T281" s="1327">
        <f>+'PAA V30'!$R281-'PAA V30'!$S281</f>
        <v>0</v>
      </c>
      <c r="U281" s="1327">
        <v>46155118</v>
      </c>
      <c r="V281" s="1327">
        <v>46155118</v>
      </c>
      <c r="W281" s="1327"/>
    </row>
    <row r="282" spans="1:23" s="1204" customFormat="1" ht="120" hidden="1" x14ac:dyDescent="0.2">
      <c r="A282" s="1169">
        <v>2022302</v>
      </c>
      <c r="B282" s="1169">
        <v>7658</v>
      </c>
      <c r="C282" s="1326" t="s">
        <v>673</v>
      </c>
      <c r="D282" s="1187" t="s">
        <v>690</v>
      </c>
      <c r="E282" s="1171" t="s">
        <v>964</v>
      </c>
      <c r="F282" s="1349" t="s">
        <v>965</v>
      </c>
      <c r="G282" s="1343">
        <v>44652</v>
      </c>
      <c r="H282" s="1343">
        <v>44652</v>
      </c>
      <c r="I282" s="1173">
        <v>10</v>
      </c>
      <c r="J282" s="1173" t="s">
        <v>647</v>
      </c>
      <c r="K282" s="1174" t="s">
        <v>678</v>
      </c>
      <c r="L282" s="1175" t="s">
        <v>966</v>
      </c>
      <c r="M282" s="1176">
        <v>308129000</v>
      </c>
      <c r="N282" s="1344" t="s">
        <v>931</v>
      </c>
      <c r="O282" s="1171" t="s">
        <v>915</v>
      </c>
      <c r="P282" s="1218" t="s">
        <v>682</v>
      </c>
      <c r="Q282" s="1160"/>
      <c r="R282" s="1327">
        <v>308129000</v>
      </c>
      <c r="S282" s="1327">
        <v>308129000</v>
      </c>
      <c r="T282" s="1327">
        <f>+'PAA V30'!$R282-'PAA V30'!$S282</f>
        <v>0</v>
      </c>
      <c r="U282" s="1327">
        <v>308129000</v>
      </c>
      <c r="V282" s="1327"/>
      <c r="W282" s="1327"/>
    </row>
    <row r="283" spans="1:23" s="1204" customFormat="1" ht="120" hidden="1" x14ac:dyDescent="0.2">
      <c r="A283" s="1169">
        <v>2022303</v>
      </c>
      <c r="B283" s="1169">
        <v>7658</v>
      </c>
      <c r="C283" s="1326" t="s">
        <v>673</v>
      </c>
      <c r="D283" s="1187" t="s">
        <v>690</v>
      </c>
      <c r="E283" s="1171" t="s">
        <v>967</v>
      </c>
      <c r="F283" s="1349" t="s">
        <v>968</v>
      </c>
      <c r="G283" s="1343">
        <v>44819</v>
      </c>
      <c r="H283" s="1343">
        <v>44822</v>
      </c>
      <c r="I283" s="1173">
        <v>2</v>
      </c>
      <c r="J283" s="1173" t="s">
        <v>721</v>
      </c>
      <c r="K283" s="1174" t="s">
        <v>678</v>
      </c>
      <c r="L283" s="1175" t="s">
        <v>969</v>
      </c>
      <c r="M283" s="1176">
        <f>10600000+9540387+79859613-395848</f>
        <v>99604152</v>
      </c>
      <c r="N283" s="1344" t="s">
        <v>931</v>
      </c>
      <c r="O283" s="1171" t="s">
        <v>915</v>
      </c>
      <c r="P283" s="1218" t="s">
        <v>751</v>
      </c>
      <c r="Q283" s="1160"/>
      <c r="R283" s="1266">
        <v>0</v>
      </c>
      <c r="S283" s="1327"/>
      <c r="T283" s="1327">
        <f>+'PAA V30'!$R283-'PAA V30'!$S283</f>
        <v>0</v>
      </c>
      <c r="U283" s="1327"/>
      <c r="V283" s="1327"/>
      <c r="W283" s="1327"/>
    </row>
    <row r="284" spans="1:23" s="1204" customFormat="1" ht="120" hidden="1" x14ac:dyDescent="0.2">
      <c r="A284" s="1169">
        <v>2022304</v>
      </c>
      <c r="B284" s="1169">
        <v>7658</v>
      </c>
      <c r="C284" s="1326" t="s">
        <v>673</v>
      </c>
      <c r="D284" s="1187" t="s">
        <v>690</v>
      </c>
      <c r="E284" s="1171" t="s">
        <v>967</v>
      </c>
      <c r="F284" s="1349" t="s">
        <v>970</v>
      </c>
      <c r="G284" s="1343">
        <v>44606</v>
      </c>
      <c r="H284" s="1343">
        <v>44606</v>
      </c>
      <c r="I284" s="1173">
        <v>11</v>
      </c>
      <c r="J284" s="1173" t="s">
        <v>721</v>
      </c>
      <c r="K284" s="1174" t="s">
        <v>678</v>
      </c>
      <c r="L284" s="1175" t="s">
        <v>969</v>
      </c>
      <c r="M284" s="1176">
        <f>109400000-9540387</f>
        <v>99859613</v>
      </c>
      <c r="N284" s="1344" t="s">
        <v>931</v>
      </c>
      <c r="O284" s="1171" t="s">
        <v>915</v>
      </c>
      <c r="P284" s="1218" t="s">
        <v>682</v>
      </c>
      <c r="Q284" s="1160"/>
      <c r="R284" s="1327">
        <v>99859613</v>
      </c>
      <c r="S284" s="1327">
        <v>99859613</v>
      </c>
      <c r="T284" s="1327">
        <f>+'PAA V30'!$R284-'PAA V30'!$S284</f>
        <v>0</v>
      </c>
      <c r="U284" s="1327">
        <v>99859613</v>
      </c>
      <c r="V284" s="1327">
        <v>43996890</v>
      </c>
      <c r="W284" s="1327"/>
    </row>
    <row r="285" spans="1:23" s="1204" customFormat="1" ht="75" hidden="1" x14ac:dyDescent="0.2">
      <c r="A285" s="1328">
        <v>2022307</v>
      </c>
      <c r="B285" s="1169">
        <v>7658</v>
      </c>
      <c r="C285" s="1326" t="s">
        <v>673</v>
      </c>
      <c r="D285" s="1187" t="s">
        <v>690</v>
      </c>
      <c r="E285" s="1171" t="s">
        <v>954</v>
      </c>
      <c r="F285" s="1187" t="s">
        <v>971</v>
      </c>
      <c r="G285" s="1343">
        <v>44634</v>
      </c>
      <c r="H285" s="1343">
        <v>44634</v>
      </c>
      <c r="I285" s="1173">
        <v>6</v>
      </c>
      <c r="J285" s="1173" t="s">
        <v>647</v>
      </c>
      <c r="K285" s="1174" t="s">
        <v>774</v>
      </c>
      <c r="L285" s="1175" t="s">
        <v>951</v>
      </c>
      <c r="M285" s="1176">
        <f>1000000000-200000000+450000000+250000000-70643252-179356748+250000000</f>
        <v>1500000000</v>
      </c>
      <c r="N285" s="1344" t="s">
        <v>780</v>
      </c>
      <c r="O285" s="1171" t="s">
        <v>768</v>
      </c>
      <c r="P285" s="1218" t="s">
        <v>682</v>
      </c>
      <c r="Q285" s="1160"/>
      <c r="R285" s="1327">
        <v>1500000000</v>
      </c>
      <c r="S285" s="1327"/>
      <c r="T285" s="1327">
        <f>+'PAA V30'!$R285-'PAA V30'!$S285</f>
        <v>1500000000</v>
      </c>
      <c r="U285" s="1327"/>
      <c r="V285" s="1327"/>
      <c r="W285" s="1327"/>
    </row>
    <row r="286" spans="1:23" s="1204" customFormat="1" ht="90" hidden="1" x14ac:dyDescent="0.2">
      <c r="A286" s="1328">
        <v>2022308</v>
      </c>
      <c r="B286" s="1169">
        <v>7658</v>
      </c>
      <c r="C286" s="1326" t="s">
        <v>673</v>
      </c>
      <c r="D286" s="1187" t="s">
        <v>690</v>
      </c>
      <c r="E286" s="1171" t="s">
        <v>952</v>
      </c>
      <c r="F286" s="1187" t="s">
        <v>972</v>
      </c>
      <c r="G286" s="1343">
        <v>44757</v>
      </c>
      <c r="H286" s="1343">
        <v>44819</v>
      </c>
      <c r="I286" s="1173">
        <v>6</v>
      </c>
      <c r="J286" s="1173" t="s">
        <v>675</v>
      </c>
      <c r="K286" s="1174" t="s">
        <v>774</v>
      </c>
      <c r="L286" s="1175" t="s">
        <v>951</v>
      </c>
      <c r="M286" s="1176">
        <f>345000000-25000000-168000000+90000000+46992633-51183595</f>
        <v>237809038</v>
      </c>
      <c r="N286" s="1344" t="s">
        <v>780</v>
      </c>
      <c r="O286" s="1171" t="s">
        <v>768</v>
      </c>
      <c r="P286" s="1218" t="s">
        <v>682</v>
      </c>
      <c r="Q286" s="1160"/>
      <c r="R286" s="1266">
        <v>0</v>
      </c>
      <c r="S286" s="1327"/>
      <c r="T286" s="1327">
        <f>+'PAA V30'!$R286-'PAA V30'!$S286</f>
        <v>0</v>
      </c>
      <c r="U286" s="1327"/>
      <c r="V286" s="1327"/>
      <c r="W286" s="1327"/>
    </row>
    <row r="287" spans="1:23" s="1204" customFormat="1" ht="90" hidden="1" x14ac:dyDescent="0.2">
      <c r="A287" s="1328">
        <v>2022309</v>
      </c>
      <c r="B287" s="1328">
        <v>7658</v>
      </c>
      <c r="C287" s="1329" t="s">
        <v>673</v>
      </c>
      <c r="D287" s="1352" t="s">
        <v>690</v>
      </c>
      <c r="E287" s="1353" t="s">
        <v>973</v>
      </c>
      <c r="F287" s="1354" t="s">
        <v>974</v>
      </c>
      <c r="G287" s="1355">
        <v>44711</v>
      </c>
      <c r="H287" s="1355">
        <v>44727</v>
      </c>
      <c r="I287" s="1265">
        <v>4</v>
      </c>
      <c r="J287" s="1173" t="s">
        <v>687</v>
      </c>
      <c r="K287" s="1356" t="s">
        <v>774</v>
      </c>
      <c r="L287" s="1175" t="s">
        <v>951</v>
      </c>
      <c r="M287" s="1176">
        <f>175000000+25000000+220000000-537358-20553590</f>
        <v>398909052</v>
      </c>
      <c r="N287" s="1344" t="s">
        <v>778</v>
      </c>
      <c r="O287" s="1353" t="s">
        <v>975</v>
      </c>
      <c r="P287" s="1218" t="s">
        <v>682</v>
      </c>
      <c r="Q287" s="1160"/>
      <c r="R287" s="1266">
        <v>0</v>
      </c>
      <c r="S287" s="1327"/>
      <c r="T287" s="1327">
        <f>+'PAA V30'!$R287-'PAA V30'!$S287</f>
        <v>0</v>
      </c>
      <c r="U287" s="1327"/>
      <c r="V287" s="1327"/>
      <c r="W287" s="1327"/>
    </row>
    <row r="288" spans="1:23" s="1204" customFormat="1" ht="75" hidden="1" x14ac:dyDescent="0.2">
      <c r="A288" s="1169">
        <v>2022310</v>
      </c>
      <c r="B288" s="1169">
        <v>7658</v>
      </c>
      <c r="C288" s="1326" t="s">
        <v>673</v>
      </c>
      <c r="D288" s="1187" t="s">
        <v>696</v>
      </c>
      <c r="E288" s="1171">
        <v>80111600</v>
      </c>
      <c r="F288" s="1349" t="s">
        <v>976</v>
      </c>
      <c r="G288" s="1343">
        <v>44562</v>
      </c>
      <c r="H288" s="1343">
        <v>44592</v>
      </c>
      <c r="I288" s="1173">
        <v>7</v>
      </c>
      <c r="J288" s="1173" t="s">
        <v>677</v>
      </c>
      <c r="K288" s="1174" t="s">
        <v>678</v>
      </c>
      <c r="L288" s="1175" t="s">
        <v>951</v>
      </c>
      <c r="M288" s="1176">
        <f>30429000-10500000+1806000</f>
        <v>21735000</v>
      </c>
      <c r="N288" s="1344" t="s">
        <v>765</v>
      </c>
      <c r="O288" s="1171" t="s">
        <v>764</v>
      </c>
      <c r="P288" s="1350" t="s">
        <v>682</v>
      </c>
      <c r="Q288" s="1160"/>
      <c r="R288" s="1327">
        <v>21735000</v>
      </c>
      <c r="S288" s="1327"/>
      <c r="T288" s="1327">
        <f>+'PAA V30'!$R288-'PAA V30'!$S288</f>
        <v>21735000</v>
      </c>
      <c r="U288" s="1327"/>
      <c r="V288" s="1327"/>
      <c r="W288" s="1327"/>
    </row>
    <row r="289" spans="1:23" s="1204" customFormat="1" ht="75" hidden="1" x14ac:dyDescent="0.2">
      <c r="A289" s="1169">
        <v>2022311</v>
      </c>
      <c r="B289" s="1169">
        <v>7658</v>
      </c>
      <c r="C289" s="1326" t="s">
        <v>673</v>
      </c>
      <c r="D289" s="1187" t="s">
        <v>696</v>
      </c>
      <c r="E289" s="1171">
        <v>80111600</v>
      </c>
      <c r="F289" s="1349" t="s">
        <v>977</v>
      </c>
      <c r="G289" s="1343">
        <v>44562</v>
      </c>
      <c r="H289" s="1343">
        <v>44592</v>
      </c>
      <c r="I289" s="1173">
        <v>11</v>
      </c>
      <c r="J289" s="1173" t="s">
        <v>677</v>
      </c>
      <c r="K289" s="1174" t="s">
        <v>678</v>
      </c>
      <c r="L289" s="1175" t="s">
        <v>951</v>
      </c>
      <c r="M289" s="1176">
        <f>26950000-9800000</f>
        <v>17150000</v>
      </c>
      <c r="N289" s="1344" t="s">
        <v>765</v>
      </c>
      <c r="O289" s="1171" t="s">
        <v>764</v>
      </c>
      <c r="P289" s="1350" t="s">
        <v>682</v>
      </c>
      <c r="Q289" s="1160"/>
      <c r="R289" s="1327">
        <v>17150000</v>
      </c>
      <c r="S289" s="1327">
        <v>17150000</v>
      </c>
      <c r="T289" s="1327">
        <f>+'PAA V30'!$R289-'PAA V30'!$S289</f>
        <v>0</v>
      </c>
      <c r="U289" s="1327">
        <v>17150000</v>
      </c>
      <c r="V289" s="1327">
        <v>10371667</v>
      </c>
      <c r="W289" s="1327"/>
    </row>
    <row r="290" spans="1:23" s="1204" customFormat="1" ht="75" hidden="1" x14ac:dyDescent="0.2">
      <c r="A290" s="1169">
        <v>2022312</v>
      </c>
      <c r="B290" s="1169">
        <v>7658</v>
      </c>
      <c r="C290" s="1326" t="s">
        <v>673</v>
      </c>
      <c r="D290" s="1187" t="s">
        <v>696</v>
      </c>
      <c r="E290" s="1171">
        <v>80111600</v>
      </c>
      <c r="F290" s="1349" t="s">
        <v>977</v>
      </c>
      <c r="G290" s="1343">
        <v>44562</v>
      </c>
      <c r="H290" s="1343">
        <v>44592</v>
      </c>
      <c r="I290" s="1173">
        <v>11</v>
      </c>
      <c r="J290" s="1173" t="s">
        <v>677</v>
      </c>
      <c r="K290" s="1174" t="s">
        <v>678</v>
      </c>
      <c r="L290" s="1175" t="s">
        <v>951</v>
      </c>
      <c r="M290" s="1176">
        <f>26950000-2359000-7441000</f>
        <v>17150000</v>
      </c>
      <c r="N290" s="1344" t="s">
        <v>765</v>
      </c>
      <c r="O290" s="1171" t="s">
        <v>764</v>
      </c>
      <c r="P290" s="1350" t="s">
        <v>682</v>
      </c>
      <c r="Q290" s="1160"/>
      <c r="R290" s="1327">
        <v>17150000</v>
      </c>
      <c r="S290" s="1327">
        <v>17150000</v>
      </c>
      <c r="T290" s="1327">
        <f>+'PAA V30'!$R290-'PAA V30'!$S290</f>
        <v>0</v>
      </c>
      <c r="U290" s="1327">
        <v>17150000</v>
      </c>
      <c r="V290" s="1327">
        <v>8003333</v>
      </c>
      <c r="W290" s="1327"/>
    </row>
    <row r="291" spans="1:23" s="1204" customFormat="1" ht="75" hidden="1" x14ac:dyDescent="0.2">
      <c r="A291" s="1169">
        <v>2022313</v>
      </c>
      <c r="B291" s="1169">
        <v>7658</v>
      </c>
      <c r="C291" s="1326" t="s">
        <v>673</v>
      </c>
      <c r="D291" s="1187" t="s">
        <v>696</v>
      </c>
      <c r="E291" s="1171">
        <v>80111600</v>
      </c>
      <c r="F291" s="1349" t="s">
        <v>978</v>
      </c>
      <c r="G291" s="1343">
        <v>44562</v>
      </c>
      <c r="H291" s="1343">
        <v>44592</v>
      </c>
      <c r="I291" s="1173">
        <v>11</v>
      </c>
      <c r="J291" s="1173" t="s">
        <v>677</v>
      </c>
      <c r="K291" s="1174" t="s">
        <v>678</v>
      </c>
      <c r="L291" s="1175" t="s">
        <v>951</v>
      </c>
      <c r="M291" s="1176">
        <f>59202000-9490000-15087800</f>
        <v>34624200</v>
      </c>
      <c r="N291" s="1344" t="s">
        <v>765</v>
      </c>
      <c r="O291" s="1171" t="s">
        <v>764</v>
      </c>
      <c r="P291" s="1350" t="s">
        <v>682</v>
      </c>
      <c r="Q291" s="1160"/>
      <c r="R291" s="1327">
        <v>48438000</v>
      </c>
      <c r="S291" s="1327">
        <v>48438000</v>
      </c>
      <c r="T291" s="1327">
        <f>+'PAA V30'!$R291-'PAA V30'!$S291</f>
        <v>0</v>
      </c>
      <c r="U291" s="1327">
        <v>48438000</v>
      </c>
      <c r="V291" s="1327">
        <v>23860200</v>
      </c>
      <c r="W291" s="1327"/>
    </row>
    <row r="292" spans="1:23" s="1204" customFormat="1" ht="75" hidden="1" x14ac:dyDescent="0.2">
      <c r="A292" s="1169">
        <v>2022314</v>
      </c>
      <c r="B292" s="1169">
        <v>7658</v>
      </c>
      <c r="C292" s="1326" t="s">
        <v>673</v>
      </c>
      <c r="D292" s="1187" t="s">
        <v>696</v>
      </c>
      <c r="E292" s="1171">
        <v>80111600</v>
      </c>
      <c r="F292" s="1171" t="s">
        <v>979</v>
      </c>
      <c r="G292" s="1343">
        <v>44562</v>
      </c>
      <c r="H292" s="1343">
        <v>44592</v>
      </c>
      <c r="I292" s="1173">
        <v>11</v>
      </c>
      <c r="J292" s="1173" t="s">
        <v>677</v>
      </c>
      <c r="K292" s="1174" t="s">
        <v>678</v>
      </c>
      <c r="L292" s="1175" t="s">
        <v>951</v>
      </c>
      <c r="M292" s="1176">
        <f>36850000-2691000-3477600-2898000-3850000-1600066</f>
        <v>22333334</v>
      </c>
      <c r="N292" s="1344" t="s">
        <v>765</v>
      </c>
      <c r="O292" s="1171" t="s">
        <v>764</v>
      </c>
      <c r="P292" s="1350" t="s">
        <v>682</v>
      </c>
      <c r="Q292" s="1160"/>
      <c r="R292" s="1327">
        <v>36850000</v>
      </c>
      <c r="S292" s="1327">
        <v>36850000</v>
      </c>
      <c r="T292" s="1327">
        <f>+'PAA V30'!$R292-'PAA V30'!$S292</f>
        <v>0</v>
      </c>
      <c r="U292" s="1327">
        <v>36850000</v>
      </c>
      <c r="V292" s="1327">
        <v>13846667</v>
      </c>
      <c r="W292" s="1327"/>
    </row>
    <row r="293" spans="1:23" s="1204" customFormat="1" ht="75" hidden="1" x14ac:dyDescent="0.2">
      <c r="A293" s="1169">
        <v>2022315</v>
      </c>
      <c r="B293" s="1169">
        <v>7658</v>
      </c>
      <c r="C293" s="1326" t="s">
        <v>673</v>
      </c>
      <c r="D293" s="1187" t="s">
        <v>696</v>
      </c>
      <c r="E293" s="1171">
        <v>80111600</v>
      </c>
      <c r="F293" s="1349" t="s">
        <v>980</v>
      </c>
      <c r="G293" s="1343">
        <v>44562</v>
      </c>
      <c r="H293" s="1343">
        <v>44592</v>
      </c>
      <c r="I293" s="1173">
        <v>11</v>
      </c>
      <c r="J293" s="1173" t="s">
        <v>677</v>
      </c>
      <c r="K293" s="1174" t="s">
        <v>678</v>
      </c>
      <c r="L293" s="1175" t="s">
        <v>951</v>
      </c>
      <c r="M293" s="1176">
        <f>47817000-16953300-434700</f>
        <v>30429000</v>
      </c>
      <c r="N293" s="1344" t="s">
        <v>765</v>
      </c>
      <c r="O293" s="1171" t="s">
        <v>764</v>
      </c>
      <c r="P293" s="1350" t="s">
        <v>682</v>
      </c>
      <c r="Q293" s="1160"/>
      <c r="R293" s="1327">
        <v>30429000</v>
      </c>
      <c r="S293" s="1327">
        <v>30429000</v>
      </c>
      <c r="T293" s="1327">
        <f>+'PAA V30'!$R293-'PAA V30'!$S293</f>
        <v>0</v>
      </c>
      <c r="U293" s="1327">
        <v>30429000</v>
      </c>
      <c r="V293" s="1327">
        <v>18981900</v>
      </c>
      <c r="W293" s="1327"/>
    </row>
    <row r="294" spans="1:23" s="1204" customFormat="1" ht="75" hidden="1" x14ac:dyDescent="0.2">
      <c r="A294" s="1169">
        <v>2022316</v>
      </c>
      <c r="B294" s="1169">
        <v>7658</v>
      </c>
      <c r="C294" s="1326" t="s">
        <v>673</v>
      </c>
      <c r="D294" s="1187" t="s">
        <v>696</v>
      </c>
      <c r="E294" s="1171">
        <v>80111600</v>
      </c>
      <c r="F294" s="1349" t="s">
        <v>981</v>
      </c>
      <c r="G294" s="1343">
        <v>44562</v>
      </c>
      <c r="H294" s="1343">
        <v>44592</v>
      </c>
      <c r="I294" s="1173">
        <v>11</v>
      </c>
      <c r="J294" s="1173" t="s">
        <v>677</v>
      </c>
      <c r="K294" s="1174" t="s">
        <v>678</v>
      </c>
      <c r="L294" s="1175" t="s">
        <v>951</v>
      </c>
      <c r="M294" s="1176">
        <v>59202000</v>
      </c>
      <c r="N294" s="1344" t="s">
        <v>765</v>
      </c>
      <c r="O294" s="1171" t="s">
        <v>764</v>
      </c>
      <c r="P294" s="1350" t="s">
        <v>682</v>
      </c>
      <c r="Q294" s="1160"/>
      <c r="R294" s="1327">
        <v>59202000</v>
      </c>
      <c r="S294" s="1327">
        <v>59202000</v>
      </c>
      <c r="T294" s="1327">
        <f>+'PAA V30'!$R294-'PAA V30'!$S294</f>
        <v>0</v>
      </c>
      <c r="U294" s="1327">
        <v>59202000</v>
      </c>
      <c r="V294" s="1327">
        <v>21528000</v>
      </c>
      <c r="W294" s="1327"/>
    </row>
    <row r="295" spans="1:23" s="1204" customFormat="1" ht="75" hidden="1" x14ac:dyDescent="0.2">
      <c r="A295" s="1169">
        <v>2022317</v>
      </c>
      <c r="B295" s="1169">
        <v>7658</v>
      </c>
      <c r="C295" s="1326" t="s">
        <v>673</v>
      </c>
      <c r="D295" s="1187" t="s">
        <v>696</v>
      </c>
      <c r="E295" s="1171">
        <v>80111600</v>
      </c>
      <c r="F295" s="1349" t="s">
        <v>982</v>
      </c>
      <c r="G295" s="1343">
        <v>44562</v>
      </c>
      <c r="H295" s="1343">
        <v>44592</v>
      </c>
      <c r="I295" s="1173">
        <v>11</v>
      </c>
      <c r="J295" s="1173" t="s">
        <v>677</v>
      </c>
      <c r="K295" s="1174" t="s">
        <v>678</v>
      </c>
      <c r="L295" s="1175" t="s">
        <v>951</v>
      </c>
      <c r="M295" s="1176">
        <f>31880000-3985000</f>
        <v>27895000</v>
      </c>
      <c r="N295" s="1344" t="s">
        <v>765</v>
      </c>
      <c r="O295" s="1171" t="s">
        <v>764</v>
      </c>
      <c r="P295" s="1350" t="s">
        <v>682</v>
      </c>
      <c r="Q295" s="1160"/>
      <c r="R295" s="1327">
        <v>27895000</v>
      </c>
      <c r="S295" s="1327">
        <v>27895000</v>
      </c>
      <c r="T295" s="1327">
        <f>+'PAA V30'!$R295-'PAA V30'!$S295</f>
        <v>0</v>
      </c>
      <c r="U295" s="1327">
        <v>27895000</v>
      </c>
      <c r="V295" s="1327"/>
      <c r="W295" s="1327"/>
    </row>
    <row r="296" spans="1:23" s="1204" customFormat="1" ht="75" hidden="1" x14ac:dyDescent="0.2">
      <c r="A296" s="1169">
        <v>2022318</v>
      </c>
      <c r="B296" s="1169">
        <v>7658</v>
      </c>
      <c r="C296" s="1326" t="s">
        <v>673</v>
      </c>
      <c r="D296" s="1187" t="s">
        <v>696</v>
      </c>
      <c r="E296" s="1171">
        <v>80111600</v>
      </c>
      <c r="F296" s="1349" t="s">
        <v>983</v>
      </c>
      <c r="G296" s="1343">
        <v>44562</v>
      </c>
      <c r="H296" s="1343">
        <v>44592</v>
      </c>
      <c r="I296" s="1173">
        <v>11</v>
      </c>
      <c r="J296" s="1173" t="s">
        <v>677</v>
      </c>
      <c r="K296" s="1174" t="s">
        <v>678</v>
      </c>
      <c r="L296" s="1175" t="s">
        <v>951</v>
      </c>
      <c r="M296" s="1176">
        <v>16146000</v>
      </c>
      <c r="N296" s="1344" t="s">
        <v>765</v>
      </c>
      <c r="O296" s="1171" t="s">
        <v>764</v>
      </c>
      <c r="P296" s="1350" t="s">
        <v>682</v>
      </c>
      <c r="Q296" s="1160"/>
      <c r="R296" s="1327">
        <v>16146000</v>
      </c>
      <c r="S296" s="1327">
        <v>16146000</v>
      </c>
      <c r="T296" s="1327">
        <f>+'PAA V30'!$R296-'PAA V30'!$S296</f>
        <v>0</v>
      </c>
      <c r="U296" s="1327">
        <v>16146000</v>
      </c>
      <c r="V296" s="1327">
        <v>11391900</v>
      </c>
      <c r="W296" s="1327"/>
    </row>
    <row r="297" spans="1:23" s="1204" customFormat="1" ht="75" hidden="1" x14ac:dyDescent="0.2">
      <c r="A297" s="1169">
        <v>2022319</v>
      </c>
      <c r="B297" s="1169">
        <v>7658</v>
      </c>
      <c r="C297" s="1326" t="s">
        <v>673</v>
      </c>
      <c r="D297" s="1187" t="s">
        <v>696</v>
      </c>
      <c r="E297" s="1171">
        <v>80111600</v>
      </c>
      <c r="F297" s="1349" t="s">
        <v>984</v>
      </c>
      <c r="G297" s="1343">
        <v>44562</v>
      </c>
      <c r="H297" s="1343">
        <v>44592</v>
      </c>
      <c r="I297" s="1173">
        <v>11</v>
      </c>
      <c r="J297" s="1173" t="s">
        <v>677</v>
      </c>
      <c r="K297" s="1174" t="s">
        <v>678</v>
      </c>
      <c r="L297" s="1175" t="s">
        <v>951</v>
      </c>
      <c r="M297" s="1176">
        <f>80300000-16146000-21528000-4422667</f>
        <v>38203333</v>
      </c>
      <c r="N297" s="1344" t="s">
        <v>765</v>
      </c>
      <c r="O297" s="1171" t="s">
        <v>764</v>
      </c>
      <c r="P297" s="1350" t="s">
        <v>682</v>
      </c>
      <c r="Q297" s="1160"/>
      <c r="R297" s="1327">
        <v>80300000</v>
      </c>
      <c r="S297" s="1327">
        <v>80300000</v>
      </c>
      <c r="T297" s="1327">
        <f>+'PAA V30'!$R297-'PAA V30'!$S297</f>
        <v>0</v>
      </c>
      <c r="U297" s="1327">
        <v>80300000</v>
      </c>
      <c r="V297" s="1327">
        <v>30903333</v>
      </c>
      <c r="W297" s="1327"/>
    </row>
    <row r="298" spans="1:23" s="1204" customFormat="1" ht="75" hidden="1" x14ac:dyDescent="0.2">
      <c r="A298" s="1169">
        <v>2022320</v>
      </c>
      <c r="B298" s="1169">
        <v>7658</v>
      </c>
      <c r="C298" s="1326" t="s">
        <v>673</v>
      </c>
      <c r="D298" s="1187" t="s">
        <v>696</v>
      </c>
      <c r="E298" s="1171">
        <v>80111600</v>
      </c>
      <c r="F298" s="1349" t="s">
        <v>985</v>
      </c>
      <c r="G298" s="1343">
        <v>44562</v>
      </c>
      <c r="H298" s="1343">
        <v>44592</v>
      </c>
      <c r="I298" s="1173">
        <v>11</v>
      </c>
      <c r="J298" s="1173" t="s">
        <v>677</v>
      </c>
      <c r="K298" s="1174" t="s">
        <v>678</v>
      </c>
      <c r="L298" s="1175" t="s">
        <v>951</v>
      </c>
      <c r="M298" s="1176">
        <f>56925000-20700000</f>
        <v>36225000</v>
      </c>
      <c r="N298" s="1344" t="s">
        <v>765</v>
      </c>
      <c r="O298" s="1171" t="s">
        <v>764</v>
      </c>
      <c r="P298" s="1350" t="s">
        <v>682</v>
      </c>
      <c r="Q298" s="1160"/>
      <c r="R298" s="1327">
        <v>36225000</v>
      </c>
      <c r="S298" s="1327">
        <v>36225000</v>
      </c>
      <c r="T298" s="1327">
        <f>+'PAA V30'!$R298-'PAA V30'!$S298</f>
        <v>0</v>
      </c>
      <c r="U298" s="1327">
        <v>36225000</v>
      </c>
      <c r="V298" s="1327">
        <v>22942500</v>
      </c>
      <c r="W298" s="1327"/>
    </row>
    <row r="299" spans="1:23" s="1204" customFormat="1" ht="75" hidden="1" x14ac:dyDescent="0.2">
      <c r="A299" s="1169">
        <v>2022321</v>
      </c>
      <c r="B299" s="1169">
        <v>7658</v>
      </c>
      <c r="C299" s="1326" t="s">
        <v>673</v>
      </c>
      <c r="D299" s="1187" t="s">
        <v>696</v>
      </c>
      <c r="E299" s="1171">
        <v>80111600</v>
      </c>
      <c r="F299" s="1349" t="s">
        <v>986</v>
      </c>
      <c r="G299" s="1343">
        <v>44562</v>
      </c>
      <c r="H299" s="1343">
        <v>44592</v>
      </c>
      <c r="I299" s="1173">
        <v>10</v>
      </c>
      <c r="J299" s="1173" t="s">
        <v>677</v>
      </c>
      <c r="K299" s="1174" t="s">
        <v>678</v>
      </c>
      <c r="L299" s="1175" t="s">
        <v>951</v>
      </c>
      <c r="M299" s="1176">
        <f>23100000-11550000</f>
        <v>11550000</v>
      </c>
      <c r="N299" s="1344" t="s">
        <v>765</v>
      </c>
      <c r="O299" s="1171" t="s">
        <v>764</v>
      </c>
      <c r="P299" s="1350" t="s">
        <v>682</v>
      </c>
      <c r="Q299" s="1160"/>
      <c r="R299" s="1327">
        <v>11550000</v>
      </c>
      <c r="S299" s="1327">
        <v>11550000</v>
      </c>
      <c r="T299" s="1327">
        <f>+'PAA V30'!$R299-'PAA V30'!$S299</f>
        <v>0</v>
      </c>
      <c r="U299" s="1327">
        <v>11550000</v>
      </c>
      <c r="V299" s="1327">
        <v>10780000</v>
      </c>
      <c r="W299" s="1327"/>
    </row>
    <row r="300" spans="1:23" s="1204" customFormat="1" ht="75" hidden="1" x14ac:dyDescent="0.2">
      <c r="A300" s="1169">
        <v>2022322</v>
      </c>
      <c r="B300" s="1169">
        <v>7658</v>
      </c>
      <c r="C300" s="1326" t="s">
        <v>673</v>
      </c>
      <c r="D300" s="1187" t="s">
        <v>696</v>
      </c>
      <c r="E300" s="1171">
        <v>80111600</v>
      </c>
      <c r="F300" s="1349" t="s">
        <v>987</v>
      </c>
      <c r="G300" s="1343">
        <v>44562</v>
      </c>
      <c r="H300" s="1343">
        <v>44592</v>
      </c>
      <c r="I300" s="1173">
        <v>4</v>
      </c>
      <c r="J300" s="1173" t="s">
        <v>677</v>
      </c>
      <c r="K300" s="1174" t="s">
        <v>678</v>
      </c>
      <c r="L300" s="1175" t="s">
        <v>951</v>
      </c>
      <c r="M300" s="1176">
        <v>26950000</v>
      </c>
      <c r="N300" s="1344" t="s">
        <v>765</v>
      </c>
      <c r="O300" s="1171" t="s">
        <v>764</v>
      </c>
      <c r="P300" s="1350" t="s">
        <v>682</v>
      </c>
      <c r="Q300" s="1160"/>
      <c r="R300" s="1327">
        <v>26950000</v>
      </c>
      <c r="S300" s="1327">
        <v>26950000</v>
      </c>
      <c r="T300" s="1327">
        <f>+'PAA V30'!$R300-'PAA V30'!$S300</f>
        <v>0</v>
      </c>
      <c r="U300" s="1327">
        <v>26950000</v>
      </c>
      <c r="V300" s="1327">
        <v>15400000</v>
      </c>
      <c r="W300" s="1327"/>
    </row>
    <row r="301" spans="1:23" s="1204" customFormat="1" ht="75" hidden="1" x14ac:dyDescent="0.2">
      <c r="A301" s="1169">
        <v>2022323</v>
      </c>
      <c r="B301" s="1169">
        <v>7658</v>
      </c>
      <c r="C301" s="1326" t="s">
        <v>673</v>
      </c>
      <c r="D301" s="1187" t="s">
        <v>696</v>
      </c>
      <c r="E301" s="1171">
        <v>80111600</v>
      </c>
      <c r="F301" s="1349" t="s">
        <v>988</v>
      </c>
      <c r="G301" s="1343">
        <v>44562</v>
      </c>
      <c r="H301" s="1343">
        <v>44592</v>
      </c>
      <c r="I301" s="1173">
        <v>11</v>
      </c>
      <c r="J301" s="1173" t="s">
        <v>677</v>
      </c>
      <c r="K301" s="1174" t="s">
        <v>678</v>
      </c>
      <c r="L301" s="1175" t="s">
        <v>951</v>
      </c>
      <c r="M301" s="1176">
        <f>47817000-13041000</f>
        <v>34776000</v>
      </c>
      <c r="N301" s="1344" t="s">
        <v>765</v>
      </c>
      <c r="O301" s="1171" t="s">
        <v>764</v>
      </c>
      <c r="P301" s="1350" t="s">
        <v>682</v>
      </c>
      <c r="Q301" s="1160"/>
      <c r="R301" s="1327">
        <v>34776000</v>
      </c>
      <c r="S301" s="1327">
        <v>34776000</v>
      </c>
      <c r="T301" s="1327">
        <f>+'PAA V30'!$R301-'PAA V30'!$S301</f>
        <v>0</v>
      </c>
      <c r="U301" s="1327">
        <v>34776000</v>
      </c>
      <c r="V301" s="1327">
        <v>18402300</v>
      </c>
      <c r="W301" s="1327"/>
    </row>
    <row r="302" spans="1:23" s="1204" customFormat="1" ht="330" hidden="1" x14ac:dyDescent="0.2">
      <c r="A302" s="1169">
        <v>2022324</v>
      </c>
      <c r="B302" s="1169">
        <v>7658</v>
      </c>
      <c r="C302" s="1326" t="s">
        <v>673</v>
      </c>
      <c r="D302" s="1187" t="s">
        <v>696</v>
      </c>
      <c r="E302" s="1171" t="s">
        <v>989</v>
      </c>
      <c r="F302" s="1349" t="s">
        <v>990</v>
      </c>
      <c r="G302" s="1343">
        <v>44711</v>
      </c>
      <c r="H302" s="1343">
        <v>44728</v>
      </c>
      <c r="I302" s="1173">
        <v>6</v>
      </c>
      <c r="J302" s="1173" t="s">
        <v>647</v>
      </c>
      <c r="K302" s="1174" t="s">
        <v>774</v>
      </c>
      <c r="L302" s="1175" t="s">
        <v>951</v>
      </c>
      <c r="M302" s="1176">
        <f>200000000+65961254</f>
        <v>265961254</v>
      </c>
      <c r="N302" s="1344" t="s">
        <v>765</v>
      </c>
      <c r="O302" s="1171" t="s">
        <v>764</v>
      </c>
      <c r="P302" s="1350" t="s">
        <v>682</v>
      </c>
      <c r="Q302" s="1160"/>
      <c r="R302" s="1327">
        <v>265961254</v>
      </c>
      <c r="S302" s="1327">
        <v>265961254</v>
      </c>
      <c r="T302" s="1327">
        <f>+'PAA V30'!$R302-'PAA V30'!$S302</f>
        <v>0</v>
      </c>
      <c r="U302" s="1327"/>
      <c r="V302" s="1327"/>
      <c r="W302" s="1327"/>
    </row>
    <row r="303" spans="1:23" s="1204" customFormat="1" ht="120" hidden="1" x14ac:dyDescent="0.2">
      <c r="A303" s="1169">
        <v>2022325</v>
      </c>
      <c r="B303" s="1169">
        <v>7658</v>
      </c>
      <c r="C303" s="1326" t="s">
        <v>673</v>
      </c>
      <c r="D303" s="1187" t="s">
        <v>696</v>
      </c>
      <c r="E303" s="1171" t="s">
        <v>991</v>
      </c>
      <c r="F303" s="1171" t="s">
        <v>992</v>
      </c>
      <c r="G303" s="1343">
        <v>44682</v>
      </c>
      <c r="H303" s="1343">
        <v>44712</v>
      </c>
      <c r="I303" s="1173">
        <v>6</v>
      </c>
      <c r="J303" s="1173" t="s">
        <v>687</v>
      </c>
      <c r="K303" s="1174" t="s">
        <v>678</v>
      </c>
      <c r="L303" s="1175" t="s">
        <v>951</v>
      </c>
      <c r="M303" s="1176">
        <f>770904000-1836467-11482000-10200000-13500000-120970064-200000000-50955469-361960000</f>
        <v>0</v>
      </c>
      <c r="N303" s="1344" t="s">
        <v>765</v>
      </c>
      <c r="O303" s="1171" t="s">
        <v>764</v>
      </c>
      <c r="P303" s="1350" t="s">
        <v>682</v>
      </c>
      <c r="Q303" s="1160"/>
      <c r="R303" s="1327">
        <v>770904000</v>
      </c>
      <c r="S303" s="1327">
        <v>770904000</v>
      </c>
      <c r="T303" s="1327">
        <f>+'PAA V30'!$R303-'PAA V30'!$S303</f>
        <v>0</v>
      </c>
      <c r="U303" s="1327"/>
      <c r="V303" s="1327"/>
      <c r="W303" s="1327"/>
    </row>
    <row r="304" spans="1:23" s="1204" customFormat="1" ht="75" hidden="1" x14ac:dyDescent="0.2">
      <c r="A304" s="1169">
        <v>2022326</v>
      </c>
      <c r="B304" s="1169">
        <v>7658</v>
      </c>
      <c r="C304" s="1326" t="s">
        <v>673</v>
      </c>
      <c r="D304" s="1187" t="s">
        <v>696</v>
      </c>
      <c r="E304" s="1171" t="s">
        <v>993</v>
      </c>
      <c r="F304" s="1171" t="s">
        <v>994</v>
      </c>
      <c r="G304" s="1343">
        <v>44711</v>
      </c>
      <c r="H304" s="1343">
        <v>44728</v>
      </c>
      <c r="I304" s="1173">
        <v>6</v>
      </c>
      <c r="J304" s="1173" t="s">
        <v>647</v>
      </c>
      <c r="K304" s="1174" t="s">
        <v>774</v>
      </c>
      <c r="L304" s="1175" t="s">
        <v>951</v>
      </c>
      <c r="M304" s="1176">
        <f>1100000000-65961254-110000+110000</f>
        <v>1034038746</v>
      </c>
      <c r="N304" s="1344" t="s">
        <v>765</v>
      </c>
      <c r="O304" s="1171" t="s">
        <v>764</v>
      </c>
      <c r="P304" s="1350" t="s">
        <v>682</v>
      </c>
      <c r="Q304" s="1160"/>
      <c r="R304" s="1327">
        <v>1034038746</v>
      </c>
      <c r="S304" s="1327">
        <v>1034038746</v>
      </c>
      <c r="T304" s="1327">
        <f>+'PAA V30'!$R304-'PAA V30'!$S304</f>
        <v>0</v>
      </c>
      <c r="U304" s="1327"/>
      <c r="V304" s="1327"/>
      <c r="W304" s="1327"/>
    </row>
    <row r="305" spans="1:23" s="1204" customFormat="1" ht="75" hidden="1" x14ac:dyDescent="0.2">
      <c r="A305" s="1169">
        <v>2022327</v>
      </c>
      <c r="B305" s="1169">
        <v>7658</v>
      </c>
      <c r="C305" s="1326" t="s">
        <v>673</v>
      </c>
      <c r="D305" s="1187" t="s">
        <v>696</v>
      </c>
      <c r="E305" s="1171">
        <v>90121800</v>
      </c>
      <c r="F305" s="1171" t="s">
        <v>995</v>
      </c>
      <c r="G305" s="1343">
        <v>44562</v>
      </c>
      <c r="H305" s="1343">
        <v>44592</v>
      </c>
      <c r="I305" s="1173">
        <v>12</v>
      </c>
      <c r="J305" s="1173" t="s">
        <v>97</v>
      </c>
      <c r="K305" s="1174" t="s">
        <v>678</v>
      </c>
      <c r="L305" s="1175" t="s">
        <v>951</v>
      </c>
      <c r="M305" s="1176">
        <f>40000000+10000000+10000000+54800000+15000000+75000000-9000000-122689931+1041000-7100000+931000-10000000</f>
        <v>57982069</v>
      </c>
      <c r="N305" s="1344" t="s">
        <v>765</v>
      </c>
      <c r="O305" s="1171" t="s">
        <v>764</v>
      </c>
      <c r="P305" s="1267" t="s">
        <v>682</v>
      </c>
      <c r="Q305" s="1160"/>
      <c r="R305" s="1327">
        <v>190731814</v>
      </c>
      <c r="S305" s="1327">
        <v>40731814</v>
      </c>
      <c r="T305" s="1327">
        <f>+'PAA V30'!$R305-'PAA V30'!$S305</f>
        <v>150000000</v>
      </c>
      <c r="U305" s="1327">
        <v>27119209</v>
      </c>
      <c r="V305" s="1327">
        <v>27119209</v>
      </c>
      <c r="W305" s="1327"/>
    </row>
    <row r="306" spans="1:23" s="1204" customFormat="1" ht="75" hidden="1" x14ac:dyDescent="0.2">
      <c r="A306" s="1169">
        <v>2022328</v>
      </c>
      <c r="B306" s="1169">
        <v>7658</v>
      </c>
      <c r="C306" s="1326" t="s">
        <v>673</v>
      </c>
      <c r="D306" s="1187" t="s">
        <v>696</v>
      </c>
      <c r="E306" s="1171">
        <v>90121800</v>
      </c>
      <c r="F306" s="1349" t="s">
        <v>996</v>
      </c>
      <c r="G306" s="1343">
        <v>44562</v>
      </c>
      <c r="H306" s="1343">
        <v>44592</v>
      </c>
      <c r="I306" s="1173">
        <v>12</v>
      </c>
      <c r="J306" s="1173" t="s">
        <v>97</v>
      </c>
      <c r="K306" s="1174" t="s">
        <v>678</v>
      </c>
      <c r="L306" s="1175" t="s">
        <v>951</v>
      </c>
      <c r="M306" s="1176">
        <f>80000000-16244349-1675000-8073000-15525000-11550000-1449000-10350000-7762500-4347000-2539992</f>
        <v>484159</v>
      </c>
      <c r="N306" s="1344" t="s">
        <v>765</v>
      </c>
      <c r="O306" s="1171" t="s">
        <v>764</v>
      </c>
      <c r="P306" s="1267" t="s">
        <v>682</v>
      </c>
      <c r="Q306" s="1160"/>
      <c r="R306" s="1327">
        <v>50000000</v>
      </c>
      <c r="S306" s="1327">
        <v>50000000</v>
      </c>
      <c r="T306" s="1327">
        <f>+'PAA V30'!$R306-'PAA V30'!$S306</f>
        <v>0</v>
      </c>
      <c r="U306" s="1327"/>
      <c r="V306" s="1327"/>
      <c r="W306" s="1327"/>
    </row>
    <row r="307" spans="1:23" s="1204" customFormat="1" ht="75" hidden="1" x14ac:dyDescent="0.2">
      <c r="A307" s="1169">
        <v>2022329</v>
      </c>
      <c r="B307" s="1169">
        <v>7658</v>
      </c>
      <c r="C307" s="1326" t="s">
        <v>673</v>
      </c>
      <c r="D307" s="1187" t="s">
        <v>696</v>
      </c>
      <c r="E307" s="1171">
        <v>80111600</v>
      </c>
      <c r="F307" s="1171" t="s">
        <v>997</v>
      </c>
      <c r="G307" s="1343">
        <v>44798</v>
      </c>
      <c r="H307" s="1343">
        <v>44805</v>
      </c>
      <c r="I307" s="1173">
        <v>3</v>
      </c>
      <c r="J307" s="1173" t="s">
        <v>677</v>
      </c>
      <c r="K307" s="1174" t="s">
        <v>678</v>
      </c>
      <c r="L307" s="1175" t="s">
        <v>951</v>
      </c>
      <c r="M307" s="1176">
        <f>50955469-869400-13041000-110000-15000000-21935069</f>
        <v>0</v>
      </c>
      <c r="N307" s="1344" t="s">
        <v>765</v>
      </c>
      <c r="O307" s="1171" t="s">
        <v>764</v>
      </c>
      <c r="P307" s="1350" t="s">
        <v>682</v>
      </c>
      <c r="Q307" s="1160"/>
      <c r="R307" s="1327">
        <v>46155118</v>
      </c>
      <c r="S307" s="1327">
        <v>46155118</v>
      </c>
      <c r="T307" s="1327">
        <f>+'PAA V30'!$R307-'PAA V30'!$S307</f>
        <v>0</v>
      </c>
      <c r="U307" s="1327">
        <v>46155118</v>
      </c>
      <c r="V307" s="1327">
        <v>46155118</v>
      </c>
      <c r="W307" s="1327"/>
    </row>
    <row r="308" spans="1:23" s="1204" customFormat="1" ht="120" hidden="1" x14ac:dyDescent="0.2">
      <c r="A308" s="1169">
        <v>2022330</v>
      </c>
      <c r="B308" s="1169">
        <v>7658</v>
      </c>
      <c r="C308" s="1326" t="s">
        <v>673</v>
      </c>
      <c r="D308" s="1187" t="s">
        <v>702</v>
      </c>
      <c r="E308" s="1171" t="s">
        <v>998</v>
      </c>
      <c r="F308" s="1349" t="s">
        <v>999</v>
      </c>
      <c r="G308" s="1343">
        <v>44666</v>
      </c>
      <c r="H308" s="1343">
        <v>44727</v>
      </c>
      <c r="I308" s="1173">
        <v>12</v>
      </c>
      <c r="J308" s="1173" t="s">
        <v>647</v>
      </c>
      <c r="K308" s="1174" t="s">
        <v>774</v>
      </c>
      <c r="L308" s="1175" t="s">
        <v>951</v>
      </c>
      <c r="M308" s="1176">
        <f>5600000000+1078000000</f>
        <v>6678000000</v>
      </c>
      <c r="N308" s="1344" t="s">
        <v>769</v>
      </c>
      <c r="O308" s="1171" t="s">
        <v>915</v>
      </c>
      <c r="P308" s="1350" t="s">
        <v>682</v>
      </c>
      <c r="Q308" s="1160"/>
      <c r="R308" s="1327">
        <v>6678000000</v>
      </c>
      <c r="S308" s="1327">
        <v>6678000000</v>
      </c>
      <c r="T308" s="1327">
        <f>+'PAA V30'!$R308-'PAA V30'!$S308</f>
        <v>0</v>
      </c>
      <c r="U308" s="1327"/>
      <c r="V308" s="1327"/>
      <c r="W308" s="1327"/>
    </row>
    <row r="309" spans="1:23" s="1204" customFormat="1" ht="195" hidden="1" x14ac:dyDescent="0.2">
      <c r="A309" s="1169">
        <v>2022331</v>
      </c>
      <c r="B309" s="1169">
        <v>7658</v>
      </c>
      <c r="C309" s="1326" t="s">
        <v>673</v>
      </c>
      <c r="D309" s="1187" t="s">
        <v>702</v>
      </c>
      <c r="E309" s="1171" t="s">
        <v>1000</v>
      </c>
      <c r="F309" s="1349" t="s">
        <v>1001</v>
      </c>
      <c r="G309" s="1343">
        <v>44635</v>
      </c>
      <c r="H309" s="1343">
        <v>44696</v>
      </c>
      <c r="I309" s="1173">
        <v>6</v>
      </c>
      <c r="J309" s="1173" t="s">
        <v>647</v>
      </c>
      <c r="K309" s="1174" t="s">
        <v>774</v>
      </c>
      <c r="L309" s="1175" t="s">
        <v>951</v>
      </c>
      <c r="M309" s="1176">
        <f>1325000000-50318299-110564101</f>
        <v>1164117600</v>
      </c>
      <c r="N309" s="1344" t="s">
        <v>1002</v>
      </c>
      <c r="O309" s="1171" t="s">
        <v>915</v>
      </c>
      <c r="P309" s="1267" t="s">
        <v>682</v>
      </c>
      <c r="Q309" s="1160" t="s">
        <v>1003</v>
      </c>
      <c r="R309" s="1327">
        <v>1325000000</v>
      </c>
      <c r="S309" s="1327">
        <v>1325000000</v>
      </c>
      <c r="T309" s="1327">
        <f>+'PAA V30'!$R309-'PAA V30'!$S309</f>
        <v>0</v>
      </c>
      <c r="U309" s="1327"/>
      <c r="V309" s="1327"/>
      <c r="W309" s="1327"/>
    </row>
    <row r="310" spans="1:23" s="1204" customFormat="1" ht="195" hidden="1" x14ac:dyDescent="0.2">
      <c r="A310" s="1169">
        <v>2022332</v>
      </c>
      <c r="B310" s="1169">
        <v>7658</v>
      </c>
      <c r="C310" s="1326" t="s">
        <v>673</v>
      </c>
      <c r="D310" s="1187" t="s">
        <v>702</v>
      </c>
      <c r="E310" s="1171" t="s">
        <v>1000</v>
      </c>
      <c r="F310" s="1349" t="s">
        <v>1001</v>
      </c>
      <c r="G310" s="1343">
        <v>44635</v>
      </c>
      <c r="H310" s="1343">
        <v>44696</v>
      </c>
      <c r="I310" s="1173">
        <v>6</v>
      </c>
      <c r="J310" s="1173" t="s">
        <v>647</v>
      </c>
      <c r="K310" s="1174" t="s">
        <v>678</v>
      </c>
      <c r="L310" s="1175" t="s">
        <v>951</v>
      </c>
      <c r="M310" s="1176">
        <f>548720000-252916670-117537030</f>
        <v>178266300</v>
      </c>
      <c r="N310" s="1344" t="s">
        <v>1002</v>
      </c>
      <c r="O310" s="1171" t="s">
        <v>915</v>
      </c>
      <c r="P310" s="1350" t="s">
        <v>682</v>
      </c>
      <c r="Q310" s="1160"/>
      <c r="R310" s="1327">
        <v>295803330</v>
      </c>
      <c r="S310" s="1327">
        <v>295803330</v>
      </c>
      <c r="T310" s="1327">
        <f>+'PAA V30'!$R310-'PAA V30'!$S310</f>
        <v>0</v>
      </c>
      <c r="U310" s="1327"/>
      <c r="V310" s="1327"/>
      <c r="W310" s="1327"/>
    </row>
    <row r="311" spans="1:23" s="1204" customFormat="1" ht="120" hidden="1" x14ac:dyDescent="0.2">
      <c r="A311" s="1169">
        <v>2022334</v>
      </c>
      <c r="B311" s="1169">
        <v>7658</v>
      </c>
      <c r="C311" s="1326" t="s">
        <v>673</v>
      </c>
      <c r="D311" s="1187" t="s">
        <v>702</v>
      </c>
      <c r="E311" s="1171" t="s">
        <v>1004</v>
      </c>
      <c r="F311" s="1349" t="s">
        <v>1005</v>
      </c>
      <c r="G311" s="1343">
        <v>44666</v>
      </c>
      <c r="H311" s="1343">
        <v>44727</v>
      </c>
      <c r="I311" s="1173">
        <v>6</v>
      </c>
      <c r="J311" s="1173" t="s">
        <v>647</v>
      </c>
      <c r="K311" s="1174" t="s">
        <v>678</v>
      </c>
      <c r="L311" s="1175" t="s">
        <v>951</v>
      </c>
      <c r="M311" s="1176">
        <f>204051000-54800000+117537030-2951667-9000000-4500000-6800000-4500000-6700000-3850000-4500000-6800000-3350000-7700000-7300000-9000000-6800000-9000000-6800000-4900000-2450000-2100000-3675000-3400000-1178001</f>
        <v>149533362</v>
      </c>
      <c r="N311" s="1344" t="s">
        <v>1002</v>
      </c>
      <c r="O311" s="1171" t="s">
        <v>915</v>
      </c>
      <c r="P311" s="1350" t="s">
        <v>682</v>
      </c>
      <c r="Q311" s="1160"/>
      <c r="R311" s="1327">
        <v>143163926</v>
      </c>
      <c r="S311" s="1327">
        <v>143163926</v>
      </c>
      <c r="T311" s="1327">
        <f>+'PAA V30'!$R311-'PAA V30'!$S311</f>
        <v>0</v>
      </c>
      <c r="U311" s="1327"/>
      <c r="V311" s="1327"/>
      <c r="W311" s="1327"/>
    </row>
    <row r="312" spans="1:23" s="1204" customFormat="1" ht="120" hidden="1" x14ac:dyDescent="0.2">
      <c r="A312" s="1169">
        <v>2022336</v>
      </c>
      <c r="B312" s="1169">
        <v>7658</v>
      </c>
      <c r="C312" s="1326" t="s">
        <v>673</v>
      </c>
      <c r="D312" s="1187" t="s">
        <v>702</v>
      </c>
      <c r="E312" s="1171" t="s">
        <v>1006</v>
      </c>
      <c r="F312" s="1349" t="s">
        <v>1007</v>
      </c>
      <c r="G312" s="1343">
        <v>44682</v>
      </c>
      <c r="H312" s="1343">
        <v>44742</v>
      </c>
      <c r="I312" s="1173">
        <v>3</v>
      </c>
      <c r="J312" s="1173" t="s">
        <v>700</v>
      </c>
      <c r="K312" s="1174" t="s">
        <v>678</v>
      </c>
      <c r="L312" s="1175" t="s">
        <v>951</v>
      </c>
      <c r="M312" s="1176">
        <f>125000000-95000000-2496999-2450000-2450000-2100000-2100000-2100000-1540000-2100000-1540000-2100000-1260000-1540000-2100000-2100000-2023001</f>
        <v>0</v>
      </c>
      <c r="N312" s="1344" t="s">
        <v>1002</v>
      </c>
      <c r="O312" s="1171" t="s">
        <v>915</v>
      </c>
      <c r="P312" s="1267" t="s">
        <v>682</v>
      </c>
      <c r="Q312" s="1160"/>
      <c r="R312" s="1266">
        <v>0</v>
      </c>
      <c r="S312" s="1327"/>
      <c r="T312" s="1327">
        <f>+'PAA V30'!$R312-'PAA V30'!$S312</f>
        <v>0</v>
      </c>
      <c r="U312" s="1327"/>
      <c r="V312" s="1327"/>
      <c r="W312" s="1327"/>
    </row>
    <row r="313" spans="1:23" s="1204" customFormat="1" ht="120" hidden="1" x14ac:dyDescent="0.2">
      <c r="A313" s="1169">
        <v>2022337</v>
      </c>
      <c r="B313" s="1169">
        <v>7658</v>
      </c>
      <c r="C313" s="1326" t="s">
        <v>673</v>
      </c>
      <c r="D313" s="1187" t="s">
        <v>702</v>
      </c>
      <c r="E313" s="1171">
        <v>80111600</v>
      </c>
      <c r="F313" s="1349" t="s">
        <v>1008</v>
      </c>
      <c r="G313" s="1343">
        <v>44562</v>
      </c>
      <c r="H313" s="1343">
        <v>44592</v>
      </c>
      <c r="I313" s="1173">
        <v>12</v>
      </c>
      <c r="J313" s="1173" t="s">
        <v>677</v>
      </c>
      <c r="K313" s="1174" t="s">
        <v>678</v>
      </c>
      <c r="L313" s="1175" t="s">
        <v>951</v>
      </c>
      <c r="M313" s="1176">
        <v>25980000</v>
      </c>
      <c r="N313" s="1344" t="s">
        <v>1002</v>
      </c>
      <c r="O313" s="1171" t="s">
        <v>915</v>
      </c>
      <c r="P313" s="1350" t="s">
        <v>682</v>
      </c>
      <c r="Q313" s="1160"/>
      <c r="R313" s="1327">
        <v>25200000</v>
      </c>
      <c r="S313" s="1327">
        <v>25200000</v>
      </c>
      <c r="T313" s="1327">
        <f>+'PAA V30'!$R313-'PAA V30'!$S313</f>
        <v>0</v>
      </c>
      <c r="U313" s="1327">
        <v>25200000</v>
      </c>
      <c r="V313" s="1327">
        <v>8400000</v>
      </c>
      <c r="W313" s="1327"/>
    </row>
    <row r="314" spans="1:23" s="1204" customFormat="1" ht="120" hidden="1" x14ac:dyDescent="0.2">
      <c r="A314" s="1169">
        <v>2022338</v>
      </c>
      <c r="B314" s="1169">
        <v>7658</v>
      </c>
      <c r="C314" s="1326" t="s">
        <v>673</v>
      </c>
      <c r="D314" s="1187" t="s">
        <v>702</v>
      </c>
      <c r="E314" s="1171">
        <v>80111600</v>
      </c>
      <c r="F314" s="1349" t="s">
        <v>1008</v>
      </c>
      <c r="G314" s="1343">
        <v>44562</v>
      </c>
      <c r="H314" s="1343">
        <v>44592</v>
      </c>
      <c r="I314" s="1173">
        <v>12</v>
      </c>
      <c r="J314" s="1173" t="s">
        <v>677</v>
      </c>
      <c r="K314" s="1174" t="s">
        <v>678</v>
      </c>
      <c r="L314" s="1175" t="s">
        <v>951</v>
      </c>
      <c r="M314" s="1176">
        <v>25980000</v>
      </c>
      <c r="N314" s="1344" t="s">
        <v>1002</v>
      </c>
      <c r="O314" s="1171" t="s">
        <v>915</v>
      </c>
      <c r="P314" s="1350" t="s">
        <v>682</v>
      </c>
      <c r="Q314" s="1160"/>
      <c r="R314" s="1327">
        <v>25200000</v>
      </c>
      <c r="S314" s="1327">
        <v>25200000</v>
      </c>
      <c r="T314" s="1327">
        <f>+'PAA V30'!$R314-'PAA V30'!$S314</f>
        <v>0</v>
      </c>
      <c r="U314" s="1327">
        <v>25200000</v>
      </c>
      <c r="V314" s="1327">
        <v>8400000</v>
      </c>
      <c r="W314" s="1327"/>
    </row>
    <row r="315" spans="1:23" s="1204" customFormat="1" ht="120" hidden="1" x14ac:dyDescent="0.2">
      <c r="A315" s="1169">
        <v>2022339</v>
      </c>
      <c r="B315" s="1169">
        <v>7658</v>
      </c>
      <c r="C315" s="1326" t="s">
        <v>673</v>
      </c>
      <c r="D315" s="1187" t="s">
        <v>702</v>
      </c>
      <c r="E315" s="1171">
        <v>80111600</v>
      </c>
      <c r="F315" s="1349" t="s">
        <v>1008</v>
      </c>
      <c r="G315" s="1343">
        <v>44562</v>
      </c>
      <c r="H315" s="1343">
        <v>44592</v>
      </c>
      <c r="I315" s="1173">
        <v>12</v>
      </c>
      <c r="J315" s="1173" t="s">
        <v>677</v>
      </c>
      <c r="K315" s="1174" t="s">
        <v>678</v>
      </c>
      <c r="L315" s="1175" t="s">
        <v>951</v>
      </c>
      <c r="M315" s="1176">
        <v>25980000</v>
      </c>
      <c r="N315" s="1344" t="s">
        <v>1002</v>
      </c>
      <c r="O315" s="1171" t="s">
        <v>915</v>
      </c>
      <c r="P315" s="1350" t="s">
        <v>682</v>
      </c>
      <c r="Q315" s="1160"/>
      <c r="R315" s="1327">
        <v>25200000</v>
      </c>
      <c r="S315" s="1327">
        <v>25200000</v>
      </c>
      <c r="T315" s="1327">
        <f>+'PAA V30'!$R315-'PAA V30'!$S315</f>
        <v>0</v>
      </c>
      <c r="U315" s="1327">
        <v>25200000</v>
      </c>
      <c r="V315" s="1327">
        <v>7980000</v>
      </c>
      <c r="W315" s="1327"/>
    </row>
    <row r="316" spans="1:23" s="1204" customFormat="1" ht="120" hidden="1" x14ac:dyDescent="0.2">
      <c r="A316" s="1169">
        <v>2022340</v>
      </c>
      <c r="B316" s="1169">
        <v>7658</v>
      </c>
      <c r="C316" s="1326" t="s">
        <v>673</v>
      </c>
      <c r="D316" s="1187" t="s">
        <v>702</v>
      </c>
      <c r="E316" s="1171">
        <v>80111600</v>
      </c>
      <c r="F316" s="1349" t="s">
        <v>1008</v>
      </c>
      <c r="G316" s="1343">
        <v>44562</v>
      </c>
      <c r="H316" s="1343">
        <v>44592</v>
      </c>
      <c r="I316" s="1173">
        <v>12</v>
      </c>
      <c r="J316" s="1173" t="s">
        <v>677</v>
      </c>
      <c r="K316" s="1174" t="s">
        <v>678</v>
      </c>
      <c r="L316" s="1175" t="s">
        <v>951</v>
      </c>
      <c r="M316" s="1176">
        <v>25980000</v>
      </c>
      <c r="N316" s="1344" t="s">
        <v>1002</v>
      </c>
      <c r="O316" s="1171" t="s">
        <v>915</v>
      </c>
      <c r="P316" s="1350" t="s">
        <v>682</v>
      </c>
      <c r="Q316" s="1160"/>
      <c r="R316" s="1327">
        <v>25200000</v>
      </c>
      <c r="S316" s="1327">
        <v>25200000</v>
      </c>
      <c r="T316" s="1327">
        <f>+'PAA V30'!$R316-'PAA V30'!$S316</f>
        <v>0</v>
      </c>
      <c r="U316" s="1327">
        <v>25200000</v>
      </c>
      <c r="V316" s="1327">
        <v>7770000</v>
      </c>
      <c r="W316" s="1327"/>
    </row>
    <row r="317" spans="1:23" s="1204" customFormat="1" ht="120" hidden="1" x14ac:dyDescent="0.2">
      <c r="A317" s="1169">
        <v>2022341</v>
      </c>
      <c r="B317" s="1169">
        <v>7658</v>
      </c>
      <c r="C317" s="1326" t="s">
        <v>673</v>
      </c>
      <c r="D317" s="1187" t="s">
        <v>702</v>
      </c>
      <c r="E317" s="1171">
        <v>80111600</v>
      </c>
      <c r="F317" s="1349" t="s">
        <v>1008</v>
      </c>
      <c r="G317" s="1343">
        <v>44562</v>
      </c>
      <c r="H317" s="1343">
        <v>44592</v>
      </c>
      <c r="I317" s="1173">
        <v>12</v>
      </c>
      <c r="J317" s="1173" t="s">
        <v>677</v>
      </c>
      <c r="K317" s="1174" t="s">
        <v>678</v>
      </c>
      <c r="L317" s="1175" t="s">
        <v>951</v>
      </c>
      <c r="M317" s="1176">
        <v>25980000</v>
      </c>
      <c r="N317" s="1344" t="s">
        <v>1002</v>
      </c>
      <c r="O317" s="1171" t="s">
        <v>915</v>
      </c>
      <c r="P317" s="1350" t="s">
        <v>682</v>
      </c>
      <c r="Q317" s="1160"/>
      <c r="R317" s="1327">
        <v>25200000</v>
      </c>
      <c r="S317" s="1327">
        <v>25200000</v>
      </c>
      <c r="T317" s="1327">
        <f>+'PAA V30'!$R317-'PAA V30'!$S317</f>
        <v>0</v>
      </c>
      <c r="U317" s="1327">
        <v>25200000</v>
      </c>
      <c r="V317" s="1327">
        <v>8400000</v>
      </c>
      <c r="W317" s="1327"/>
    </row>
    <row r="318" spans="1:23" s="1204" customFormat="1" ht="120" hidden="1" x14ac:dyDescent="0.2">
      <c r="A318" s="1169">
        <v>2022342</v>
      </c>
      <c r="B318" s="1169">
        <v>7658</v>
      </c>
      <c r="C318" s="1326" t="s">
        <v>673</v>
      </c>
      <c r="D318" s="1187" t="s">
        <v>702</v>
      </c>
      <c r="E318" s="1171">
        <v>80111600</v>
      </c>
      <c r="F318" s="1349" t="s">
        <v>1008</v>
      </c>
      <c r="G318" s="1343">
        <v>44562</v>
      </c>
      <c r="H318" s="1343">
        <v>44592</v>
      </c>
      <c r="I318" s="1173">
        <v>12</v>
      </c>
      <c r="J318" s="1173" t="s">
        <v>677</v>
      </c>
      <c r="K318" s="1174" t="s">
        <v>678</v>
      </c>
      <c r="L318" s="1175" t="s">
        <v>951</v>
      </c>
      <c r="M318" s="1176">
        <v>25980000</v>
      </c>
      <c r="N318" s="1344" t="s">
        <v>1002</v>
      </c>
      <c r="O318" s="1171" t="s">
        <v>915</v>
      </c>
      <c r="P318" s="1350" t="s">
        <v>682</v>
      </c>
      <c r="Q318" s="1160"/>
      <c r="R318" s="1327">
        <v>25200000</v>
      </c>
      <c r="S318" s="1327">
        <v>25200000</v>
      </c>
      <c r="T318" s="1327">
        <f>+'PAA V30'!$R318-'PAA V30'!$S318</f>
        <v>0</v>
      </c>
      <c r="U318" s="1327">
        <v>25200000</v>
      </c>
      <c r="V318" s="1327">
        <v>8750000</v>
      </c>
      <c r="W318" s="1327"/>
    </row>
    <row r="319" spans="1:23" s="1204" customFormat="1" ht="120" hidden="1" x14ac:dyDescent="0.2">
      <c r="A319" s="1169">
        <v>2022343</v>
      </c>
      <c r="B319" s="1169">
        <v>7658</v>
      </c>
      <c r="C319" s="1326" t="s">
        <v>673</v>
      </c>
      <c r="D319" s="1187" t="s">
        <v>702</v>
      </c>
      <c r="E319" s="1171">
        <v>80111600</v>
      </c>
      <c r="F319" s="1349" t="s">
        <v>1008</v>
      </c>
      <c r="G319" s="1343">
        <v>44562</v>
      </c>
      <c r="H319" s="1343">
        <v>44592</v>
      </c>
      <c r="I319" s="1173">
        <v>12</v>
      </c>
      <c r="J319" s="1173" t="s">
        <v>677</v>
      </c>
      <c r="K319" s="1174" t="s">
        <v>678</v>
      </c>
      <c r="L319" s="1175" t="s">
        <v>951</v>
      </c>
      <c r="M319" s="1176">
        <v>25980000</v>
      </c>
      <c r="N319" s="1344" t="s">
        <v>1002</v>
      </c>
      <c r="O319" s="1171" t="s">
        <v>915</v>
      </c>
      <c r="P319" s="1350" t="s">
        <v>682</v>
      </c>
      <c r="Q319" s="1160"/>
      <c r="R319" s="1327">
        <v>25200000</v>
      </c>
      <c r="S319" s="1327">
        <v>25200000</v>
      </c>
      <c r="T319" s="1327">
        <f>+'PAA V30'!$R319-'PAA V30'!$S319</f>
        <v>0</v>
      </c>
      <c r="U319" s="1327">
        <v>25200000</v>
      </c>
      <c r="V319" s="1327">
        <v>8400000</v>
      </c>
      <c r="W319" s="1327"/>
    </row>
    <row r="320" spans="1:23" s="1204" customFormat="1" ht="120" hidden="1" x14ac:dyDescent="0.2">
      <c r="A320" s="1169">
        <v>2022344</v>
      </c>
      <c r="B320" s="1169">
        <v>7658</v>
      </c>
      <c r="C320" s="1326" t="s">
        <v>673</v>
      </c>
      <c r="D320" s="1187" t="s">
        <v>702</v>
      </c>
      <c r="E320" s="1171">
        <v>80111600</v>
      </c>
      <c r="F320" s="1349" t="s">
        <v>1008</v>
      </c>
      <c r="G320" s="1343">
        <v>44562</v>
      </c>
      <c r="H320" s="1343">
        <v>44592</v>
      </c>
      <c r="I320" s="1173">
        <v>12</v>
      </c>
      <c r="J320" s="1173" t="s">
        <v>677</v>
      </c>
      <c r="K320" s="1174" t="s">
        <v>678</v>
      </c>
      <c r="L320" s="1175" t="s">
        <v>951</v>
      </c>
      <c r="M320" s="1176">
        <v>25980000</v>
      </c>
      <c r="N320" s="1344" t="s">
        <v>1002</v>
      </c>
      <c r="O320" s="1171" t="s">
        <v>915</v>
      </c>
      <c r="P320" s="1350" t="s">
        <v>682</v>
      </c>
      <c r="Q320" s="1160"/>
      <c r="R320" s="1327">
        <v>25200000</v>
      </c>
      <c r="S320" s="1327">
        <v>25200000</v>
      </c>
      <c r="T320" s="1327">
        <f>+'PAA V30'!$R320-'PAA V30'!$S320</f>
        <v>0</v>
      </c>
      <c r="U320" s="1327">
        <v>25200000</v>
      </c>
      <c r="V320" s="1327">
        <v>7980000</v>
      </c>
      <c r="W320" s="1327"/>
    </row>
    <row r="321" spans="1:23" s="1204" customFormat="1" ht="120" hidden="1" x14ac:dyDescent="0.2">
      <c r="A321" s="1169">
        <v>2022345</v>
      </c>
      <c r="B321" s="1169">
        <v>7658</v>
      </c>
      <c r="C321" s="1326" t="s">
        <v>673</v>
      </c>
      <c r="D321" s="1187" t="s">
        <v>702</v>
      </c>
      <c r="E321" s="1171">
        <v>80111600</v>
      </c>
      <c r="F321" s="1349" t="s">
        <v>1008</v>
      </c>
      <c r="G321" s="1343">
        <v>44562</v>
      </c>
      <c r="H321" s="1343">
        <v>44592</v>
      </c>
      <c r="I321" s="1173">
        <v>12</v>
      </c>
      <c r="J321" s="1173" t="s">
        <v>677</v>
      </c>
      <c r="K321" s="1174" t="s">
        <v>678</v>
      </c>
      <c r="L321" s="1175" t="s">
        <v>951</v>
      </c>
      <c r="M321" s="1176">
        <v>25980000</v>
      </c>
      <c r="N321" s="1344" t="s">
        <v>1002</v>
      </c>
      <c r="O321" s="1171" t="s">
        <v>915</v>
      </c>
      <c r="P321" s="1350" t="s">
        <v>682</v>
      </c>
      <c r="Q321" s="1160"/>
      <c r="R321" s="1327">
        <v>25200000</v>
      </c>
      <c r="S321" s="1327">
        <v>25200000</v>
      </c>
      <c r="T321" s="1327">
        <f>+'PAA V30'!$R321-'PAA V30'!$S321</f>
        <v>0</v>
      </c>
      <c r="U321" s="1327">
        <v>25200000</v>
      </c>
      <c r="V321" s="1327">
        <v>8400000</v>
      </c>
      <c r="W321" s="1327"/>
    </row>
    <row r="322" spans="1:23" s="1204" customFormat="1" ht="120" hidden="1" x14ac:dyDescent="0.2">
      <c r="A322" s="1169">
        <v>2022346</v>
      </c>
      <c r="B322" s="1169">
        <v>7658</v>
      </c>
      <c r="C322" s="1326" t="s">
        <v>673</v>
      </c>
      <c r="D322" s="1187" t="s">
        <v>702</v>
      </c>
      <c r="E322" s="1171">
        <v>80111600</v>
      </c>
      <c r="F322" s="1349" t="s">
        <v>1008</v>
      </c>
      <c r="G322" s="1343">
        <v>44562</v>
      </c>
      <c r="H322" s="1343">
        <v>44592</v>
      </c>
      <c r="I322" s="1173">
        <v>12</v>
      </c>
      <c r="J322" s="1173" t="s">
        <v>677</v>
      </c>
      <c r="K322" s="1174" t="s">
        <v>678</v>
      </c>
      <c r="L322" s="1175" t="s">
        <v>951</v>
      </c>
      <c r="M322" s="1176">
        <v>25980000</v>
      </c>
      <c r="N322" s="1344" t="s">
        <v>1002</v>
      </c>
      <c r="O322" s="1171" t="s">
        <v>915</v>
      </c>
      <c r="P322" s="1350" t="s">
        <v>682</v>
      </c>
      <c r="Q322" s="1160"/>
      <c r="R322" s="1327">
        <v>25200000</v>
      </c>
      <c r="S322" s="1327">
        <v>25200000</v>
      </c>
      <c r="T322" s="1327">
        <f>+'PAA V30'!$R322-'PAA V30'!$S322</f>
        <v>0</v>
      </c>
      <c r="U322" s="1327">
        <v>25200000</v>
      </c>
      <c r="V322" s="1327">
        <v>8400000</v>
      </c>
      <c r="W322" s="1327"/>
    </row>
    <row r="323" spans="1:23" s="1204" customFormat="1" ht="120" hidden="1" x14ac:dyDescent="0.2">
      <c r="A323" s="1169">
        <v>2022348</v>
      </c>
      <c r="B323" s="1169">
        <v>7658</v>
      </c>
      <c r="C323" s="1326" t="s">
        <v>673</v>
      </c>
      <c r="D323" s="1187" t="s">
        <v>702</v>
      </c>
      <c r="E323" s="1171">
        <v>80111600</v>
      </c>
      <c r="F323" s="1349" t="s">
        <v>1008</v>
      </c>
      <c r="G323" s="1343">
        <v>44562</v>
      </c>
      <c r="H323" s="1343">
        <v>44592</v>
      </c>
      <c r="I323" s="1173">
        <v>12</v>
      </c>
      <c r="J323" s="1173" t="s">
        <v>677</v>
      </c>
      <c r="K323" s="1174" t="s">
        <v>678</v>
      </c>
      <c r="L323" s="1175" t="s">
        <v>951</v>
      </c>
      <c r="M323" s="1176">
        <v>25980000</v>
      </c>
      <c r="N323" s="1344" t="s">
        <v>1002</v>
      </c>
      <c r="O323" s="1171" t="s">
        <v>915</v>
      </c>
      <c r="P323" s="1350" t="s">
        <v>682</v>
      </c>
      <c r="Q323" s="1160"/>
      <c r="R323" s="1327">
        <v>25200000</v>
      </c>
      <c r="S323" s="1327">
        <v>25200000</v>
      </c>
      <c r="T323" s="1327">
        <f>+'PAA V30'!$R323-'PAA V30'!$S323</f>
        <v>0</v>
      </c>
      <c r="U323" s="1327">
        <v>25200000</v>
      </c>
      <c r="V323" s="1327">
        <v>7980000</v>
      </c>
      <c r="W323" s="1327"/>
    </row>
    <row r="324" spans="1:23" s="1204" customFormat="1" ht="120" hidden="1" x14ac:dyDescent="0.2">
      <c r="A324" s="1169">
        <v>2022349</v>
      </c>
      <c r="B324" s="1169">
        <v>7658</v>
      </c>
      <c r="C324" s="1326" t="s">
        <v>673</v>
      </c>
      <c r="D324" s="1187" t="s">
        <v>702</v>
      </c>
      <c r="E324" s="1171">
        <v>80111600</v>
      </c>
      <c r="F324" s="1349" t="s">
        <v>1008</v>
      </c>
      <c r="G324" s="1343">
        <v>44562</v>
      </c>
      <c r="H324" s="1343">
        <v>44592</v>
      </c>
      <c r="I324" s="1173">
        <v>12</v>
      </c>
      <c r="J324" s="1173" t="s">
        <v>677</v>
      </c>
      <c r="K324" s="1174" t="s">
        <v>678</v>
      </c>
      <c r="L324" s="1175" t="s">
        <v>951</v>
      </c>
      <c r="M324" s="1176">
        <v>25980000</v>
      </c>
      <c r="N324" s="1344" t="s">
        <v>1002</v>
      </c>
      <c r="O324" s="1171" t="s">
        <v>915</v>
      </c>
      <c r="P324" s="1350" t="s">
        <v>682</v>
      </c>
      <c r="Q324" s="1160"/>
      <c r="R324" s="1327">
        <v>25200000</v>
      </c>
      <c r="S324" s="1327">
        <v>25200000</v>
      </c>
      <c r="T324" s="1327">
        <f>+'PAA V30'!$R324-'PAA V30'!$S324</f>
        <v>0</v>
      </c>
      <c r="U324" s="1327">
        <v>25200000</v>
      </c>
      <c r="V324" s="1327">
        <v>7980000</v>
      </c>
      <c r="W324" s="1327"/>
    </row>
    <row r="325" spans="1:23" s="1204" customFormat="1" ht="120" hidden="1" x14ac:dyDescent="0.2">
      <c r="A325" s="1169">
        <v>2022350</v>
      </c>
      <c r="B325" s="1169">
        <v>7658</v>
      </c>
      <c r="C325" s="1326" t="s">
        <v>673</v>
      </c>
      <c r="D325" s="1187" t="s">
        <v>702</v>
      </c>
      <c r="E325" s="1171">
        <v>80111600</v>
      </c>
      <c r="F325" s="1349" t="s">
        <v>1008</v>
      </c>
      <c r="G325" s="1343">
        <v>44562</v>
      </c>
      <c r="H325" s="1343">
        <v>44592</v>
      </c>
      <c r="I325" s="1173">
        <v>12</v>
      </c>
      <c r="J325" s="1173" t="s">
        <v>677</v>
      </c>
      <c r="K325" s="1174" t="s">
        <v>678</v>
      </c>
      <c r="L325" s="1175" t="s">
        <v>951</v>
      </c>
      <c r="M325" s="1176">
        <v>25980000</v>
      </c>
      <c r="N325" s="1344" t="s">
        <v>1002</v>
      </c>
      <c r="O325" s="1171" t="s">
        <v>915</v>
      </c>
      <c r="P325" s="1350" t="s">
        <v>682</v>
      </c>
      <c r="Q325" s="1160"/>
      <c r="R325" s="1327">
        <v>25200000</v>
      </c>
      <c r="S325" s="1327">
        <v>25200000</v>
      </c>
      <c r="T325" s="1327">
        <f>+'PAA V30'!$R325-'PAA V30'!$S325</f>
        <v>0</v>
      </c>
      <c r="U325" s="1327">
        <v>25200000</v>
      </c>
      <c r="V325" s="1327">
        <v>8400000</v>
      </c>
      <c r="W325" s="1327"/>
    </row>
    <row r="326" spans="1:23" s="1204" customFormat="1" ht="120" hidden="1" x14ac:dyDescent="0.2">
      <c r="A326" s="1169">
        <v>2022351</v>
      </c>
      <c r="B326" s="1169">
        <v>7658</v>
      </c>
      <c r="C326" s="1326" t="s">
        <v>673</v>
      </c>
      <c r="D326" s="1187" t="s">
        <v>702</v>
      </c>
      <c r="E326" s="1171">
        <v>80111600</v>
      </c>
      <c r="F326" s="1349" t="s">
        <v>1008</v>
      </c>
      <c r="G326" s="1343">
        <v>44562</v>
      </c>
      <c r="H326" s="1343">
        <v>44592</v>
      </c>
      <c r="I326" s="1173">
        <v>12</v>
      </c>
      <c r="J326" s="1173" t="s">
        <v>677</v>
      </c>
      <c r="K326" s="1174" t="s">
        <v>678</v>
      </c>
      <c r="L326" s="1175" t="s">
        <v>951</v>
      </c>
      <c r="M326" s="1176">
        <v>25980000</v>
      </c>
      <c r="N326" s="1344" t="s">
        <v>1002</v>
      </c>
      <c r="O326" s="1171" t="s">
        <v>915</v>
      </c>
      <c r="P326" s="1350" t="s">
        <v>682</v>
      </c>
      <c r="Q326" s="1160"/>
      <c r="R326" s="1327">
        <v>25200000</v>
      </c>
      <c r="S326" s="1327">
        <v>25200000</v>
      </c>
      <c r="T326" s="1327">
        <f>+'PAA V30'!$R326-'PAA V30'!$S326</f>
        <v>0</v>
      </c>
      <c r="U326" s="1327">
        <v>25200000</v>
      </c>
      <c r="V326" s="1327">
        <v>5810000</v>
      </c>
      <c r="W326" s="1327"/>
    </row>
    <row r="327" spans="1:23" s="1204" customFormat="1" ht="120" hidden="1" x14ac:dyDescent="0.2">
      <c r="A327" s="1169">
        <v>2022352</v>
      </c>
      <c r="B327" s="1169">
        <v>7658</v>
      </c>
      <c r="C327" s="1326" t="s">
        <v>673</v>
      </c>
      <c r="D327" s="1187" t="s">
        <v>702</v>
      </c>
      <c r="E327" s="1171">
        <v>80111600</v>
      </c>
      <c r="F327" s="1349" t="s">
        <v>1008</v>
      </c>
      <c r="G327" s="1343">
        <v>44562</v>
      </c>
      <c r="H327" s="1343">
        <v>44592</v>
      </c>
      <c r="I327" s="1173">
        <v>12</v>
      </c>
      <c r="J327" s="1173" t="s">
        <v>677</v>
      </c>
      <c r="K327" s="1174" t="s">
        <v>678</v>
      </c>
      <c r="L327" s="1175" t="s">
        <v>951</v>
      </c>
      <c r="M327" s="1176">
        <v>25980000</v>
      </c>
      <c r="N327" s="1344" t="s">
        <v>1002</v>
      </c>
      <c r="O327" s="1171" t="s">
        <v>915</v>
      </c>
      <c r="P327" s="1350" t="s">
        <v>682</v>
      </c>
      <c r="Q327" s="1160"/>
      <c r="R327" s="1327">
        <v>25200000</v>
      </c>
      <c r="S327" s="1327">
        <v>25200000</v>
      </c>
      <c r="T327" s="1327">
        <f>+'PAA V30'!$R327-'PAA V30'!$S327</f>
        <v>0</v>
      </c>
      <c r="U327" s="1327">
        <v>25200000</v>
      </c>
      <c r="V327" s="1327">
        <v>8400000</v>
      </c>
      <c r="W327" s="1327"/>
    </row>
    <row r="328" spans="1:23" s="1204" customFormat="1" ht="120" hidden="1" x14ac:dyDescent="0.2">
      <c r="A328" s="1169">
        <v>2022353</v>
      </c>
      <c r="B328" s="1169">
        <v>7658</v>
      </c>
      <c r="C328" s="1326" t="s">
        <v>673</v>
      </c>
      <c r="D328" s="1187" t="s">
        <v>702</v>
      </c>
      <c r="E328" s="1171">
        <v>80111600</v>
      </c>
      <c r="F328" s="1349" t="s">
        <v>1008</v>
      </c>
      <c r="G328" s="1343">
        <v>44562</v>
      </c>
      <c r="H328" s="1343">
        <v>44592</v>
      </c>
      <c r="I328" s="1173">
        <v>12</v>
      </c>
      <c r="J328" s="1173" t="s">
        <v>677</v>
      </c>
      <c r="K328" s="1174" t="s">
        <v>678</v>
      </c>
      <c r="L328" s="1175" t="s">
        <v>951</v>
      </c>
      <c r="M328" s="1176">
        <f>25980000+25980000</f>
        <v>51960000</v>
      </c>
      <c r="N328" s="1344" t="s">
        <v>1002</v>
      </c>
      <c r="O328" s="1171" t="s">
        <v>915</v>
      </c>
      <c r="P328" s="1350" t="s">
        <v>682</v>
      </c>
      <c r="Q328" s="1160"/>
      <c r="R328" s="1327">
        <v>25200000</v>
      </c>
      <c r="S328" s="1327">
        <v>25200000</v>
      </c>
      <c r="T328" s="1327">
        <f>+'PAA V30'!$R328-'PAA V30'!$S328</f>
        <v>0</v>
      </c>
      <c r="U328" s="1327">
        <v>25200000</v>
      </c>
      <c r="V328" s="1327">
        <v>8400000</v>
      </c>
      <c r="W328" s="1327"/>
    </row>
    <row r="329" spans="1:23" s="1204" customFormat="1" ht="120" hidden="1" x14ac:dyDescent="0.2">
      <c r="A329" s="1169">
        <v>2022354</v>
      </c>
      <c r="B329" s="1169">
        <v>7658</v>
      </c>
      <c r="C329" s="1326" t="s">
        <v>673</v>
      </c>
      <c r="D329" s="1187" t="s">
        <v>702</v>
      </c>
      <c r="E329" s="1171">
        <v>80111600</v>
      </c>
      <c r="F329" s="1349" t="s">
        <v>1009</v>
      </c>
      <c r="G329" s="1343">
        <v>44562</v>
      </c>
      <c r="H329" s="1343">
        <v>44592</v>
      </c>
      <c r="I329" s="1173">
        <v>12</v>
      </c>
      <c r="J329" s="1173" t="s">
        <v>677</v>
      </c>
      <c r="K329" s="1174" t="s">
        <v>678</v>
      </c>
      <c r="L329" s="1175" t="s">
        <v>951</v>
      </c>
      <c r="M329" s="1176">
        <f>30300000-900000</f>
        <v>29400000</v>
      </c>
      <c r="N329" s="1344" t="s">
        <v>1002</v>
      </c>
      <c r="O329" s="1171" t="s">
        <v>915</v>
      </c>
      <c r="P329" s="1350" t="s">
        <v>682</v>
      </c>
      <c r="Q329" s="1160"/>
      <c r="R329" s="1327">
        <v>29400000</v>
      </c>
      <c r="S329" s="1327">
        <v>29400000</v>
      </c>
      <c r="T329" s="1327">
        <f>+'PAA V30'!$R329-'PAA V30'!$S329</f>
        <v>0</v>
      </c>
      <c r="U329" s="1327">
        <v>29400000</v>
      </c>
      <c r="V329" s="1327">
        <v>9800000</v>
      </c>
      <c r="W329" s="1327"/>
    </row>
    <row r="330" spans="1:23" s="1204" customFormat="1" ht="120" hidden="1" x14ac:dyDescent="0.2">
      <c r="A330" s="1169">
        <v>2022355</v>
      </c>
      <c r="B330" s="1169">
        <v>7658</v>
      </c>
      <c r="C330" s="1326" t="s">
        <v>673</v>
      </c>
      <c r="D330" s="1187" t="s">
        <v>702</v>
      </c>
      <c r="E330" s="1171">
        <v>80111600</v>
      </c>
      <c r="F330" s="1349" t="s">
        <v>1009</v>
      </c>
      <c r="G330" s="1343">
        <v>44562</v>
      </c>
      <c r="H330" s="1343">
        <v>44592</v>
      </c>
      <c r="I330" s="1173">
        <v>12</v>
      </c>
      <c r="J330" s="1173" t="s">
        <v>677</v>
      </c>
      <c r="K330" s="1174" t="s">
        <v>678</v>
      </c>
      <c r="L330" s="1175" t="s">
        <v>951</v>
      </c>
      <c r="M330" s="1176">
        <f>30300000-900000</f>
        <v>29400000</v>
      </c>
      <c r="N330" s="1344" t="s">
        <v>1002</v>
      </c>
      <c r="O330" s="1171" t="s">
        <v>915</v>
      </c>
      <c r="P330" s="1350" t="s">
        <v>682</v>
      </c>
      <c r="Q330" s="1160"/>
      <c r="R330" s="1327">
        <v>29400000</v>
      </c>
      <c r="S330" s="1327">
        <v>29400000</v>
      </c>
      <c r="T330" s="1327">
        <f>+'PAA V30'!$R330-'PAA V30'!$S330</f>
        <v>0</v>
      </c>
      <c r="U330" s="1327">
        <v>29400000</v>
      </c>
      <c r="V330" s="1327">
        <v>9800000</v>
      </c>
      <c r="W330" s="1327"/>
    </row>
    <row r="331" spans="1:23" s="1204" customFormat="1" ht="120" hidden="1" x14ac:dyDescent="0.2">
      <c r="A331" s="1169">
        <v>2022356</v>
      </c>
      <c r="B331" s="1169">
        <v>7658</v>
      </c>
      <c r="C331" s="1326" t="s">
        <v>673</v>
      </c>
      <c r="D331" s="1187" t="s">
        <v>702</v>
      </c>
      <c r="E331" s="1171">
        <v>80111600</v>
      </c>
      <c r="F331" s="1349" t="s">
        <v>1009</v>
      </c>
      <c r="G331" s="1343">
        <v>44562</v>
      </c>
      <c r="H331" s="1343">
        <v>44592</v>
      </c>
      <c r="I331" s="1173">
        <v>12</v>
      </c>
      <c r="J331" s="1173" t="s">
        <v>677</v>
      </c>
      <c r="K331" s="1174" t="s">
        <v>678</v>
      </c>
      <c r="L331" s="1175" t="s">
        <v>951</v>
      </c>
      <c r="M331" s="1176">
        <f>30300000-900000</f>
        <v>29400000</v>
      </c>
      <c r="N331" s="1344" t="s">
        <v>1002</v>
      </c>
      <c r="O331" s="1171" t="s">
        <v>915</v>
      </c>
      <c r="P331" s="1350" t="s">
        <v>682</v>
      </c>
      <c r="Q331" s="1160"/>
      <c r="R331" s="1327">
        <v>29400000</v>
      </c>
      <c r="S331" s="1327">
        <v>29400000</v>
      </c>
      <c r="T331" s="1327">
        <f>+'PAA V30'!$R331-'PAA V30'!$S331</f>
        <v>0</v>
      </c>
      <c r="U331" s="1327">
        <v>29400000</v>
      </c>
      <c r="V331" s="1327">
        <v>9800000</v>
      </c>
      <c r="W331" s="1327"/>
    </row>
    <row r="332" spans="1:23" s="1204" customFormat="1" ht="120" hidden="1" x14ac:dyDescent="0.2">
      <c r="A332" s="1169">
        <v>2022357</v>
      </c>
      <c r="B332" s="1169">
        <v>7658</v>
      </c>
      <c r="C332" s="1326" t="s">
        <v>673</v>
      </c>
      <c r="D332" s="1187" t="s">
        <v>702</v>
      </c>
      <c r="E332" s="1171">
        <v>80111600</v>
      </c>
      <c r="F332" s="1349" t="s">
        <v>1009</v>
      </c>
      <c r="G332" s="1343">
        <v>44562</v>
      </c>
      <c r="H332" s="1343">
        <v>44592</v>
      </c>
      <c r="I332" s="1173">
        <v>12</v>
      </c>
      <c r="J332" s="1173" t="s">
        <v>677</v>
      </c>
      <c r="K332" s="1174" t="s">
        <v>678</v>
      </c>
      <c r="L332" s="1175" t="s">
        <v>951</v>
      </c>
      <c r="M332" s="1176">
        <f>30300000-900000</f>
        <v>29400000</v>
      </c>
      <c r="N332" s="1344" t="s">
        <v>1002</v>
      </c>
      <c r="O332" s="1171" t="s">
        <v>915</v>
      </c>
      <c r="P332" s="1350" t="s">
        <v>682</v>
      </c>
      <c r="Q332" s="1160"/>
      <c r="R332" s="1327">
        <v>29400000</v>
      </c>
      <c r="S332" s="1327">
        <v>29400000</v>
      </c>
      <c r="T332" s="1327">
        <f>+'PAA V30'!$R332-'PAA V30'!$S332</f>
        <v>0</v>
      </c>
      <c r="U332" s="1327">
        <v>29400000</v>
      </c>
      <c r="V332" s="1327">
        <v>3511667</v>
      </c>
      <c r="W332" s="1327"/>
    </row>
    <row r="333" spans="1:23" s="1204" customFormat="1" ht="120" hidden="1" x14ac:dyDescent="0.2">
      <c r="A333" s="1169">
        <v>2022358</v>
      </c>
      <c r="B333" s="1169">
        <v>7658</v>
      </c>
      <c r="C333" s="1326" t="s">
        <v>673</v>
      </c>
      <c r="D333" s="1187" t="s">
        <v>702</v>
      </c>
      <c r="E333" s="1171">
        <v>80111600</v>
      </c>
      <c r="F333" s="1349" t="s">
        <v>1009</v>
      </c>
      <c r="G333" s="1343">
        <v>44562</v>
      </c>
      <c r="H333" s="1343">
        <v>44592</v>
      </c>
      <c r="I333" s="1173">
        <v>11</v>
      </c>
      <c r="J333" s="1173" t="s">
        <v>677</v>
      </c>
      <c r="K333" s="1174" t="s">
        <v>678</v>
      </c>
      <c r="L333" s="1175" t="s">
        <v>951</v>
      </c>
      <c r="M333" s="1176">
        <f>27775000-825000</f>
        <v>26950000</v>
      </c>
      <c r="N333" s="1344" t="s">
        <v>1002</v>
      </c>
      <c r="O333" s="1171" t="s">
        <v>915</v>
      </c>
      <c r="P333" s="1350" t="s">
        <v>682</v>
      </c>
      <c r="Q333" s="1160"/>
      <c r="R333" s="1327">
        <v>26950000</v>
      </c>
      <c r="S333" s="1327">
        <v>26950000</v>
      </c>
      <c r="T333" s="1327">
        <f>+'PAA V30'!$R333-'PAA V30'!$S333</f>
        <v>0</v>
      </c>
      <c r="U333" s="1327">
        <v>26950000</v>
      </c>
      <c r="V333" s="1327">
        <v>6288333</v>
      </c>
      <c r="W333" s="1327"/>
    </row>
    <row r="334" spans="1:23" s="1204" customFormat="1" ht="120" hidden="1" x14ac:dyDescent="0.2">
      <c r="A334" s="1169">
        <v>2022359</v>
      </c>
      <c r="B334" s="1169">
        <v>7658</v>
      </c>
      <c r="C334" s="1326" t="s">
        <v>673</v>
      </c>
      <c r="D334" s="1187" t="s">
        <v>702</v>
      </c>
      <c r="E334" s="1171">
        <v>80111600</v>
      </c>
      <c r="F334" s="1349" t="s">
        <v>1009</v>
      </c>
      <c r="G334" s="1343">
        <v>44562</v>
      </c>
      <c r="H334" s="1343">
        <v>44592</v>
      </c>
      <c r="I334" s="1173">
        <v>11</v>
      </c>
      <c r="J334" s="1173" t="s">
        <v>677</v>
      </c>
      <c r="K334" s="1174" t="s">
        <v>678</v>
      </c>
      <c r="L334" s="1175" t="s">
        <v>951</v>
      </c>
      <c r="M334" s="1176">
        <f>27775000-825000</f>
        <v>26950000</v>
      </c>
      <c r="N334" s="1344" t="s">
        <v>1002</v>
      </c>
      <c r="O334" s="1171" t="s">
        <v>915</v>
      </c>
      <c r="P334" s="1350" t="s">
        <v>682</v>
      </c>
      <c r="Q334" s="1160"/>
      <c r="R334" s="1327">
        <v>26950000</v>
      </c>
      <c r="S334" s="1327">
        <v>26950000</v>
      </c>
      <c r="T334" s="1327">
        <f>+'PAA V30'!$R334-'PAA V30'!$S334</f>
        <v>0</v>
      </c>
      <c r="U334" s="1327">
        <v>26950000</v>
      </c>
      <c r="V334" s="1327">
        <v>9800000</v>
      </c>
      <c r="W334" s="1327"/>
    </row>
    <row r="335" spans="1:23" s="1204" customFormat="1" ht="120" hidden="1" x14ac:dyDescent="0.2">
      <c r="A335" s="1169">
        <v>2022360</v>
      </c>
      <c r="B335" s="1169">
        <v>7658</v>
      </c>
      <c r="C335" s="1326" t="s">
        <v>673</v>
      </c>
      <c r="D335" s="1187" t="s">
        <v>702</v>
      </c>
      <c r="E335" s="1171">
        <v>80111600</v>
      </c>
      <c r="F335" s="1349" t="s">
        <v>1009</v>
      </c>
      <c r="G335" s="1343">
        <v>44562</v>
      </c>
      <c r="H335" s="1343">
        <v>44592</v>
      </c>
      <c r="I335" s="1173">
        <v>11</v>
      </c>
      <c r="J335" s="1173" t="s">
        <v>677</v>
      </c>
      <c r="K335" s="1174" t="s">
        <v>678</v>
      </c>
      <c r="L335" s="1175" t="s">
        <v>951</v>
      </c>
      <c r="M335" s="1176">
        <v>27775000</v>
      </c>
      <c r="N335" s="1344" t="s">
        <v>1002</v>
      </c>
      <c r="O335" s="1171" t="s">
        <v>915</v>
      </c>
      <c r="P335" s="1350" t="s">
        <v>682</v>
      </c>
      <c r="Q335" s="1160"/>
      <c r="R335" s="1327">
        <v>26950000</v>
      </c>
      <c r="S335" s="1327">
        <v>26950000</v>
      </c>
      <c r="T335" s="1327">
        <f>+'PAA V30'!$R335-'PAA V30'!$S335</f>
        <v>0</v>
      </c>
      <c r="U335" s="1327">
        <v>26950000</v>
      </c>
      <c r="V335" s="1327">
        <v>9310000</v>
      </c>
      <c r="W335" s="1327"/>
    </row>
    <row r="336" spans="1:23" s="1204" customFormat="1" ht="120" hidden="1" x14ac:dyDescent="0.2">
      <c r="A336" s="1169">
        <v>2022361</v>
      </c>
      <c r="B336" s="1169">
        <v>7658</v>
      </c>
      <c r="C336" s="1326" t="s">
        <v>673</v>
      </c>
      <c r="D336" s="1187" t="s">
        <v>702</v>
      </c>
      <c r="E336" s="1171">
        <v>80111600</v>
      </c>
      <c r="F336" s="1349" t="s">
        <v>1009</v>
      </c>
      <c r="G336" s="1343">
        <v>44562</v>
      </c>
      <c r="H336" s="1343">
        <v>44592</v>
      </c>
      <c r="I336" s="1173">
        <v>11</v>
      </c>
      <c r="J336" s="1173" t="s">
        <v>677</v>
      </c>
      <c r="K336" s="1174" t="s">
        <v>678</v>
      </c>
      <c r="L336" s="1175" t="s">
        <v>951</v>
      </c>
      <c r="M336" s="1176">
        <f>27775000-825000</f>
        <v>26950000</v>
      </c>
      <c r="N336" s="1344" t="s">
        <v>1002</v>
      </c>
      <c r="O336" s="1171" t="s">
        <v>915</v>
      </c>
      <c r="P336" s="1350" t="s">
        <v>682</v>
      </c>
      <c r="Q336" s="1160"/>
      <c r="R336" s="1327">
        <v>26950000</v>
      </c>
      <c r="S336" s="1327">
        <v>26950000</v>
      </c>
      <c r="T336" s="1327">
        <f>+'PAA V30'!$R336-'PAA V30'!$S336</f>
        <v>0</v>
      </c>
      <c r="U336" s="1327">
        <v>26950000</v>
      </c>
      <c r="V336" s="1327">
        <v>9800000</v>
      </c>
      <c r="W336" s="1327"/>
    </row>
    <row r="337" spans="1:23" s="1204" customFormat="1" ht="120" hidden="1" x14ac:dyDescent="0.2">
      <c r="A337" s="1169">
        <v>2022362</v>
      </c>
      <c r="B337" s="1169">
        <v>7658</v>
      </c>
      <c r="C337" s="1326" t="s">
        <v>673</v>
      </c>
      <c r="D337" s="1187" t="s">
        <v>702</v>
      </c>
      <c r="E337" s="1171">
        <v>80111600</v>
      </c>
      <c r="F337" s="1349" t="s">
        <v>1009</v>
      </c>
      <c r="G337" s="1343">
        <v>44562</v>
      </c>
      <c r="H337" s="1343">
        <v>44592</v>
      </c>
      <c r="I337" s="1173">
        <v>11</v>
      </c>
      <c r="J337" s="1173" t="s">
        <v>677</v>
      </c>
      <c r="K337" s="1174" t="s">
        <v>678</v>
      </c>
      <c r="L337" s="1175" t="s">
        <v>951</v>
      </c>
      <c r="M337" s="1176">
        <f>27775000-825000</f>
        <v>26950000</v>
      </c>
      <c r="N337" s="1344" t="s">
        <v>1002</v>
      </c>
      <c r="O337" s="1171" t="s">
        <v>915</v>
      </c>
      <c r="P337" s="1350" t="s">
        <v>682</v>
      </c>
      <c r="Q337" s="1160"/>
      <c r="R337" s="1327">
        <v>26950000</v>
      </c>
      <c r="S337" s="1327">
        <v>26950000</v>
      </c>
      <c r="T337" s="1327">
        <f>+'PAA V30'!$R337-'PAA V30'!$S337</f>
        <v>0</v>
      </c>
      <c r="U337" s="1327">
        <v>26950000</v>
      </c>
      <c r="V337" s="1327">
        <v>9800000</v>
      </c>
      <c r="W337" s="1327"/>
    </row>
    <row r="338" spans="1:23" s="1204" customFormat="1" ht="120" hidden="1" x14ac:dyDescent="0.2">
      <c r="A338" s="1169">
        <v>2022363</v>
      </c>
      <c r="B338" s="1169">
        <v>7658</v>
      </c>
      <c r="C338" s="1326" t="s">
        <v>673</v>
      </c>
      <c r="D338" s="1187" t="s">
        <v>702</v>
      </c>
      <c r="E338" s="1171">
        <v>80111600</v>
      </c>
      <c r="F338" s="1349" t="s">
        <v>1009</v>
      </c>
      <c r="G338" s="1343">
        <v>44562</v>
      </c>
      <c r="H338" s="1343">
        <v>44592</v>
      </c>
      <c r="I338" s="1173">
        <v>11</v>
      </c>
      <c r="J338" s="1173" t="s">
        <v>677</v>
      </c>
      <c r="K338" s="1174" t="s">
        <v>678</v>
      </c>
      <c r="L338" s="1175" t="s">
        <v>951</v>
      </c>
      <c r="M338" s="1176">
        <f>27775000-825000</f>
        <v>26950000</v>
      </c>
      <c r="N338" s="1344" t="s">
        <v>1002</v>
      </c>
      <c r="O338" s="1171" t="s">
        <v>915</v>
      </c>
      <c r="P338" s="1350" t="s">
        <v>682</v>
      </c>
      <c r="Q338" s="1160"/>
      <c r="R338" s="1327">
        <v>26950000</v>
      </c>
      <c r="S338" s="1327">
        <v>26950000</v>
      </c>
      <c r="T338" s="1327">
        <f>+'PAA V30'!$R338-'PAA V30'!$S338</f>
        <v>0</v>
      </c>
      <c r="U338" s="1327">
        <v>26950000</v>
      </c>
      <c r="V338" s="1327">
        <v>8248333</v>
      </c>
      <c r="W338" s="1327"/>
    </row>
    <row r="339" spans="1:23" s="1204" customFormat="1" ht="120" hidden="1" x14ac:dyDescent="0.2">
      <c r="A339" s="1169">
        <v>2022364</v>
      </c>
      <c r="B339" s="1169">
        <v>7658</v>
      </c>
      <c r="C339" s="1326" t="s">
        <v>673</v>
      </c>
      <c r="D339" s="1187" t="s">
        <v>702</v>
      </c>
      <c r="E339" s="1171">
        <v>80111600</v>
      </c>
      <c r="F339" s="1349" t="s">
        <v>1009</v>
      </c>
      <c r="G339" s="1343">
        <v>44562</v>
      </c>
      <c r="H339" s="1343">
        <v>44592</v>
      </c>
      <c r="I339" s="1173">
        <v>10</v>
      </c>
      <c r="J339" s="1173" t="s">
        <v>677</v>
      </c>
      <c r="K339" s="1174" t="s">
        <v>678</v>
      </c>
      <c r="L339" s="1175" t="s">
        <v>951</v>
      </c>
      <c r="M339" s="1176">
        <f>25250000-750000</f>
        <v>24500000</v>
      </c>
      <c r="N339" s="1344" t="s">
        <v>1002</v>
      </c>
      <c r="O339" s="1171" t="s">
        <v>915</v>
      </c>
      <c r="P339" s="1350" t="s">
        <v>682</v>
      </c>
      <c r="Q339" s="1160"/>
      <c r="R339" s="1327">
        <v>24500000</v>
      </c>
      <c r="S339" s="1327">
        <v>24500000</v>
      </c>
      <c r="T339" s="1327">
        <f>+'PAA V30'!$R339-'PAA V30'!$S339</f>
        <v>0</v>
      </c>
      <c r="U339" s="1327">
        <v>24500000</v>
      </c>
      <c r="V339" s="1327">
        <v>9800000</v>
      </c>
      <c r="W339" s="1327"/>
    </row>
    <row r="340" spans="1:23" s="1204" customFormat="1" ht="120" hidden="1" x14ac:dyDescent="0.2">
      <c r="A340" s="1169">
        <v>2022365</v>
      </c>
      <c r="B340" s="1169">
        <v>7658</v>
      </c>
      <c r="C340" s="1326" t="s">
        <v>673</v>
      </c>
      <c r="D340" s="1187" t="s">
        <v>702</v>
      </c>
      <c r="E340" s="1171">
        <v>80111600</v>
      </c>
      <c r="F340" s="1349" t="s">
        <v>1009</v>
      </c>
      <c r="G340" s="1343">
        <v>44562</v>
      </c>
      <c r="H340" s="1343">
        <v>44592</v>
      </c>
      <c r="I340" s="1173">
        <v>10</v>
      </c>
      <c r="J340" s="1173" t="s">
        <v>677</v>
      </c>
      <c r="K340" s="1174" t="s">
        <v>678</v>
      </c>
      <c r="L340" s="1175" t="s">
        <v>951</v>
      </c>
      <c r="M340" s="1176">
        <f>25250000-750000</f>
        <v>24500000</v>
      </c>
      <c r="N340" s="1344" t="s">
        <v>1002</v>
      </c>
      <c r="O340" s="1171" t="s">
        <v>915</v>
      </c>
      <c r="P340" s="1350" t="s">
        <v>682</v>
      </c>
      <c r="Q340" s="1160"/>
      <c r="R340" s="1327">
        <v>24500000</v>
      </c>
      <c r="S340" s="1327">
        <v>24500000</v>
      </c>
      <c r="T340" s="1327">
        <f>+'PAA V30'!$R340-'PAA V30'!$S340</f>
        <v>0</v>
      </c>
      <c r="U340" s="1327">
        <v>24500000</v>
      </c>
      <c r="V340" s="1327">
        <v>9310000</v>
      </c>
      <c r="W340" s="1327"/>
    </row>
    <row r="341" spans="1:23" s="1204" customFormat="1" ht="120" hidden="1" x14ac:dyDescent="0.2">
      <c r="A341" s="1169">
        <v>2022366</v>
      </c>
      <c r="B341" s="1169">
        <v>7658</v>
      </c>
      <c r="C341" s="1326" t="s">
        <v>673</v>
      </c>
      <c r="D341" s="1187" t="s">
        <v>702</v>
      </c>
      <c r="E341" s="1171">
        <v>80111600</v>
      </c>
      <c r="F341" s="1349" t="s">
        <v>1010</v>
      </c>
      <c r="G341" s="1343">
        <v>44562</v>
      </c>
      <c r="H341" s="1343">
        <v>44592</v>
      </c>
      <c r="I341" s="1173">
        <v>12</v>
      </c>
      <c r="J341" s="1173" t="s">
        <v>677</v>
      </c>
      <c r="K341" s="1174" t="s">
        <v>678</v>
      </c>
      <c r="L341" s="1175" t="s">
        <v>951</v>
      </c>
      <c r="M341" s="1176">
        <v>25956000</v>
      </c>
      <c r="N341" s="1344" t="s">
        <v>1002</v>
      </c>
      <c r="O341" s="1171" t="s">
        <v>915</v>
      </c>
      <c r="P341" s="1350" t="s">
        <v>682</v>
      </c>
      <c r="Q341" s="1160"/>
      <c r="R341" s="1327">
        <v>25200000</v>
      </c>
      <c r="S341" s="1327">
        <v>25200000</v>
      </c>
      <c r="T341" s="1327">
        <f>+'PAA V30'!$R341-'PAA V30'!$S341</f>
        <v>0</v>
      </c>
      <c r="U341" s="1327">
        <v>25200000</v>
      </c>
      <c r="V341" s="1327">
        <v>8400000</v>
      </c>
      <c r="W341" s="1327"/>
    </row>
    <row r="342" spans="1:23" s="1204" customFormat="1" ht="120" hidden="1" x14ac:dyDescent="0.2">
      <c r="A342" s="1169">
        <v>2022367</v>
      </c>
      <c r="B342" s="1169">
        <v>7658</v>
      </c>
      <c r="C342" s="1326" t="s">
        <v>673</v>
      </c>
      <c r="D342" s="1187" t="s">
        <v>702</v>
      </c>
      <c r="E342" s="1171">
        <v>80111600</v>
      </c>
      <c r="F342" s="1349" t="s">
        <v>1011</v>
      </c>
      <c r="G342" s="1343">
        <v>44562</v>
      </c>
      <c r="H342" s="1343">
        <v>44592</v>
      </c>
      <c r="I342" s="1173">
        <v>12</v>
      </c>
      <c r="J342" s="1173" t="s">
        <v>677</v>
      </c>
      <c r="K342" s="1174" t="s">
        <v>678</v>
      </c>
      <c r="L342" s="1175" t="s">
        <v>951</v>
      </c>
      <c r="M342" s="1176">
        <v>41400000</v>
      </c>
      <c r="N342" s="1344" t="s">
        <v>1002</v>
      </c>
      <c r="O342" s="1171" t="s">
        <v>915</v>
      </c>
      <c r="P342" s="1350" t="s">
        <v>682</v>
      </c>
      <c r="Q342" s="1160"/>
      <c r="R342" s="1327">
        <v>40200000</v>
      </c>
      <c r="S342" s="1327">
        <v>40200000</v>
      </c>
      <c r="T342" s="1327">
        <f>+'PAA V30'!$R342-'PAA V30'!$S342</f>
        <v>0</v>
      </c>
      <c r="U342" s="1327">
        <v>40200000</v>
      </c>
      <c r="V342" s="1327">
        <v>14181667</v>
      </c>
      <c r="W342" s="1327"/>
    </row>
    <row r="343" spans="1:23" s="1204" customFormat="1" ht="120" hidden="1" x14ac:dyDescent="0.2">
      <c r="A343" s="1169">
        <v>2022368</v>
      </c>
      <c r="B343" s="1169">
        <v>7658</v>
      </c>
      <c r="C343" s="1326" t="s">
        <v>673</v>
      </c>
      <c r="D343" s="1187" t="s">
        <v>702</v>
      </c>
      <c r="E343" s="1171">
        <v>80111600</v>
      </c>
      <c r="F343" s="1349" t="s">
        <v>1012</v>
      </c>
      <c r="G343" s="1343">
        <v>44562</v>
      </c>
      <c r="H343" s="1343">
        <v>44592</v>
      </c>
      <c r="I343" s="1173">
        <v>12</v>
      </c>
      <c r="J343" s="1173" t="s">
        <v>677</v>
      </c>
      <c r="K343" s="1174" t="s">
        <v>678</v>
      </c>
      <c r="L343" s="1175" t="s">
        <v>951</v>
      </c>
      <c r="M343" s="1176">
        <v>25200000</v>
      </c>
      <c r="N343" s="1344" t="s">
        <v>1002</v>
      </c>
      <c r="O343" s="1171" t="s">
        <v>915</v>
      </c>
      <c r="P343" s="1350" t="s">
        <v>682</v>
      </c>
      <c r="Q343" s="1160"/>
      <c r="R343" s="1327">
        <v>20100000</v>
      </c>
      <c r="S343" s="1327">
        <v>20100000</v>
      </c>
      <c r="T343" s="1327">
        <f>+'PAA V30'!$R343-'PAA V30'!$S343</f>
        <v>0</v>
      </c>
      <c r="U343" s="1327">
        <v>20100000</v>
      </c>
      <c r="V343" s="1327">
        <v>13176667</v>
      </c>
      <c r="W343" s="1327"/>
    </row>
    <row r="344" spans="1:23" s="1204" customFormat="1" ht="120" hidden="1" x14ac:dyDescent="0.2">
      <c r="A344" s="1169">
        <v>2022369</v>
      </c>
      <c r="B344" s="1169">
        <v>7658</v>
      </c>
      <c r="C344" s="1326" t="s">
        <v>673</v>
      </c>
      <c r="D344" s="1187" t="s">
        <v>702</v>
      </c>
      <c r="E344" s="1171">
        <v>80111600</v>
      </c>
      <c r="F344" s="1349" t="s">
        <v>1013</v>
      </c>
      <c r="G344" s="1343">
        <v>44562</v>
      </c>
      <c r="H344" s="1343">
        <v>44592</v>
      </c>
      <c r="I344" s="1173">
        <v>11</v>
      </c>
      <c r="J344" s="1173" t="s">
        <v>677</v>
      </c>
      <c r="K344" s="1174" t="s">
        <v>678</v>
      </c>
      <c r="L344" s="1175" t="s">
        <v>951</v>
      </c>
      <c r="M344" s="1176">
        <v>37950000</v>
      </c>
      <c r="N344" s="1344" t="s">
        <v>1002</v>
      </c>
      <c r="O344" s="1171" t="s">
        <v>915</v>
      </c>
      <c r="P344" s="1350" t="s">
        <v>682</v>
      </c>
      <c r="Q344" s="1160"/>
      <c r="R344" s="1327">
        <v>36850000</v>
      </c>
      <c r="S344" s="1327">
        <v>36850000</v>
      </c>
      <c r="T344" s="1327">
        <f>+'PAA V30'!$R344-'PAA V30'!$S344</f>
        <v>0</v>
      </c>
      <c r="U344" s="1327">
        <v>36850000</v>
      </c>
      <c r="V344" s="1327">
        <v>13958333</v>
      </c>
      <c r="W344" s="1327"/>
    </row>
    <row r="345" spans="1:23" s="1204" customFormat="1" ht="120" hidden="1" x14ac:dyDescent="0.2">
      <c r="A345" s="1169">
        <v>2022370</v>
      </c>
      <c r="B345" s="1169">
        <v>7658</v>
      </c>
      <c r="C345" s="1326" t="s">
        <v>673</v>
      </c>
      <c r="D345" s="1187" t="s">
        <v>702</v>
      </c>
      <c r="E345" s="1171">
        <v>80111600</v>
      </c>
      <c r="F345" s="1349" t="s">
        <v>1014</v>
      </c>
      <c r="G345" s="1343">
        <v>44562</v>
      </c>
      <c r="H345" s="1343">
        <v>44592</v>
      </c>
      <c r="I345" s="1173">
        <v>12</v>
      </c>
      <c r="J345" s="1173" t="s">
        <v>677</v>
      </c>
      <c r="K345" s="1174" t="s">
        <v>678</v>
      </c>
      <c r="L345" s="1175" t="s">
        <v>951</v>
      </c>
      <c r="M345" s="1176">
        <v>47586000</v>
      </c>
      <c r="N345" s="1344" t="s">
        <v>1002</v>
      </c>
      <c r="O345" s="1171" t="s">
        <v>915</v>
      </c>
      <c r="P345" s="1350" t="s">
        <v>682</v>
      </c>
      <c r="Q345" s="1160"/>
      <c r="R345" s="1327">
        <v>46200000</v>
      </c>
      <c r="S345" s="1327">
        <v>46200000</v>
      </c>
      <c r="T345" s="1327">
        <f>+'PAA V30'!$R345-'PAA V30'!$S345</f>
        <v>0</v>
      </c>
      <c r="U345" s="1327">
        <v>46200000</v>
      </c>
      <c r="V345" s="1327">
        <v>16940000</v>
      </c>
      <c r="W345" s="1327"/>
    </row>
    <row r="346" spans="1:23" s="1204" customFormat="1" ht="120" hidden="1" x14ac:dyDescent="0.2">
      <c r="A346" s="1169">
        <v>2022371</v>
      </c>
      <c r="B346" s="1169">
        <v>7658</v>
      </c>
      <c r="C346" s="1326" t="s">
        <v>673</v>
      </c>
      <c r="D346" s="1187" t="s">
        <v>702</v>
      </c>
      <c r="E346" s="1171">
        <v>80111600</v>
      </c>
      <c r="F346" s="1349" t="s">
        <v>1015</v>
      </c>
      <c r="G346" s="1343">
        <v>44562</v>
      </c>
      <c r="H346" s="1343">
        <v>44592</v>
      </c>
      <c r="I346" s="1173">
        <v>11</v>
      </c>
      <c r="J346" s="1173" t="s">
        <v>677</v>
      </c>
      <c r="K346" s="1174" t="s">
        <v>678</v>
      </c>
      <c r="L346" s="1175" t="s">
        <v>951</v>
      </c>
      <c r="M346" s="1176">
        <f>37956000-28254000+8925000</f>
        <v>18627000</v>
      </c>
      <c r="N346" s="1344" t="s">
        <v>1002</v>
      </c>
      <c r="O346" s="1171" t="s">
        <v>915</v>
      </c>
      <c r="P346" s="1350" t="s">
        <v>682</v>
      </c>
      <c r="Q346" s="1160"/>
      <c r="R346" s="1266">
        <v>0</v>
      </c>
      <c r="S346" s="1327"/>
      <c r="T346" s="1327">
        <f>+'PAA V30'!$R346-'PAA V30'!$S346</f>
        <v>0</v>
      </c>
      <c r="U346" s="1327"/>
      <c r="V346" s="1327"/>
      <c r="W346" s="1327"/>
    </row>
    <row r="347" spans="1:23" s="1204" customFormat="1" ht="120" hidden="1" x14ac:dyDescent="0.2">
      <c r="A347" s="1169">
        <v>2022372</v>
      </c>
      <c r="B347" s="1169">
        <v>7658</v>
      </c>
      <c r="C347" s="1326" t="s">
        <v>673</v>
      </c>
      <c r="D347" s="1187" t="s">
        <v>702</v>
      </c>
      <c r="E347" s="1171">
        <v>80111600</v>
      </c>
      <c r="F347" s="1349" t="s">
        <v>1016</v>
      </c>
      <c r="G347" s="1343">
        <v>44562</v>
      </c>
      <c r="H347" s="1343">
        <v>44592</v>
      </c>
      <c r="I347" s="1173">
        <v>12</v>
      </c>
      <c r="J347" s="1173" t="s">
        <v>677</v>
      </c>
      <c r="K347" s="1174" t="s">
        <v>678</v>
      </c>
      <c r="L347" s="1175" t="s">
        <v>951</v>
      </c>
      <c r="M347" s="1176">
        <f>63036000-1836000</f>
        <v>61200000</v>
      </c>
      <c r="N347" s="1344" t="s">
        <v>1002</v>
      </c>
      <c r="O347" s="1171" t="s">
        <v>915</v>
      </c>
      <c r="P347" s="1350" t="s">
        <v>682</v>
      </c>
      <c r="Q347" s="1160"/>
      <c r="R347" s="1327">
        <v>61200000</v>
      </c>
      <c r="S347" s="1327">
        <v>61200000</v>
      </c>
      <c r="T347" s="1327">
        <f>+'PAA V30'!$R347-'PAA V30'!$S347</f>
        <v>0</v>
      </c>
      <c r="U347" s="1327">
        <v>61200000</v>
      </c>
      <c r="V347" s="1327">
        <v>19890000</v>
      </c>
      <c r="W347" s="1327"/>
    </row>
    <row r="348" spans="1:23" s="1204" customFormat="1" ht="120" hidden="1" x14ac:dyDescent="0.2">
      <c r="A348" s="1169">
        <v>2022373</v>
      </c>
      <c r="B348" s="1169">
        <v>7658</v>
      </c>
      <c r="C348" s="1326" t="s">
        <v>673</v>
      </c>
      <c r="D348" s="1187" t="s">
        <v>702</v>
      </c>
      <c r="E348" s="1171">
        <v>80111600</v>
      </c>
      <c r="F348" s="1349" t="s">
        <v>1016</v>
      </c>
      <c r="G348" s="1343">
        <v>44562</v>
      </c>
      <c r="H348" s="1343">
        <v>44592</v>
      </c>
      <c r="I348" s="1173">
        <v>10</v>
      </c>
      <c r="J348" s="1173" t="s">
        <v>677</v>
      </c>
      <c r="K348" s="1174" t="s">
        <v>678</v>
      </c>
      <c r="L348" s="1175" t="s">
        <v>951</v>
      </c>
      <c r="M348" s="1176">
        <f>39700000-1200000</f>
        <v>38500000</v>
      </c>
      <c r="N348" s="1344" t="s">
        <v>1002</v>
      </c>
      <c r="O348" s="1171" t="s">
        <v>915</v>
      </c>
      <c r="P348" s="1350" t="s">
        <v>682</v>
      </c>
      <c r="Q348" s="1160"/>
      <c r="R348" s="1327">
        <v>38500000</v>
      </c>
      <c r="S348" s="1327">
        <v>38500000</v>
      </c>
      <c r="T348" s="1327">
        <f>+'PAA V30'!$R348-'PAA V30'!$S348</f>
        <v>0</v>
      </c>
      <c r="U348" s="1327">
        <v>38500000</v>
      </c>
      <c r="V348" s="1327">
        <v>14501667</v>
      </c>
      <c r="W348" s="1327"/>
    </row>
    <row r="349" spans="1:23" s="1204" customFormat="1" ht="120" hidden="1" x14ac:dyDescent="0.2">
      <c r="A349" s="1169">
        <v>2022374</v>
      </c>
      <c r="B349" s="1169">
        <v>7658</v>
      </c>
      <c r="C349" s="1326" t="s">
        <v>673</v>
      </c>
      <c r="D349" s="1187" t="s">
        <v>702</v>
      </c>
      <c r="E349" s="1171">
        <v>80111600</v>
      </c>
      <c r="F349" s="1349" t="s">
        <v>1016</v>
      </c>
      <c r="G349" s="1343">
        <v>44562</v>
      </c>
      <c r="H349" s="1343">
        <v>44592</v>
      </c>
      <c r="I349" s="1173">
        <v>11</v>
      </c>
      <c r="J349" s="1173" t="s">
        <v>677</v>
      </c>
      <c r="K349" s="1174" t="s">
        <v>678</v>
      </c>
      <c r="L349" s="1175" t="s">
        <v>951</v>
      </c>
      <c r="M349" s="1176">
        <f>50985000-1485000</f>
        <v>49500000</v>
      </c>
      <c r="N349" s="1344" t="s">
        <v>1002</v>
      </c>
      <c r="O349" s="1171" t="s">
        <v>915</v>
      </c>
      <c r="P349" s="1350" t="s">
        <v>682</v>
      </c>
      <c r="Q349" s="1160"/>
      <c r="R349" s="1327">
        <v>49500000</v>
      </c>
      <c r="S349" s="1327">
        <v>49500000</v>
      </c>
      <c r="T349" s="1327">
        <f>+'PAA V30'!$R349-'PAA V30'!$S349</f>
        <v>0</v>
      </c>
      <c r="U349" s="1327">
        <v>49500000</v>
      </c>
      <c r="V349" s="1327">
        <v>18000000</v>
      </c>
      <c r="W349" s="1327"/>
    </row>
    <row r="350" spans="1:23" s="1204" customFormat="1" ht="120" hidden="1" x14ac:dyDescent="0.2">
      <c r="A350" s="1169">
        <v>2022375</v>
      </c>
      <c r="B350" s="1169">
        <v>7658</v>
      </c>
      <c r="C350" s="1326" t="s">
        <v>673</v>
      </c>
      <c r="D350" s="1187" t="s">
        <v>702</v>
      </c>
      <c r="E350" s="1171">
        <v>80111600</v>
      </c>
      <c r="F350" s="1349" t="s">
        <v>1017</v>
      </c>
      <c r="G350" s="1343">
        <v>44562</v>
      </c>
      <c r="H350" s="1343">
        <v>44592</v>
      </c>
      <c r="I350" s="1173">
        <v>12</v>
      </c>
      <c r="J350" s="1173" t="s">
        <v>677</v>
      </c>
      <c r="K350" s="1174" t="s">
        <v>678</v>
      </c>
      <c r="L350" s="1175" t="s">
        <v>951</v>
      </c>
      <c r="M350" s="1176">
        <v>55620000</v>
      </c>
      <c r="N350" s="1344" t="s">
        <v>1002</v>
      </c>
      <c r="O350" s="1171" t="s">
        <v>915</v>
      </c>
      <c r="P350" s="1350" t="s">
        <v>682</v>
      </c>
      <c r="Q350" s="1160"/>
      <c r="R350" s="1327">
        <v>54000000</v>
      </c>
      <c r="S350" s="1327">
        <v>54000000</v>
      </c>
      <c r="T350" s="1327">
        <f>+'PAA V30'!$R350-'PAA V30'!$S350</f>
        <v>0</v>
      </c>
      <c r="U350" s="1327">
        <v>54000000</v>
      </c>
      <c r="V350" s="1327">
        <v>19050000</v>
      </c>
      <c r="W350" s="1327"/>
    </row>
    <row r="351" spans="1:23" s="1204" customFormat="1" ht="120" hidden="1" x14ac:dyDescent="0.2">
      <c r="A351" s="1169">
        <v>2022376</v>
      </c>
      <c r="B351" s="1169">
        <v>7658</v>
      </c>
      <c r="C351" s="1326" t="s">
        <v>673</v>
      </c>
      <c r="D351" s="1187" t="s">
        <v>702</v>
      </c>
      <c r="E351" s="1171">
        <v>80111600</v>
      </c>
      <c r="F351" s="1349" t="s">
        <v>1018</v>
      </c>
      <c r="G351" s="1343">
        <v>44562</v>
      </c>
      <c r="H351" s="1343">
        <v>44592</v>
      </c>
      <c r="I351" s="1173">
        <v>12</v>
      </c>
      <c r="J351" s="1173" t="s">
        <v>677</v>
      </c>
      <c r="K351" s="1174" t="s">
        <v>678</v>
      </c>
      <c r="L351" s="1175" t="s">
        <v>951</v>
      </c>
      <c r="M351" s="1176">
        <v>55620000</v>
      </c>
      <c r="N351" s="1344" t="s">
        <v>1002</v>
      </c>
      <c r="O351" s="1171" t="s">
        <v>915</v>
      </c>
      <c r="P351" s="1350" t="s">
        <v>682</v>
      </c>
      <c r="Q351" s="1160"/>
      <c r="R351" s="1327">
        <v>54000000</v>
      </c>
      <c r="S351" s="1327">
        <v>54000000</v>
      </c>
      <c r="T351" s="1327">
        <f>+'PAA V30'!$R351-'PAA V30'!$S351</f>
        <v>0</v>
      </c>
      <c r="U351" s="1327">
        <v>54000000</v>
      </c>
      <c r="V351" s="1327">
        <v>18750000</v>
      </c>
      <c r="W351" s="1327"/>
    </row>
    <row r="352" spans="1:23" s="1204" customFormat="1" ht="120" hidden="1" x14ac:dyDescent="0.2">
      <c r="A352" s="1169">
        <v>2022377</v>
      </c>
      <c r="B352" s="1169">
        <v>7658</v>
      </c>
      <c r="C352" s="1326" t="s">
        <v>673</v>
      </c>
      <c r="D352" s="1187" t="s">
        <v>702</v>
      </c>
      <c r="E352" s="1171">
        <v>80111600</v>
      </c>
      <c r="F352" s="1349" t="s">
        <v>1019</v>
      </c>
      <c r="G352" s="1343">
        <v>44562</v>
      </c>
      <c r="H352" s="1343">
        <v>44592</v>
      </c>
      <c r="I352" s="1173">
        <v>12</v>
      </c>
      <c r="J352" s="1173" t="s">
        <v>677</v>
      </c>
      <c r="K352" s="1174" t="s">
        <v>678</v>
      </c>
      <c r="L352" s="1175" t="s">
        <v>951</v>
      </c>
      <c r="M352" s="1176">
        <v>55620000</v>
      </c>
      <c r="N352" s="1344" t="s">
        <v>1002</v>
      </c>
      <c r="O352" s="1171" t="s">
        <v>915</v>
      </c>
      <c r="P352" s="1350" t="s">
        <v>682</v>
      </c>
      <c r="Q352" s="1160"/>
      <c r="R352" s="1327">
        <v>54000000</v>
      </c>
      <c r="S352" s="1327">
        <v>54000000</v>
      </c>
      <c r="T352" s="1327">
        <f>+'PAA V30'!$R352-'PAA V30'!$S352</f>
        <v>0</v>
      </c>
      <c r="U352" s="1327">
        <v>54000000</v>
      </c>
      <c r="V352" s="1327">
        <v>18750000</v>
      </c>
      <c r="W352" s="1327"/>
    </row>
    <row r="353" spans="1:23" s="1204" customFormat="1" ht="120" hidden="1" x14ac:dyDescent="0.2">
      <c r="A353" s="1169">
        <v>2022378</v>
      </c>
      <c r="B353" s="1169">
        <v>7658</v>
      </c>
      <c r="C353" s="1326" t="s">
        <v>673</v>
      </c>
      <c r="D353" s="1187" t="s">
        <v>702</v>
      </c>
      <c r="E353" s="1171">
        <v>80111600</v>
      </c>
      <c r="F353" s="1349" t="s">
        <v>1020</v>
      </c>
      <c r="G353" s="1343">
        <v>44562</v>
      </c>
      <c r="H353" s="1343">
        <v>44592</v>
      </c>
      <c r="I353" s="1173">
        <v>12</v>
      </c>
      <c r="J353" s="1173" t="s">
        <v>677</v>
      </c>
      <c r="K353" s="1174" t="s">
        <v>678</v>
      </c>
      <c r="L353" s="1175" t="s">
        <v>951</v>
      </c>
      <c r="M353" s="1176">
        <v>55620000</v>
      </c>
      <c r="N353" s="1344" t="s">
        <v>1002</v>
      </c>
      <c r="O353" s="1171" t="s">
        <v>915</v>
      </c>
      <c r="P353" s="1350" t="s">
        <v>682</v>
      </c>
      <c r="Q353" s="1160"/>
      <c r="R353" s="1327">
        <v>54000000</v>
      </c>
      <c r="S353" s="1327">
        <v>54000000</v>
      </c>
      <c r="T353" s="1327">
        <f>+'PAA V30'!$R353-'PAA V30'!$S353</f>
        <v>0</v>
      </c>
      <c r="U353" s="1327">
        <v>54000000</v>
      </c>
      <c r="V353" s="1327">
        <v>19050000</v>
      </c>
      <c r="W353" s="1327"/>
    </row>
    <row r="354" spans="1:23" s="1204" customFormat="1" ht="120" hidden="1" x14ac:dyDescent="0.2">
      <c r="A354" s="1169">
        <v>2022379</v>
      </c>
      <c r="B354" s="1169">
        <v>7658</v>
      </c>
      <c r="C354" s="1326" t="s">
        <v>673</v>
      </c>
      <c r="D354" s="1187" t="s">
        <v>702</v>
      </c>
      <c r="E354" s="1171">
        <v>80111600</v>
      </c>
      <c r="F354" s="1349" t="s">
        <v>1021</v>
      </c>
      <c r="G354" s="1343">
        <v>44562</v>
      </c>
      <c r="H354" s="1343">
        <v>44592</v>
      </c>
      <c r="I354" s="1173">
        <v>11</v>
      </c>
      <c r="J354" s="1173" t="s">
        <v>677</v>
      </c>
      <c r="K354" s="1174" t="s">
        <v>678</v>
      </c>
      <c r="L354" s="1175" t="s">
        <v>951</v>
      </c>
      <c r="M354" s="1176">
        <v>50985000</v>
      </c>
      <c r="N354" s="1344" t="s">
        <v>1002</v>
      </c>
      <c r="O354" s="1171" t="s">
        <v>915</v>
      </c>
      <c r="P354" s="1350" t="s">
        <v>682</v>
      </c>
      <c r="Q354" s="1160"/>
      <c r="R354" s="1327">
        <v>49500000</v>
      </c>
      <c r="S354" s="1327">
        <v>49500000</v>
      </c>
      <c r="T354" s="1327">
        <f>+'PAA V30'!$R354-'PAA V30'!$S354</f>
        <v>0</v>
      </c>
      <c r="U354" s="1327">
        <v>49500000</v>
      </c>
      <c r="V354" s="1327">
        <v>18750000</v>
      </c>
      <c r="W354" s="1327"/>
    </row>
    <row r="355" spans="1:23" s="1204" customFormat="1" ht="120" hidden="1" x14ac:dyDescent="0.2">
      <c r="A355" s="1169">
        <v>2022380</v>
      </c>
      <c r="B355" s="1169">
        <v>7658</v>
      </c>
      <c r="C355" s="1326" t="s">
        <v>673</v>
      </c>
      <c r="D355" s="1187" t="s">
        <v>702</v>
      </c>
      <c r="E355" s="1171">
        <v>80111600</v>
      </c>
      <c r="F355" s="1349" t="s">
        <v>1022</v>
      </c>
      <c r="G355" s="1343">
        <v>44562</v>
      </c>
      <c r="H355" s="1343">
        <v>44592</v>
      </c>
      <c r="I355" s="1173">
        <v>11</v>
      </c>
      <c r="J355" s="1173" t="s">
        <v>677</v>
      </c>
      <c r="K355" s="1174" t="s">
        <v>678</v>
      </c>
      <c r="L355" s="1175" t="s">
        <v>951</v>
      </c>
      <c r="M355" s="1176">
        <v>50985000</v>
      </c>
      <c r="N355" s="1344" t="s">
        <v>1002</v>
      </c>
      <c r="O355" s="1171" t="s">
        <v>915</v>
      </c>
      <c r="P355" s="1350" t="s">
        <v>682</v>
      </c>
      <c r="Q355" s="1160"/>
      <c r="R355" s="1327">
        <v>49500000</v>
      </c>
      <c r="S355" s="1327">
        <v>49500000</v>
      </c>
      <c r="T355" s="1327">
        <f>+'PAA V30'!$R355-'PAA V30'!$S355</f>
        <v>0</v>
      </c>
      <c r="U355" s="1327">
        <v>49500000</v>
      </c>
      <c r="V355" s="1327">
        <v>18750000</v>
      </c>
      <c r="W355" s="1327"/>
    </row>
    <row r="356" spans="1:23" s="1204" customFormat="1" ht="120" hidden="1" x14ac:dyDescent="0.2">
      <c r="A356" s="1169">
        <v>2022381</v>
      </c>
      <c r="B356" s="1169">
        <v>7658</v>
      </c>
      <c r="C356" s="1326" t="s">
        <v>673</v>
      </c>
      <c r="D356" s="1187" t="s">
        <v>702</v>
      </c>
      <c r="E356" s="1171">
        <v>80111600</v>
      </c>
      <c r="F356" s="1349" t="s">
        <v>1023</v>
      </c>
      <c r="G356" s="1343">
        <v>44562</v>
      </c>
      <c r="H356" s="1343">
        <v>44592</v>
      </c>
      <c r="I356" s="1173">
        <v>12</v>
      </c>
      <c r="J356" s="1173" t="s">
        <v>677</v>
      </c>
      <c r="K356" s="1174" t="s">
        <v>678</v>
      </c>
      <c r="L356" s="1175" t="s">
        <v>951</v>
      </c>
      <c r="M356" s="1176">
        <v>84000000</v>
      </c>
      <c r="N356" s="1344" t="s">
        <v>1002</v>
      </c>
      <c r="O356" s="1171" t="s">
        <v>915</v>
      </c>
      <c r="P356" s="1350" t="s">
        <v>682</v>
      </c>
      <c r="Q356" s="1160"/>
      <c r="R356" s="1327">
        <v>81600000</v>
      </c>
      <c r="S356" s="1327">
        <v>81600000</v>
      </c>
      <c r="T356" s="1327">
        <f>+'PAA V30'!$R356-'PAA V30'!$S356</f>
        <v>0</v>
      </c>
      <c r="U356" s="1327">
        <v>81600000</v>
      </c>
      <c r="V356" s="1327">
        <v>29920000</v>
      </c>
      <c r="W356" s="1327"/>
    </row>
    <row r="357" spans="1:23" s="1204" customFormat="1" ht="120" hidden="1" x14ac:dyDescent="0.2">
      <c r="A357" s="1169">
        <v>2022382</v>
      </c>
      <c r="B357" s="1169">
        <v>7658</v>
      </c>
      <c r="C357" s="1326" t="s">
        <v>673</v>
      </c>
      <c r="D357" s="1187" t="s">
        <v>702</v>
      </c>
      <c r="E357" s="1171">
        <v>80111600</v>
      </c>
      <c r="F357" s="1349" t="s">
        <v>1024</v>
      </c>
      <c r="G357" s="1343">
        <v>44562</v>
      </c>
      <c r="H357" s="1343">
        <v>44592</v>
      </c>
      <c r="I357" s="1173">
        <v>12</v>
      </c>
      <c r="J357" s="1173" t="s">
        <v>677</v>
      </c>
      <c r="K357" s="1174" t="s">
        <v>678</v>
      </c>
      <c r="L357" s="1175" t="s">
        <v>951</v>
      </c>
      <c r="M357" s="1176">
        <v>84000000</v>
      </c>
      <c r="N357" s="1344" t="s">
        <v>1002</v>
      </c>
      <c r="O357" s="1171" t="s">
        <v>915</v>
      </c>
      <c r="P357" s="1350" t="s">
        <v>682</v>
      </c>
      <c r="Q357" s="1160"/>
      <c r="R357" s="1327">
        <v>81600000</v>
      </c>
      <c r="S357" s="1327">
        <v>81600000</v>
      </c>
      <c r="T357" s="1327">
        <f>+'PAA V30'!$R357-'PAA V30'!$S357</f>
        <v>0</v>
      </c>
      <c r="U357" s="1327">
        <v>81600000</v>
      </c>
      <c r="V357" s="1327">
        <v>28333333</v>
      </c>
      <c r="W357" s="1327"/>
    </row>
    <row r="358" spans="1:23" s="1204" customFormat="1" ht="120" hidden="1" x14ac:dyDescent="0.2">
      <c r="A358" s="1169">
        <v>2022383</v>
      </c>
      <c r="B358" s="1169">
        <v>7658</v>
      </c>
      <c r="C358" s="1326" t="s">
        <v>673</v>
      </c>
      <c r="D358" s="1187" t="s">
        <v>702</v>
      </c>
      <c r="E358" s="1171">
        <v>80111600</v>
      </c>
      <c r="F358" s="1349" t="s">
        <v>1025</v>
      </c>
      <c r="G358" s="1343">
        <v>44562</v>
      </c>
      <c r="H358" s="1343">
        <v>44592</v>
      </c>
      <c r="I358" s="1173">
        <v>12</v>
      </c>
      <c r="J358" s="1173" t="s">
        <v>677</v>
      </c>
      <c r="K358" s="1174" t="s">
        <v>678</v>
      </c>
      <c r="L358" s="1175" t="s">
        <v>951</v>
      </c>
      <c r="M358" s="1176">
        <v>84000000</v>
      </c>
      <c r="N358" s="1344" t="s">
        <v>1002</v>
      </c>
      <c r="O358" s="1171" t="s">
        <v>915</v>
      </c>
      <c r="P358" s="1350" t="s">
        <v>682</v>
      </c>
      <c r="Q358" s="1160"/>
      <c r="R358" s="1327">
        <v>81600000</v>
      </c>
      <c r="S358" s="1327">
        <v>81600000</v>
      </c>
      <c r="T358" s="1327">
        <f>+'PAA V30'!$R358-'PAA V30'!$S358</f>
        <v>0</v>
      </c>
      <c r="U358" s="1327">
        <v>81600000</v>
      </c>
      <c r="V358" s="1327">
        <v>28333333</v>
      </c>
      <c r="W358" s="1327"/>
    </row>
    <row r="359" spans="1:23" s="1204" customFormat="1" ht="120" hidden="1" x14ac:dyDescent="0.2">
      <c r="A359" s="1169">
        <v>2022384</v>
      </c>
      <c r="B359" s="1169">
        <v>7658</v>
      </c>
      <c r="C359" s="1326" t="s">
        <v>673</v>
      </c>
      <c r="D359" s="1187" t="s">
        <v>702</v>
      </c>
      <c r="E359" s="1171">
        <v>80111600</v>
      </c>
      <c r="F359" s="1349" t="s">
        <v>1026</v>
      </c>
      <c r="G359" s="1343">
        <v>44562</v>
      </c>
      <c r="H359" s="1343">
        <v>44592</v>
      </c>
      <c r="I359" s="1173">
        <v>12</v>
      </c>
      <c r="J359" s="1173" t="s">
        <v>677</v>
      </c>
      <c r="K359" s="1174" t="s">
        <v>678</v>
      </c>
      <c r="L359" s="1175" t="s">
        <v>951</v>
      </c>
      <c r="M359" s="1176">
        <v>84000000</v>
      </c>
      <c r="N359" s="1344" t="s">
        <v>1002</v>
      </c>
      <c r="O359" s="1171" t="s">
        <v>915</v>
      </c>
      <c r="P359" s="1350" t="s">
        <v>682</v>
      </c>
      <c r="Q359" s="1160"/>
      <c r="R359" s="1327">
        <v>27000000</v>
      </c>
      <c r="S359" s="1327">
        <v>27000000</v>
      </c>
      <c r="T359" s="1327">
        <f>+'PAA V30'!$R359-'PAA V30'!$S359</f>
        <v>0</v>
      </c>
      <c r="U359" s="1327">
        <v>27000000</v>
      </c>
      <c r="V359" s="1327">
        <v>3750000</v>
      </c>
      <c r="W359" s="1327"/>
    </row>
    <row r="360" spans="1:23" s="1204" customFormat="1" ht="120" hidden="1" x14ac:dyDescent="0.2">
      <c r="A360" s="1169">
        <v>2022385</v>
      </c>
      <c r="B360" s="1169">
        <v>7658</v>
      </c>
      <c r="C360" s="1326" t="s">
        <v>673</v>
      </c>
      <c r="D360" s="1187" t="s">
        <v>702</v>
      </c>
      <c r="E360" s="1171">
        <v>80111600</v>
      </c>
      <c r="F360" s="1349" t="s">
        <v>1027</v>
      </c>
      <c r="G360" s="1343">
        <v>44562</v>
      </c>
      <c r="H360" s="1343">
        <v>44592</v>
      </c>
      <c r="I360" s="1173">
        <v>12</v>
      </c>
      <c r="J360" s="1173" t="s">
        <v>677</v>
      </c>
      <c r="K360" s="1174" t="s">
        <v>678</v>
      </c>
      <c r="L360" s="1175" t="s">
        <v>951</v>
      </c>
      <c r="M360" s="1176">
        <v>84000000</v>
      </c>
      <c r="N360" s="1344" t="s">
        <v>1002</v>
      </c>
      <c r="O360" s="1171" t="s">
        <v>915</v>
      </c>
      <c r="P360" s="1350" t="s">
        <v>682</v>
      </c>
      <c r="Q360" s="1160"/>
      <c r="R360" s="1327">
        <v>81600000</v>
      </c>
      <c r="S360" s="1327">
        <v>81600000</v>
      </c>
      <c r="T360" s="1327">
        <f>+'PAA V30'!$R360-'PAA V30'!$S360</f>
        <v>0</v>
      </c>
      <c r="U360" s="1327">
        <v>81600000</v>
      </c>
      <c r="V360" s="1327">
        <v>28106667</v>
      </c>
      <c r="W360" s="1327"/>
    </row>
    <row r="361" spans="1:23" s="1204" customFormat="1" ht="120" hidden="1" x14ac:dyDescent="0.2">
      <c r="A361" s="1169">
        <v>2022386</v>
      </c>
      <c r="B361" s="1169">
        <v>7658</v>
      </c>
      <c r="C361" s="1326" t="s">
        <v>673</v>
      </c>
      <c r="D361" s="1187" t="s">
        <v>702</v>
      </c>
      <c r="E361" s="1171">
        <v>80111600</v>
      </c>
      <c r="F361" s="1349" t="s">
        <v>1028</v>
      </c>
      <c r="G361" s="1343">
        <v>44562</v>
      </c>
      <c r="H361" s="1343">
        <v>44592</v>
      </c>
      <c r="I361" s="1173">
        <v>12</v>
      </c>
      <c r="J361" s="1173" t="s">
        <v>677</v>
      </c>
      <c r="K361" s="1174" t="s">
        <v>678</v>
      </c>
      <c r="L361" s="1175" t="s">
        <v>951</v>
      </c>
      <c r="M361" s="1176">
        <v>84000000</v>
      </c>
      <c r="N361" s="1344" t="s">
        <v>1002</v>
      </c>
      <c r="O361" s="1171" t="s">
        <v>915</v>
      </c>
      <c r="P361" s="1350" t="s">
        <v>682</v>
      </c>
      <c r="Q361" s="1160"/>
      <c r="R361" s="1327">
        <v>81600000</v>
      </c>
      <c r="S361" s="1327">
        <v>81600000</v>
      </c>
      <c r="T361" s="1327">
        <f>+'PAA V30'!$R361-'PAA V30'!$S361</f>
        <v>0</v>
      </c>
      <c r="U361" s="1327">
        <v>81600000</v>
      </c>
      <c r="V361" s="1327">
        <v>28333333</v>
      </c>
      <c r="W361" s="1327"/>
    </row>
    <row r="362" spans="1:23" s="1204" customFormat="1" ht="120" hidden="1" x14ac:dyDescent="0.2">
      <c r="A362" s="1169">
        <v>2022387</v>
      </c>
      <c r="B362" s="1169">
        <v>7658</v>
      </c>
      <c r="C362" s="1326" t="s">
        <v>673</v>
      </c>
      <c r="D362" s="1187" t="s">
        <v>702</v>
      </c>
      <c r="E362" s="1171">
        <v>80111600</v>
      </c>
      <c r="F362" s="1349" t="s">
        <v>1029</v>
      </c>
      <c r="G362" s="1343">
        <v>44562</v>
      </c>
      <c r="H362" s="1343">
        <v>44592</v>
      </c>
      <c r="I362" s="1173">
        <v>12</v>
      </c>
      <c r="J362" s="1173" t="s">
        <v>677</v>
      </c>
      <c r="K362" s="1174" t="s">
        <v>678</v>
      </c>
      <c r="L362" s="1175" t="s">
        <v>951</v>
      </c>
      <c r="M362" s="1176">
        <v>90000000</v>
      </c>
      <c r="N362" s="1344" t="s">
        <v>1002</v>
      </c>
      <c r="O362" s="1171" t="s">
        <v>915</v>
      </c>
      <c r="P362" s="1350" t="s">
        <v>682</v>
      </c>
      <c r="Q362" s="1160"/>
      <c r="R362" s="1327">
        <v>87600000</v>
      </c>
      <c r="S362" s="1327">
        <v>87600000</v>
      </c>
      <c r="T362" s="1327">
        <f>+'PAA V30'!$R362-'PAA V30'!$S362</f>
        <v>0</v>
      </c>
      <c r="U362" s="1327">
        <v>87600000</v>
      </c>
      <c r="V362" s="1327">
        <v>29200000</v>
      </c>
      <c r="W362" s="1327"/>
    </row>
    <row r="363" spans="1:23" s="1204" customFormat="1" ht="90" hidden="1" x14ac:dyDescent="0.2">
      <c r="A363" s="1169">
        <v>2022389</v>
      </c>
      <c r="B363" s="1169">
        <v>7658</v>
      </c>
      <c r="C363" s="1326" t="s">
        <v>673</v>
      </c>
      <c r="D363" s="1187" t="s">
        <v>693</v>
      </c>
      <c r="E363" s="1171" t="s">
        <v>1030</v>
      </c>
      <c r="F363" s="1349" t="s">
        <v>1031</v>
      </c>
      <c r="G363" s="1343">
        <v>44621</v>
      </c>
      <c r="H363" s="1343">
        <v>44682</v>
      </c>
      <c r="I363" s="1173">
        <v>7</v>
      </c>
      <c r="J363" s="1173" t="s">
        <v>647</v>
      </c>
      <c r="K363" s="1174" t="s">
        <v>678</v>
      </c>
      <c r="L363" s="1175" t="s">
        <v>951</v>
      </c>
      <c r="M363" s="1176">
        <f>816036232-66036232</f>
        <v>750000000</v>
      </c>
      <c r="N363" s="1344" t="s">
        <v>1032</v>
      </c>
      <c r="O363" s="1171" t="s">
        <v>1033</v>
      </c>
      <c r="P363" s="1350" t="s">
        <v>682</v>
      </c>
      <c r="Q363" s="1160"/>
      <c r="R363" s="1327">
        <v>816036232</v>
      </c>
      <c r="S363" s="1327">
        <v>816036232</v>
      </c>
      <c r="T363" s="1327">
        <f>+'PAA V30'!$R363-'PAA V30'!$S363</f>
        <v>0</v>
      </c>
      <c r="U363" s="1327">
        <v>683963768</v>
      </c>
      <c r="V363" s="1327"/>
      <c r="W363" s="1327"/>
    </row>
    <row r="364" spans="1:23" s="1204" customFormat="1" ht="105" hidden="1" x14ac:dyDescent="0.2">
      <c r="A364" s="1169">
        <v>2022390</v>
      </c>
      <c r="B364" s="1169">
        <v>7658</v>
      </c>
      <c r="C364" s="1326" t="s">
        <v>673</v>
      </c>
      <c r="D364" s="1187" t="s">
        <v>693</v>
      </c>
      <c r="E364" s="1171" t="s">
        <v>1030</v>
      </c>
      <c r="F364" s="1349" t="s">
        <v>1034</v>
      </c>
      <c r="G364" s="1343">
        <v>44562</v>
      </c>
      <c r="H364" s="1343">
        <v>44592</v>
      </c>
      <c r="I364" s="1173">
        <v>2</v>
      </c>
      <c r="J364" s="1173" t="s">
        <v>647</v>
      </c>
      <c r="K364" s="1174" t="s">
        <v>678</v>
      </c>
      <c r="L364" s="1175" t="s">
        <v>951</v>
      </c>
      <c r="M364" s="1176">
        <v>183963768</v>
      </c>
      <c r="N364" s="1344" t="s">
        <v>1032</v>
      </c>
      <c r="O364" s="1171" t="s">
        <v>1033</v>
      </c>
      <c r="P364" s="1350" t="s">
        <v>751</v>
      </c>
      <c r="Q364" s="1160"/>
      <c r="R364" s="1327">
        <v>183963768</v>
      </c>
      <c r="S364" s="1327">
        <v>183963768</v>
      </c>
      <c r="T364" s="1327">
        <f>+'PAA V30'!$R364-'PAA V30'!$S364</f>
        <v>0</v>
      </c>
      <c r="U364" s="1327">
        <v>183963768</v>
      </c>
      <c r="V364" s="1327">
        <v>183963768</v>
      </c>
      <c r="W364" s="1327"/>
    </row>
    <row r="365" spans="1:23" s="1204" customFormat="1" ht="90" hidden="1" x14ac:dyDescent="0.2">
      <c r="A365" s="1169">
        <v>2022392</v>
      </c>
      <c r="B365" s="1169">
        <v>7658</v>
      </c>
      <c r="C365" s="1326" t="s">
        <v>673</v>
      </c>
      <c r="D365" s="1187" t="s">
        <v>693</v>
      </c>
      <c r="E365" s="1171" t="s">
        <v>1035</v>
      </c>
      <c r="F365" s="1349" t="s">
        <v>1036</v>
      </c>
      <c r="G365" s="1343">
        <v>44687</v>
      </c>
      <c r="H365" s="1343">
        <v>44742</v>
      </c>
      <c r="I365" s="1173">
        <v>6</v>
      </c>
      <c r="J365" s="1173" t="s">
        <v>697</v>
      </c>
      <c r="K365" s="1174" t="s">
        <v>678</v>
      </c>
      <c r="L365" s="1175" t="s">
        <v>951</v>
      </c>
      <c r="M365" s="1176">
        <f>300000000-180000000-2307582</f>
        <v>117692418</v>
      </c>
      <c r="N365" s="1344" t="s">
        <v>1032</v>
      </c>
      <c r="O365" s="1171" t="s">
        <v>1033</v>
      </c>
      <c r="P365" s="1350" t="s">
        <v>682</v>
      </c>
      <c r="Q365" s="1160" t="s">
        <v>1037</v>
      </c>
      <c r="R365" s="1327">
        <v>120000000</v>
      </c>
      <c r="S365" s="1327">
        <v>120000000</v>
      </c>
      <c r="T365" s="1327">
        <f>+'PAA V30'!$R365-'PAA V30'!$S365</f>
        <v>0</v>
      </c>
      <c r="U365" s="1327"/>
      <c r="V365" s="1327"/>
      <c r="W365" s="1327"/>
    </row>
    <row r="366" spans="1:23" s="1204" customFormat="1" ht="90" hidden="1" x14ac:dyDescent="0.2">
      <c r="A366" s="1169">
        <v>2022393</v>
      </c>
      <c r="B366" s="1169">
        <v>7658</v>
      </c>
      <c r="C366" s="1326" t="s">
        <v>673</v>
      </c>
      <c r="D366" s="1187" t="s">
        <v>693</v>
      </c>
      <c r="E366" s="1171" t="s">
        <v>1038</v>
      </c>
      <c r="F366" s="1349" t="s">
        <v>1039</v>
      </c>
      <c r="G366" s="1343">
        <v>44687</v>
      </c>
      <c r="H366" s="1343">
        <v>44743</v>
      </c>
      <c r="I366" s="1173">
        <v>5</v>
      </c>
      <c r="J366" s="1173" t="s">
        <v>687</v>
      </c>
      <c r="K366" s="1174" t="s">
        <v>678</v>
      </c>
      <c r="L366" s="1175" t="s">
        <v>951</v>
      </c>
      <c r="M366" s="1176">
        <f>200000000+180000000+70000000</f>
        <v>450000000</v>
      </c>
      <c r="N366" s="1344" t="s">
        <v>1032</v>
      </c>
      <c r="O366" s="1171" t="s">
        <v>1033</v>
      </c>
      <c r="P366" s="1350" t="s">
        <v>682</v>
      </c>
      <c r="Q366" s="1160"/>
      <c r="R366" s="1327">
        <v>450000000</v>
      </c>
      <c r="S366" s="1327">
        <v>380000000</v>
      </c>
      <c r="T366" s="1327">
        <f>+'PAA V30'!$R366-'PAA V30'!$S366</f>
        <v>70000000</v>
      </c>
      <c r="U366" s="1327"/>
      <c r="V366" s="1327"/>
      <c r="W366" s="1327"/>
    </row>
    <row r="367" spans="1:23" s="1204" customFormat="1" ht="105" hidden="1" x14ac:dyDescent="0.2">
      <c r="A367" s="1169">
        <v>2022398</v>
      </c>
      <c r="B367" s="1169">
        <v>7658</v>
      </c>
      <c r="C367" s="1326" t="s">
        <v>673</v>
      </c>
      <c r="D367" s="1187" t="s">
        <v>693</v>
      </c>
      <c r="E367" s="1171" t="s">
        <v>1040</v>
      </c>
      <c r="F367" s="1349" t="s">
        <v>1041</v>
      </c>
      <c r="G367" s="1345">
        <v>44682</v>
      </c>
      <c r="H367" s="1345">
        <v>44713</v>
      </c>
      <c r="I367" s="1173">
        <v>7</v>
      </c>
      <c r="J367" s="1173" t="s">
        <v>700</v>
      </c>
      <c r="K367" s="1174" t="s">
        <v>678</v>
      </c>
      <c r="L367" s="1175" t="s">
        <v>951</v>
      </c>
      <c r="M367" s="1176">
        <f>10000000-10000000+10000000</f>
        <v>10000000</v>
      </c>
      <c r="N367" s="1344" t="s">
        <v>1032</v>
      </c>
      <c r="O367" s="1171" t="s">
        <v>1033</v>
      </c>
      <c r="P367" s="1350" t="s">
        <v>682</v>
      </c>
      <c r="Q367" s="1160"/>
      <c r="R367" s="1327"/>
      <c r="S367" s="1327"/>
      <c r="T367" s="1327">
        <f>+'PAA V30'!$R367-'PAA V30'!$S367</f>
        <v>0</v>
      </c>
      <c r="U367" s="1327"/>
      <c r="V367" s="1327"/>
      <c r="W367" s="1327"/>
    </row>
    <row r="368" spans="1:23" s="1204" customFormat="1" ht="105" hidden="1" x14ac:dyDescent="0.2">
      <c r="A368" s="1169">
        <v>2022399</v>
      </c>
      <c r="B368" s="1169">
        <v>7658</v>
      </c>
      <c r="C368" s="1326" t="s">
        <v>673</v>
      </c>
      <c r="D368" s="1187" t="s">
        <v>693</v>
      </c>
      <c r="E368" s="1171" t="s">
        <v>1042</v>
      </c>
      <c r="F368" s="1349" t="s">
        <v>1043</v>
      </c>
      <c r="G368" s="1345">
        <v>44753</v>
      </c>
      <c r="H368" s="1345">
        <v>44774</v>
      </c>
      <c r="I368" s="1173">
        <v>1</v>
      </c>
      <c r="J368" s="1173" t="s">
        <v>700</v>
      </c>
      <c r="K368" s="1174" t="s">
        <v>678</v>
      </c>
      <c r="L368" s="1175" t="s">
        <v>951</v>
      </c>
      <c r="M368" s="1176">
        <f>20000000-20000000+19395017-2525017</f>
        <v>16870000</v>
      </c>
      <c r="N368" s="1344" t="s">
        <v>1032</v>
      </c>
      <c r="O368" s="1171" t="s">
        <v>1033</v>
      </c>
      <c r="P368" s="1350" t="s">
        <v>682</v>
      </c>
    </row>
    <row r="369" spans="1:23" s="1204" customFormat="1" ht="90" hidden="1" x14ac:dyDescent="0.2">
      <c r="A369" s="1169">
        <v>2022400</v>
      </c>
      <c r="B369" s="1169">
        <v>7658</v>
      </c>
      <c r="C369" s="1326" t="s">
        <v>673</v>
      </c>
      <c r="D369" s="1187" t="s">
        <v>693</v>
      </c>
      <c r="E369" s="1171" t="s">
        <v>1044</v>
      </c>
      <c r="F369" s="1349" t="s">
        <v>1045</v>
      </c>
      <c r="G369" s="1345">
        <v>44663</v>
      </c>
      <c r="H369" s="1345">
        <v>44713</v>
      </c>
      <c r="I369" s="1173">
        <v>4</v>
      </c>
      <c r="J369" s="1173" t="s">
        <v>700</v>
      </c>
      <c r="K369" s="1174" t="s">
        <v>678</v>
      </c>
      <c r="L369" s="1175" t="s">
        <v>951</v>
      </c>
      <c r="M369" s="1176">
        <f>50000000-8854126+126</f>
        <v>41146000</v>
      </c>
      <c r="N369" s="1344" t="s">
        <v>1032</v>
      </c>
      <c r="O369" s="1171" t="s">
        <v>1033</v>
      </c>
      <c r="P369" s="1350" t="s">
        <v>682</v>
      </c>
      <c r="Q369" s="1160"/>
      <c r="R369" s="1327">
        <v>41146000</v>
      </c>
      <c r="S369" s="1327">
        <v>41146000</v>
      </c>
      <c r="T369" s="1327">
        <f>+'PAA V30'!$R369-'PAA V30'!$S369</f>
        <v>0</v>
      </c>
      <c r="U369" s="1327"/>
      <c r="V369" s="1327"/>
      <c r="W369" s="1327"/>
    </row>
    <row r="370" spans="1:23" s="1204" customFormat="1" ht="90" hidden="1" x14ac:dyDescent="0.2">
      <c r="A370" s="1169">
        <v>2022404</v>
      </c>
      <c r="B370" s="1169">
        <v>7658</v>
      </c>
      <c r="C370" s="1326" t="s">
        <v>673</v>
      </c>
      <c r="D370" s="1187" t="s">
        <v>693</v>
      </c>
      <c r="E370" s="1171">
        <v>80111600</v>
      </c>
      <c r="F370" s="1349" t="s">
        <v>1046</v>
      </c>
      <c r="G370" s="1343">
        <v>44562</v>
      </c>
      <c r="H370" s="1343">
        <v>44592</v>
      </c>
      <c r="I370" s="1173">
        <v>7</v>
      </c>
      <c r="J370" s="1173" t="s">
        <v>677</v>
      </c>
      <c r="K370" s="1174" t="s">
        <v>678</v>
      </c>
      <c r="L370" s="1175" t="s">
        <v>951</v>
      </c>
      <c r="M370" s="1176">
        <v>26950000</v>
      </c>
      <c r="N370" s="1344" t="s">
        <v>1032</v>
      </c>
      <c r="O370" s="1171" t="s">
        <v>1033</v>
      </c>
      <c r="P370" s="1350" t="s">
        <v>682</v>
      </c>
      <c r="Q370" s="1160"/>
      <c r="R370" s="1327">
        <v>26950000</v>
      </c>
      <c r="S370" s="1327">
        <v>26950000</v>
      </c>
      <c r="T370" s="1327">
        <f>+'PAA V30'!$R370-'PAA V30'!$S370</f>
        <v>0</v>
      </c>
      <c r="U370" s="1327">
        <v>26950000</v>
      </c>
      <c r="V370" s="1327">
        <v>17196667</v>
      </c>
      <c r="W370" s="1327"/>
    </row>
    <row r="371" spans="1:23" s="1204" customFormat="1" ht="90" hidden="1" x14ac:dyDescent="0.2">
      <c r="A371" s="1169">
        <v>2022405</v>
      </c>
      <c r="B371" s="1169">
        <v>7658</v>
      </c>
      <c r="C371" s="1326" t="s">
        <v>673</v>
      </c>
      <c r="D371" s="1187" t="s">
        <v>693</v>
      </c>
      <c r="E371" s="1171">
        <v>80111600</v>
      </c>
      <c r="F371" s="1349" t="s">
        <v>1046</v>
      </c>
      <c r="G371" s="1343">
        <v>44562</v>
      </c>
      <c r="H371" s="1343">
        <v>44592</v>
      </c>
      <c r="I371" s="1173">
        <v>3</v>
      </c>
      <c r="J371" s="1173" t="s">
        <v>677</v>
      </c>
      <c r="K371" s="1174" t="s">
        <v>678</v>
      </c>
      <c r="L371" s="1175" t="s">
        <v>951</v>
      </c>
      <c r="M371" s="1176">
        <v>13500000</v>
      </c>
      <c r="N371" s="1344" t="s">
        <v>1032</v>
      </c>
      <c r="O371" s="1171" t="s">
        <v>1033</v>
      </c>
      <c r="P371" s="1350" t="s">
        <v>682</v>
      </c>
      <c r="Q371" s="1160"/>
      <c r="R371" s="1266">
        <v>0</v>
      </c>
      <c r="S371" s="1327"/>
      <c r="T371" s="1327">
        <f>+'PAA V30'!$R371-'PAA V30'!$S371</f>
        <v>0</v>
      </c>
      <c r="U371" s="1327"/>
      <c r="V371" s="1327"/>
      <c r="W371" s="1327"/>
    </row>
    <row r="372" spans="1:23" s="1204" customFormat="1" ht="90" hidden="1" x14ac:dyDescent="0.2">
      <c r="A372" s="1169">
        <v>2022406</v>
      </c>
      <c r="B372" s="1169">
        <v>7658</v>
      </c>
      <c r="C372" s="1326" t="s">
        <v>673</v>
      </c>
      <c r="D372" s="1187" t="s">
        <v>693</v>
      </c>
      <c r="E372" s="1171">
        <v>80111600</v>
      </c>
      <c r="F372" s="1349" t="s">
        <v>1047</v>
      </c>
      <c r="G372" s="1343">
        <v>44562</v>
      </c>
      <c r="H372" s="1343">
        <v>44592</v>
      </c>
      <c r="I372" s="1173">
        <v>10</v>
      </c>
      <c r="J372" s="1173" t="s">
        <v>677</v>
      </c>
      <c r="K372" s="1174" t="s">
        <v>678</v>
      </c>
      <c r="L372" s="1175" t="s">
        <v>951</v>
      </c>
      <c r="M372" s="1176">
        <v>82400000</v>
      </c>
      <c r="N372" s="1344" t="s">
        <v>1032</v>
      </c>
      <c r="O372" s="1171" t="s">
        <v>1033</v>
      </c>
      <c r="P372" s="1350" t="s">
        <v>682</v>
      </c>
      <c r="Q372" s="1160"/>
      <c r="R372" s="1327">
        <v>82400000</v>
      </c>
      <c r="S372" s="1327">
        <v>82400000</v>
      </c>
      <c r="T372" s="1327">
        <f>+'PAA V30'!$R372-'PAA V30'!$S372</f>
        <v>0</v>
      </c>
      <c r="U372" s="1327">
        <v>82400000</v>
      </c>
      <c r="V372" s="1327">
        <v>35706667</v>
      </c>
      <c r="W372" s="1327"/>
    </row>
    <row r="373" spans="1:23" s="1204" customFormat="1" ht="90" hidden="1" x14ac:dyDescent="0.2">
      <c r="A373" s="1169">
        <v>2022407</v>
      </c>
      <c r="B373" s="1169">
        <v>7658</v>
      </c>
      <c r="C373" s="1326" t="s">
        <v>673</v>
      </c>
      <c r="D373" s="1187" t="s">
        <v>693</v>
      </c>
      <c r="E373" s="1171">
        <v>80111600</v>
      </c>
      <c r="F373" s="1349" t="s">
        <v>1048</v>
      </c>
      <c r="G373" s="1343">
        <v>44562</v>
      </c>
      <c r="H373" s="1343">
        <v>44592</v>
      </c>
      <c r="I373" s="1173">
        <v>6</v>
      </c>
      <c r="J373" s="1173" t="s">
        <v>677</v>
      </c>
      <c r="K373" s="1174" t="s">
        <v>678</v>
      </c>
      <c r="L373" s="1175" t="s">
        <v>951</v>
      </c>
      <c r="M373" s="1176">
        <v>49440000</v>
      </c>
      <c r="N373" s="1344" t="s">
        <v>1032</v>
      </c>
      <c r="O373" s="1171" t="s">
        <v>1033</v>
      </c>
      <c r="P373" s="1350" t="s">
        <v>682</v>
      </c>
      <c r="Q373" s="1160"/>
      <c r="R373" s="1327">
        <v>49440000</v>
      </c>
      <c r="S373" s="1327">
        <v>49440000</v>
      </c>
      <c r="T373" s="1327">
        <f>+'PAA V30'!$R373-'PAA V30'!$S373</f>
        <v>0</v>
      </c>
      <c r="U373" s="1327">
        <v>49440000</v>
      </c>
      <c r="V373" s="1327">
        <v>34882667</v>
      </c>
      <c r="W373" s="1327"/>
    </row>
    <row r="374" spans="1:23" s="1204" customFormat="1" ht="90" hidden="1" x14ac:dyDescent="0.2">
      <c r="A374" s="1169">
        <v>2022408</v>
      </c>
      <c r="B374" s="1169">
        <v>7658</v>
      </c>
      <c r="C374" s="1326" t="s">
        <v>673</v>
      </c>
      <c r="D374" s="1187" t="s">
        <v>693</v>
      </c>
      <c r="E374" s="1171">
        <v>80111600</v>
      </c>
      <c r="F374" s="1349" t="s">
        <v>1048</v>
      </c>
      <c r="G374" s="1343">
        <v>44562</v>
      </c>
      <c r="H374" s="1343">
        <v>44592</v>
      </c>
      <c r="I374" s="1173">
        <v>4</v>
      </c>
      <c r="J374" s="1173" t="s">
        <v>677</v>
      </c>
      <c r="K374" s="1174" t="s">
        <v>678</v>
      </c>
      <c r="L374" s="1175" t="s">
        <v>951</v>
      </c>
      <c r="M374" s="1176">
        <v>32960000</v>
      </c>
      <c r="N374" s="1344" t="s">
        <v>1032</v>
      </c>
      <c r="O374" s="1171" t="s">
        <v>1033</v>
      </c>
      <c r="P374" s="1350" t="s">
        <v>682</v>
      </c>
      <c r="Q374" s="1160"/>
      <c r="R374" s="1327">
        <v>42000000</v>
      </c>
      <c r="S374" s="1327">
        <v>42000000</v>
      </c>
      <c r="T374" s="1327">
        <f>+'PAA V30'!$R374-'PAA V30'!$S374</f>
        <v>0</v>
      </c>
      <c r="U374" s="1327">
        <v>42000000</v>
      </c>
      <c r="V374" s="1327">
        <v>31266667</v>
      </c>
      <c r="W374" s="1327"/>
    </row>
    <row r="375" spans="1:23" s="1204" customFormat="1" ht="90" hidden="1" x14ac:dyDescent="0.2">
      <c r="A375" s="1169">
        <v>2022409</v>
      </c>
      <c r="B375" s="1169">
        <v>7658</v>
      </c>
      <c r="C375" s="1326" t="s">
        <v>673</v>
      </c>
      <c r="D375" s="1187" t="s">
        <v>693</v>
      </c>
      <c r="E375" s="1171">
        <v>80111601</v>
      </c>
      <c r="F375" s="1349" t="s">
        <v>1049</v>
      </c>
      <c r="G375" s="1343">
        <v>44562</v>
      </c>
      <c r="H375" s="1343">
        <v>44592</v>
      </c>
      <c r="I375" s="1173">
        <v>6</v>
      </c>
      <c r="J375" s="1173" t="s">
        <v>677</v>
      </c>
      <c r="K375" s="1174" t="s">
        <v>678</v>
      </c>
      <c r="L375" s="1175" t="s">
        <v>951</v>
      </c>
      <c r="M375" s="1176">
        <v>42000000</v>
      </c>
      <c r="N375" s="1344" t="s">
        <v>1032</v>
      </c>
      <c r="O375" s="1171" t="s">
        <v>1033</v>
      </c>
      <c r="P375" s="1350" t="s">
        <v>682</v>
      </c>
      <c r="Q375" s="1160"/>
      <c r="R375" s="1266">
        <v>0</v>
      </c>
      <c r="S375" s="1327"/>
      <c r="T375" s="1327">
        <f>+'PAA V30'!$R375-'PAA V30'!$S375</f>
        <v>0</v>
      </c>
      <c r="U375" s="1327"/>
      <c r="V375" s="1327"/>
      <c r="W375" s="1327"/>
    </row>
    <row r="376" spans="1:23" s="1204" customFormat="1" ht="90" hidden="1" x14ac:dyDescent="0.2">
      <c r="A376" s="1169">
        <v>2022410</v>
      </c>
      <c r="B376" s="1169">
        <v>7658</v>
      </c>
      <c r="C376" s="1326" t="s">
        <v>673</v>
      </c>
      <c r="D376" s="1187" t="s">
        <v>693</v>
      </c>
      <c r="E376" s="1171">
        <v>80111601</v>
      </c>
      <c r="F376" s="1349" t="s">
        <v>1049</v>
      </c>
      <c r="G376" s="1343">
        <v>44562</v>
      </c>
      <c r="H376" s="1343">
        <v>44592</v>
      </c>
      <c r="I376" s="1173">
        <v>4</v>
      </c>
      <c r="J376" s="1173" t="s">
        <v>677</v>
      </c>
      <c r="K376" s="1174" t="s">
        <v>678</v>
      </c>
      <c r="L376" s="1175" t="s">
        <v>951</v>
      </c>
      <c r="M376" s="1176">
        <v>28000000</v>
      </c>
      <c r="N376" s="1344" t="s">
        <v>1032</v>
      </c>
      <c r="O376" s="1171" t="s">
        <v>1033</v>
      </c>
      <c r="P376" s="1350" t="s">
        <v>682</v>
      </c>
      <c r="Q376" s="1160"/>
      <c r="R376" s="1327">
        <v>28000000</v>
      </c>
      <c r="S376" s="1327"/>
      <c r="T376" s="1327">
        <f>+'PAA V30'!$R376-'PAA V30'!$S376</f>
        <v>28000000</v>
      </c>
      <c r="U376" s="1327"/>
      <c r="V376" s="1327"/>
      <c r="W376" s="1327" t="s">
        <v>1050</v>
      </c>
    </row>
    <row r="377" spans="1:23" s="1204" customFormat="1" ht="90" hidden="1" x14ac:dyDescent="0.2">
      <c r="A377" s="1169">
        <v>2022411</v>
      </c>
      <c r="B377" s="1169">
        <v>7658</v>
      </c>
      <c r="C377" s="1326" t="s">
        <v>673</v>
      </c>
      <c r="D377" s="1187" t="s">
        <v>693</v>
      </c>
      <c r="E377" s="1171">
        <v>80111601</v>
      </c>
      <c r="F377" s="1349" t="s">
        <v>1051</v>
      </c>
      <c r="G377" s="1343">
        <v>44562</v>
      </c>
      <c r="H377" s="1343">
        <v>44592</v>
      </c>
      <c r="I377" s="1173">
        <v>10</v>
      </c>
      <c r="J377" s="1173" t="s">
        <v>677</v>
      </c>
      <c r="K377" s="1174" t="s">
        <v>678</v>
      </c>
      <c r="L377" s="1175" t="s">
        <v>951</v>
      </c>
      <c r="M377" s="1176">
        <v>60000000</v>
      </c>
      <c r="N377" s="1344" t="s">
        <v>1032</v>
      </c>
      <c r="O377" s="1171" t="s">
        <v>1033</v>
      </c>
      <c r="P377" s="1350" t="s">
        <v>682</v>
      </c>
      <c r="Q377" s="1160"/>
      <c r="R377" s="1327">
        <v>60000000</v>
      </c>
      <c r="S377" s="1327">
        <v>60000000</v>
      </c>
      <c r="T377" s="1327">
        <f>+'PAA V30'!$R377-'PAA V30'!$S377</f>
        <v>0</v>
      </c>
      <c r="U377" s="1327">
        <v>60000000</v>
      </c>
      <c r="V377" s="1327">
        <v>32750000</v>
      </c>
      <c r="W377" s="1327"/>
    </row>
    <row r="378" spans="1:23" s="1204" customFormat="1" ht="90" hidden="1" x14ac:dyDescent="0.2">
      <c r="A378" s="1169">
        <v>2022412</v>
      </c>
      <c r="B378" s="1169">
        <v>7658</v>
      </c>
      <c r="C378" s="1326" t="s">
        <v>673</v>
      </c>
      <c r="D378" s="1187" t="s">
        <v>693</v>
      </c>
      <c r="E378" s="1171">
        <v>80111600</v>
      </c>
      <c r="F378" s="1349" t="s">
        <v>1052</v>
      </c>
      <c r="G378" s="1343">
        <v>44562</v>
      </c>
      <c r="H378" s="1343">
        <v>44592</v>
      </c>
      <c r="I378" s="1173">
        <v>10</v>
      </c>
      <c r="J378" s="1173" t="s">
        <v>677</v>
      </c>
      <c r="K378" s="1174" t="s">
        <v>678</v>
      </c>
      <c r="L378" s="1175" t="s">
        <v>951</v>
      </c>
      <c r="M378" s="1176">
        <v>42000000</v>
      </c>
      <c r="N378" s="1344" t="s">
        <v>1032</v>
      </c>
      <c r="O378" s="1171" t="s">
        <v>1033</v>
      </c>
      <c r="P378" s="1350" t="s">
        <v>682</v>
      </c>
      <c r="Q378" s="1160"/>
      <c r="R378" s="1327">
        <v>42000000</v>
      </c>
      <c r="S378" s="1327">
        <v>42000000</v>
      </c>
      <c r="T378" s="1327">
        <f>+'PAA V30'!$R378-'PAA V30'!$S378</f>
        <v>0</v>
      </c>
      <c r="U378" s="1327">
        <v>42000000</v>
      </c>
      <c r="V378" s="1327">
        <v>18620000</v>
      </c>
      <c r="W378" s="1327"/>
    </row>
    <row r="379" spans="1:23" s="1204" customFormat="1" ht="90" hidden="1" x14ac:dyDescent="0.2">
      <c r="A379" s="1169">
        <v>2022413</v>
      </c>
      <c r="B379" s="1169">
        <v>7658</v>
      </c>
      <c r="C379" s="1326" t="s">
        <v>673</v>
      </c>
      <c r="D379" s="1187" t="s">
        <v>693</v>
      </c>
      <c r="E379" s="1171">
        <v>80111600</v>
      </c>
      <c r="F379" s="1349" t="s">
        <v>1053</v>
      </c>
      <c r="G379" s="1343">
        <v>44562</v>
      </c>
      <c r="H379" s="1343">
        <v>44592</v>
      </c>
      <c r="I379" s="1173">
        <v>10</v>
      </c>
      <c r="J379" s="1173" t="s">
        <v>677</v>
      </c>
      <c r="K379" s="1174" t="s">
        <v>678</v>
      </c>
      <c r="L379" s="1175" t="s">
        <v>951</v>
      </c>
      <c r="M379" s="1176">
        <v>82400000</v>
      </c>
      <c r="N379" s="1344" t="s">
        <v>1032</v>
      </c>
      <c r="O379" s="1171" t="s">
        <v>1033</v>
      </c>
      <c r="P379" s="1350" t="s">
        <v>682</v>
      </c>
      <c r="Q379" s="1160"/>
      <c r="R379" s="1327">
        <v>82400000</v>
      </c>
      <c r="S379" s="1327">
        <v>82400000</v>
      </c>
      <c r="T379" s="1327">
        <f>+'PAA V30'!$R379-'PAA V30'!$S379</f>
        <v>0</v>
      </c>
      <c r="U379" s="1327">
        <v>82400000</v>
      </c>
      <c r="V379" s="1327">
        <v>34882667</v>
      </c>
      <c r="W379" s="1327"/>
    </row>
    <row r="380" spans="1:23" s="1204" customFormat="1" ht="90" hidden="1" x14ac:dyDescent="0.2">
      <c r="A380" s="1169">
        <v>2022414</v>
      </c>
      <c r="B380" s="1169">
        <v>7658</v>
      </c>
      <c r="C380" s="1326" t="s">
        <v>673</v>
      </c>
      <c r="D380" s="1187" t="s">
        <v>693</v>
      </c>
      <c r="E380" s="1171">
        <v>80111600</v>
      </c>
      <c r="F380" s="1349" t="s">
        <v>1054</v>
      </c>
      <c r="G380" s="1343">
        <v>44562</v>
      </c>
      <c r="H380" s="1343">
        <v>44592</v>
      </c>
      <c r="I380" s="1173">
        <v>10</v>
      </c>
      <c r="J380" s="1173" t="s">
        <v>677</v>
      </c>
      <c r="K380" s="1174" t="s">
        <v>678</v>
      </c>
      <c r="L380" s="1175" t="s">
        <v>951</v>
      </c>
      <c r="M380" s="1176">
        <v>42000000</v>
      </c>
      <c r="N380" s="1344" t="s">
        <v>1032</v>
      </c>
      <c r="O380" s="1171" t="s">
        <v>1033</v>
      </c>
      <c r="P380" s="1350" t="s">
        <v>682</v>
      </c>
      <c r="Q380" s="1160"/>
      <c r="R380" s="1327">
        <v>42000000</v>
      </c>
      <c r="S380" s="1327">
        <v>42000000</v>
      </c>
      <c r="T380" s="1327">
        <f>+'PAA V30'!$R380-'PAA V30'!$S380</f>
        <v>0</v>
      </c>
      <c r="U380" s="1327">
        <v>42000000</v>
      </c>
      <c r="V380" s="1327">
        <v>18620000</v>
      </c>
      <c r="W380" s="1327"/>
    </row>
    <row r="381" spans="1:23" s="1204" customFormat="1" ht="90" hidden="1" x14ac:dyDescent="0.2">
      <c r="A381" s="1169">
        <v>2022415</v>
      </c>
      <c r="B381" s="1169">
        <v>7658</v>
      </c>
      <c r="C381" s="1326" t="s">
        <v>673</v>
      </c>
      <c r="D381" s="1187" t="s">
        <v>693</v>
      </c>
      <c r="E381" s="1171">
        <v>80111600</v>
      </c>
      <c r="F381" s="1349" t="s">
        <v>1055</v>
      </c>
      <c r="G381" s="1343">
        <v>44562</v>
      </c>
      <c r="H381" s="1343">
        <v>44592</v>
      </c>
      <c r="I381" s="1173">
        <v>10</v>
      </c>
      <c r="J381" s="1173" t="s">
        <v>677</v>
      </c>
      <c r="K381" s="1174" t="s">
        <v>678</v>
      </c>
      <c r="L381" s="1175" t="s">
        <v>951</v>
      </c>
      <c r="M381" s="1176">
        <v>50000000</v>
      </c>
      <c r="N381" s="1344" t="s">
        <v>1032</v>
      </c>
      <c r="O381" s="1171" t="s">
        <v>1033</v>
      </c>
      <c r="P381" s="1350" t="s">
        <v>682</v>
      </c>
      <c r="Q381" s="1160"/>
      <c r="R381" s="1327">
        <v>50000000</v>
      </c>
      <c r="S381" s="1327">
        <v>50000000</v>
      </c>
      <c r="T381" s="1327">
        <f>+'PAA V30'!$R381-'PAA V30'!$S381</f>
        <v>0</v>
      </c>
      <c r="U381" s="1327">
        <v>50000000</v>
      </c>
      <c r="V381" s="1327">
        <v>20666667</v>
      </c>
      <c r="W381" s="1327"/>
    </row>
    <row r="382" spans="1:23" s="1204" customFormat="1" ht="90" hidden="1" x14ac:dyDescent="0.2">
      <c r="A382" s="1169">
        <v>2022416</v>
      </c>
      <c r="B382" s="1169">
        <v>7658</v>
      </c>
      <c r="C382" s="1326" t="s">
        <v>673</v>
      </c>
      <c r="D382" s="1187" t="s">
        <v>693</v>
      </c>
      <c r="E382" s="1171">
        <v>80111600</v>
      </c>
      <c r="F382" s="1349" t="s">
        <v>1056</v>
      </c>
      <c r="G382" s="1343">
        <v>44562</v>
      </c>
      <c r="H382" s="1343">
        <v>44592</v>
      </c>
      <c r="I382" s="1173">
        <v>6</v>
      </c>
      <c r="J382" s="1173" t="s">
        <v>677</v>
      </c>
      <c r="K382" s="1174" t="s">
        <v>678</v>
      </c>
      <c r="L382" s="1175" t="s">
        <v>951</v>
      </c>
      <c r="M382" s="1176">
        <f>20100000-6700000</f>
        <v>13400000</v>
      </c>
      <c r="N382" s="1344" t="s">
        <v>1032</v>
      </c>
      <c r="O382" s="1171" t="s">
        <v>1033</v>
      </c>
      <c r="P382" s="1350" t="s">
        <v>682</v>
      </c>
      <c r="Q382" s="1160"/>
      <c r="R382" s="1327">
        <v>13400000</v>
      </c>
      <c r="S382" s="1327">
        <v>13400000</v>
      </c>
      <c r="T382" s="1327">
        <f>+'PAA V30'!$R382-'PAA V30'!$S382</f>
        <v>0</v>
      </c>
      <c r="U382" s="1327">
        <v>13400000</v>
      </c>
      <c r="V382" s="1327">
        <v>13400000</v>
      </c>
      <c r="W382" s="1327"/>
    </row>
    <row r="383" spans="1:23" s="1204" customFormat="1" ht="90" hidden="1" x14ac:dyDescent="0.2">
      <c r="A383" s="1169">
        <v>2022417</v>
      </c>
      <c r="B383" s="1169">
        <v>7658</v>
      </c>
      <c r="C383" s="1326" t="s">
        <v>673</v>
      </c>
      <c r="D383" s="1187" t="s">
        <v>693</v>
      </c>
      <c r="E383" s="1171">
        <v>80111600</v>
      </c>
      <c r="F383" s="1349" t="s">
        <v>1057</v>
      </c>
      <c r="G383" s="1343">
        <v>44562</v>
      </c>
      <c r="H383" s="1343">
        <v>44592</v>
      </c>
      <c r="I383" s="1173">
        <v>4</v>
      </c>
      <c r="J383" s="1173" t="s">
        <v>677</v>
      </c>
      <c r="K383" s="1174" t="s">
        <v>678</v>
      </c>
      <c r="L383" s="1175" t="s">
        <v>951</v>
      </c>
      <c r="M383" s="1176">
        <v>20600000</v>
      </c>
      <c r="N383" s="1344" t="s">
        <v>1032</v>
      </c>
      <c r="O383" s="1171" t="s">
        <v>1033</v>
      </c>
      <c r="P383" s="1350" t="s">
        <v>682</v>
      </c>
      <c r="Q383" s="1160"/>
      <c r="R383" s="1327">
        <v>20600000</v>
      </c>
      <c r="S383" s="1327">
        <v>20600000</v>
      </c>
      <c r="T383" s="1327">
        <f>+'PAA V30'!$R383-'PAA V30'!$S383</f>
        <v>0</v>
      </c>
      <c r="U383" s="1327">
        <v>20600000</v>
      </c>
      <c r="V383" s="1327">
        <v>17853333</v>
      </c>
      <c r="W383" s="1327"/>
    </row>
    <row r="384" spans="1:23" s="1204" customFormat="1" ht="90" hidden="1" x14ac:dyDescent="0.2">
      <c r="A384" s="1169">
        <v>2022418</v>
      </c>
      <c r="B384" s="1169">
        <v>7658</v>
      </c>
      <c r="C384" s="1326" t="s">
        <v>673</v>
      </c>
      <c r="D384" s="1187" t="s">
        <v>693</v>
      </c>
      <c r="E384" s="1171">
        <v>80111600</v>
      </c>
      <c r="F384" s="1349" t="s">
        <v>1057</v>
      </c>
      <c r="G384" s="1343">
        <v>44562</v>
      </c>
      <c r="H384" s="1343">
        <v>44592</v>
      </c>
      <c r="I384" s="1173">
        <v>6</v>
      </c>
      <c r="J384" s="1173" t="s">
        <v>677</v>
      </c>
      <c r="K384" s="1174" t="s">
        <v>678</v>
      </c>
      <c r="L384" s="1175" t="s">
        <v>951</v>
      </c>
      <c r="M384" s="1176">
        <f>30900000-5150000</f>
        <v>25750000</v>
      </c>
      <c r="N384" s="1344" t="s">
        <v>1032</v>
      </c>
      <c r="O384" s="1171" t="s">
        <v>1033</v>
      </c>
      <c r="P384" s="1350" t="s">
        <v>682</v>
      </c>
      <c r="Q384" s="1160"/>
      <c r="R384" s="1327">
        <v>25750000</v>
      </c>
      <c r="S384" s="1327"/>
      <c r="T384" s="1327">
        <f>+'PAA V30'!$R384-'PAA V30'!$S384</f>
        <v>25750000</v>
      </c>
      <c r="U384" s="1327"/>
      <c r="V384" s="1327"/>
      <c r="W384" s="1327" t="s">
        <v>1058</v>
      </c>
    </row>
    <row r="385" spans="1:23" s="1204" customFormat="1" ht="90" hidden="1" x14ac:dyDescent="0.2">
      <c r="A385" s="1169">
        <v>2022419</v>
      </c>
      <c r="B385" s="1169">
        <v>7658</v>
      </c>
      <c r="C385" s="1326" t="s">
        <v>673</v>
      </c>
      <c r="D385" s="1187" t="s">
        <v>693</v>
      </c>
      <c r="E385" s="1171">
        <v>80111600</v>
      </c>
      <c r="F385" s="1349" t="s">
        <v>1059</v>
      </c>
      <c r="G385" s="1343">
        <v>44562</v>
      </c>
      <c r="H385" s="1343">
        <v>44592</v>
      </c>
      <c r="I385" s="1173">
        <v>10</v>
      </c>
      <c r="J385" s="1173" t="s">
        <v>677</v>
      </c>
      <c r="K385" s="1174" t="s">
        <v>678</v>
      </c>
      <c r="L385" s="1175" t="s">
        <v>951</v>
      </c>
      <c r="M385" s="1176">
        <v>28000000</v>
      </c>
      <c r="N385" s="1344" t="s">
        <v>1032</v>
      </c>
      <c r="O385" s="1171" t="s">
        <v>1033</v>
      </c>
      <c r="P385" s="1350" t="s">
        <v>682</v>
      </c>
      <c r="Q385" s="1160"/>
      <c r="R385" s="1327">
        <v>28000000</v>
      </c>
      <c r="S385" s="1327">
        <v>28000000</v>
      </c>
      <c r="T385" s="1327">
        <f>+'PAA V30'!$R385-'PAA V30'!$S385</f>
        <v>0</v>
      </c>
      <c r="U385" s="1327">
        <v>28000000</v>
      </c>
      <c r="V385" s="1327">
        <v>11853333</v>
      </c>
      <c r="W385" s="1327"/>
    </row>
    <row r="386" spans="1:23" s="1204" customFormat="1" ht="90" hidden="1" x14ac:dyDescent="0.2">
      <c r="A386" s="1169">
        <v>2022420</v>
      </c>
      <c r="B386" s="1169">
        <v>7658</v>
      </c>
      <c r="C386" s="1326" t="s">
        <v>673</v>
      </c>
      <c r="D386" s="1187" t="s">
        <v>693</v>
      </c>
      <c r="E386" s="1171">
        <v>80111600</v>
      </c>
      <c r="F386" s="1349" t="s">
        <v>1060</v>
      </c>
      <c r="G386" s="1343">
        <v>44562</v>
      </c>
      <c r="H386" s="1343">
        <v>44592</v>
      </c>
      <c r="I386" s="1173">
        <v>10</v>
      </c>
      <c r="J386" s="1173" t="s">
        <v>677</v>
      </c>
      <c r="K386" s="1174" t="s">
        <v>678</v>
      </c>
      <c r="L386" s="1175" t="s">
        <v>951</v>
      </c>
      <c r="M386" s="1176">
        <v>28500000</v>
      </c>
      <c r="N386" s="1344" t="s">
        <v>1032</v>
      </c>
      <c r="O386" s="1171" t="s">
        <v>1033</v>
      </c>
      <c r="P386" s="1350" t="s">
        <v>682</v>
      </c>
      <c r="Q386" s="1160"/>
      <c r="R386" s="1327">
        <v>28500000</v>
      </c>
      <c r="S386" s="1327">
        <v>28500000</v>
      </c>
      <c r="T386" s="1327">
        <f>+'PAA V30'!$R386-'PAA V30'!$S386</f>
        <v>0</v>
      </c>
      <c r="U386" s="1327">
        <v>28500000</v>
      </c>
      <c r="V386" s="1327">
        <v>12635000</v>
      </c>
      <c r="W386" s="1327"/>
    </row>
    <row r="387" spans="1:23" s="1204" customFormat="1" ht="90" hidden="1" x14ac:dyDescent="0.2">
      <c r="A387" s="1169">
        <v>2022421</v>
      </c>
      <c r="B387" s="1169">
        <v>7658</v>
      </c>
      <c r="C387" s="1326" t="s">
        <v>673</v>
      </c>
      <c r="D387" s="1187" t="s">
        <v>693</v>
      </c>
      <c r="E387" s="1171">
        <v>80111600</v>
      </c>
      <c r="F387" s="1349" t="s">
        <v>1061</v>
      </c>
      <c r="G387" s="1343">
        <v>44562</v>
      </c>
      <c r="H387" s="1343">
        <v>44592</v>
      </c>
      <c r="I387" s="1173">
        <v>10</v>
      </c>
      <c r="J387" s="1173" t="s">
        <v>677</v>
      </c>
      <c r="K387" s="1174" t="s">
        <v>678</v>
      </c>
      <c r="L387" s="1175" t="s">
        <v>951</v>
      </c>
      <c r="M387" s="1176">
        <f>45000000-6500000</f>
        <v>38500000</v>
      </c>
      <c r="N387" s="1344" t="s">
        <v>1032</v>
      </c>
      <c r="O387" s="1171" t="s">
        <v>1033</v>
      </c>
      <c r="P387" s="1350" t="s">
        <v>682</v>
      </c>
      <c r="Q387" s="1160"/>
      <c r="R387" s="1327">
        <v>38500000</v>
      </c>
      <c r="S387" s="1327">
        <v>38500000</v>
      </c>
      <c r="T387" s="1327">
        <f>+'PAA V30'!$R387-'PAA V30'!$S387</f>
        <v>0</v>
      </c>
      <c r="U387" s="1327">
        <v>38500000</v>
      </c>
      <c r="V387" s="1327">
        <v>15913333</v>
      </c>
      <c r="W387" s="1327"/>
    </row>
    <row r="388" spans="1:23" s="1204" customFormat="1" ht="90" hidden="1" x14ac:dyDescent="0.2">
      <c r="A388" s="1169">
        <v>2022422</v>
      </c>
      <c r="B388" s="1169">
        <v>7658</v>
      </c>
      <c r="C388" s="1326" t="s">
        <v>673</v>
      </c>
      <c r="D388" s="1187" t="s">
        <v>693</v>
      </c>
      <c r="E388" s="1171">
        <v>80111600</v>
      </c>
      <c r="F388" s="1349" t="s">
        <v>1062</v>
      </c>
      <c r="G388" s="1343">
        <v>44562</v>
      </c>
      <c r="H388" s="1343">
        <v>44592</v>
      </c>
      <c r="I388" s="1173">
        <v>10</v>
      </c>
      <c r="J388" s="1173" t="s">
        <v>677</v>
      </c>
      <c r="K388" s="1174" t="s">
        <v>678</v>
      </c>
      <c r="L388" s="1175" t="s">
        <v>951</v>
      </c>
      <c r="M388" s="1176">
        <f>33000000-18300000</f>
        <v>14700000</v>
      </c>
      <c r="N388" s="1344" t="s">
        <v>1032</v>
      </c>
      <c r="O388" s="1171" t="s">
        <v>1033</v>
      </c>
      <c r="P388" s="1350" t="s">
        <v>682</v>
      </c>
      <c r="Q388" s="1160"/>
      <c r="R388" s="1327">
        <v>33000000</v>
      </c>
      <c r="S388" s="1327">
        <v>33000000</v>
      </c>
      <c r="T388" s="1327">
        <f>+'PAA V30'!$R388-'PAA V30'!$S388</f>
        <v>0</v>
      </c>
      <c r="U388" s="1327">
        <v>33000000</v>
      </c>
      <c r="V388" s="1327">
        <v>14300000</v>
      </c>
      <c r="W388" s="1327"/>
    </row>
    <row r="389" spans="1:23" s="1204" customFormat="1" ht="90" hidden="1" x14ac:dyDescent="0.2">
      <c r="A389" s="1169">
        <v>2022423</v>
      </c>
      <c r="B389" s="1169">
        <v>7658</v>
      </c>
      <c r="C389" s="1326" t="s">
        <v>673</v>
      </c>
      <c r="D389" s="1187" t="s">
        <v>693</v>
      </c>
      <c r="E389" s="1171">
        <v>80111600</v>
      </c>
      <c r="F389" s="1349" t="s">
        <v>1062</v>
      </c>
      <c r="G389" s="1343">
        <v>44562</v>
      </c>
      <c r="H389" s="1343">
        <v>44592</v>
      </c>
      <c r="I389" s="1173">
        <v>10</v>
      </c>
      <c r="J389" s="1173" t="s">
        <v>677</v>
      </c>
      <c r="K389" s="1174" t="s">
        <v>678</v>
      </c>
      <c r="L389" s="1175" t="s">
        <v>951</v>
      </c>
      <c r="M389" s="1176">
        <v>24500000</v>
      </c>
      <c r="N389" s="1344" t="s">
        <v>1032</v>
      </c>
      <c r="O389" s="1171" t="s">
        <v>1033</v>
      </c>
      <c r="P389" s="1350" t="s">
        <v>682</v>
      </c>
      <c r="Q389" s="1160"/>
      <c r="R389" s="1327">
        <v>24500000</v>
      </c>
      <c r="S389" s="1327">
        <v>24500000</v>
      </c>
      <c r="T389" s="1327">
        <f>+'PAA V30'!$R389-'PAA V30'!$S389</f>
        <v>0</v>
      </c>
      <c r="U389" s="1327">
        <v>24500000</v>
      </c>
      <c r="V389" s="1327">
        <v>10208333</v>
      </c>
      <c r="W389" s="1327"/>
    </row>
    <row r="390" spans="1:23" s="1204" customFormat="1" ht="90" hidden="1" x14ac:dyDescent="0.2">
      <c r="A390" s="1169">
        <v>2022424</v>
      </c>
      <c r="B390" s="1169">
        <v>7658</v>
      </c>
      <c r="C390" s="1326" t="s">
        <v>673</v>
      </c>
      <c r="D390" s="1187" t="s">
        <v>693</v>
      </c>
      <c r="E390" s="1171">
        <v>80111600</v>
      </c>
      <c r="F390" s="1349" t="s">
        <v>1062</v>
      </c>
      <c r="G390" s="1343">
        <v>44562</v>
      </c>
      <c r="H390" s="1343">
        <v>44592</v>
      </c>
      <c r="I390" s="1173">
        <v>10</v>
      </c>
      <c r="J390" s="1173" t="s">
        <v>677</v>
      </c>
      <c r="K390" s="1174" t="s">
        <v>678</v>
      </c>
      <c r="L390" s="1175" t="s">
        <v>951</v>
      </c>
      <c r="M390" s="1176">
        <v>33000000</v>
      </c>
      <c r="N390" s="1344" t="s">
        <v>1032</v>
      </c>
      <c r="O390" s="1171" t="s">
        <v>1033</v>
      </c>
      <c r="P390" s="1350" t="s">
        <v>682</v>
      </c>
      <c r="Q390" s="1160"/>
      <c r="R390" s="1327">
        <v>19800000</v>
      </c>
      <c r="S390" s="1327">
        <v>19800000</v>
      </c>
      <c r="T390" s="1327">
        <f>+'PAA V30'!$R390-'PAA V30'!$S390</f>
        <v>0</v>
      </c>
      <c r="U390" s="1327">
        <v>19800000</v>
      </c>
      <c r="V390" s="1327">
        <v>13200000</v>
      </c>
      <c r="W390" s="1327"/>
    </row>
    <row r="391" spans="1:23" s="1204" customFormat="1" ht="90" hidden="1" x14ac:dyDescent="0.2">
      <c r="A391" s="1169">
        <v>2022425</v>
      </c>
      <c r="B391" s="1169">
        <v>7658</v>
      </c>
      <c r="C391" s="1326" t="s">
        <v>673</v>
      </c>
      <c r="D391" s="1187" t="s">
        <v>693</v>
      </c>
      <c r="E391" s="1171">
        <v>80111600</v>
      </c>
      <c r="F391" s="1349" t="s">
        <v>1062</v>
      </c>
      <c r="G391" s="1343">
        <v>44562</v>
      </c>
      <c r="H391" s="1343">
        <v>44592</v>
      </c>
      <c r="I391" s="1173">
        <v>10</v>
      </c>
      <c r="J391" s="1173" t="s">
        <v>677</v>
      </c>
      <c r="K391" s="1174" t="s">
        <v>678</v>
      </c>
      <c r="L391" s="1175" t="s">
        <v>951</v>
      </c>
      <c r="M391" s="1176">
        <f>27500000-1100000</f>
        <v>26400000</v>
      </c>
      <c r="N391" s="1344" t="s">
        <v>1032</v>
      </c>
      <c r="O391" s="1171" t="s">
        <v>1033</v>
      </c>
      <c r="P391" s="1350" t="s">
        <v>682</v>
      </c>
      <c r="Q391" s="1160"/>
      <c r="R391" s="1327">
        <v>26400000</v>
      </c>
      <c r="S391" s="1327">
        <v>26400000</v>
      </c>
      <c r="T391" s="1327">
        <f>+'PAA V30'!$R391-'PAA V30'!$S391</f>
        <v>0</v>
      </c>
      <c r="U391" s="1327">
        <v>26400000</v>
      </c>
      <c r="V391" s="1327">
        <v>13750000</v>
      </c>
      <c r="W391" s="1327"/>
    </row>
    <row r="392" spans="1:23" s="1204" customFormat="1" ht="90" hidden="1" x14ac:dyDescent="0.2">
      <c r="A392" s="1169">
        <v>2022426</v>
      </c>
      <c r="B392" s="1169">
        <v>7658</v>
      </c>
      <c r="C392" s="1326" t="s">
        <v>673</v>
      </c>
      <c r="D392" s="1187" t="s">
        <v>693</v>
      </c>
      <c r="E392" s="1171">
        <v>80111600</v>
      </c>
      <c r="F392" s="1349" t="s">
        <v>1062</v>
      </c>
      <c r="G392" s="1343">
        <v>44562</v>
      </c>
      <c r="H392" s="1343">
        <v>44592</v>
      </c>
      <c r="I392" s="1173">
        <v>10</v>
      </c>
      <c r="J392" s="1173" t="s">
        <v>677</v>
      </c>
      <c r="K392" s="1174" t="s">
        <v>678</v>
      </c>
      <c r="L392" s="1175" t="s">
        <v>951</v>
      </c>
      <c r="M392" s="1176">
        <v>33000000</v>
      </c>
      <c r="N392" s="1344" t="s">
        <v>1032</v>
      </c>
      <c r="O392" s="1171" t="s">
        <v>1033</v>
      </c>
      <c r="P392" s="1350" t="s">
        <v>682</v>
      </c>
      <c r="Q392" s="1160"/>
      <c r="R392" s="1327">
        <v>14700000</v>
      </c>
      <c r="S392" s="1327">
        <v>14700000</v>
      </c>
      <c r="T392" s="1327">
        <f>+'PAA V30'!$R392-'PAA V30'!$S392</f>
        <v>0</v>
      </c>
      <c r="U392" s="1327">
        <v>14700000</v>
      </c>
      <c r="V392" s="1327">
        <v>9800000</v>
      </c>
      <c r="W392" s="1327"/>
    </row>
    <row r="393" spans="1:23" s="1204" customFormat="1" ht="90" hidden="1" x14ac:dyDescent="0.2">
      <c r="A393" s="1169">
        <v>2022427</v>
      </c>
      <c r="B393" s="1169">
        <v>7658</v>
      </c>
      <c r="C393" s="1326" t="s">
        <v>673</v>
      </c>
      <c r="D393" s="1187" t="s">
        <v>693</v>
      </c>
      <c r="E393" s="1171">
        <v>80111600</v>
      </c>
      <c r="F393" s="1349" t="s">
        <v>1062</v>
      </c>
      <c r="G393" s="1343">
        <v>44562</v>
      </c>
      <c r="H393" s="1343">
        <v>44592</v>
      </c>
      <c r="I393" s="1173">
        <v>10</v>
      </c>
      <c r="J393" s="1173" t="s">
        <v>677</v>
      </c>
      <c r="K393" s="1174" t="s">
        <v>678</v>
      </c>
      <c r="L393" s="1175" t="s">
        <v>951</v>
      </c>
      <c r="M393" s="1176">
        <f>33000000-13200000</f>
        <v>19800000</v>
      </c>
      <c r="N393" s="1344" t="s">
        <v>1032</v>
      </c>
      <c r="O393" s="1171" t="s">
        <v>1033</v>
      </c>
      <c r="P393" s="1350" t="s">
        <v>682</v>
      </c>
      <c r="Q393" s="1160"/>
      <c r="R393" s="1327">
        <v>33000000</v>
      </c>
      <c r="S393" s="1327">
        <v>33000000</v>
      </c>
      <c r="T393" s="1327">
        <f>+'PAA V30'!$R393-'PAA V30'!$S393</f>
        <v>0</v>
      </c>
      <c r="U393" s="1327">
        <v>33000000</v>
      </c>
      <c r="V393" s="1327">
        <v>13750000</v>
      </c>
      <c r="W393" s="1327"/>
    </row>
    <row r="394" spans="1:23" s="1204" customFormat="1" ht="90" hidden="1" x14ac:dyDescent="0.2">
      <c r="A394" s="1169">
        <v>2022428</v>
      </c>
      <c r="B394" s="1169">
        <v>7658</v>
      </c>
      <c r="C394" s="1326" t="s">
        <v>673</v>
      </c>
      <c r="D394" s="1187" t="s">
        <v>693</v>
      </c>
      <c r="E394" s="1171">
        <v>80111600</v>
      </c>
      <c r="F394" s="1349" t="s">
        <v>1059</v>
      </c>
      <c r="G394" s="1343">
        <v>44562</v>
      </c>
      <c r="H394" s="1343">
        <v>44592</v>
      </c>
      <c r="I394" s="1173">
        <v>10</v>
      </c>
      <c r="J394" s="1173" t="s">
        <v>677</v>
      </c>
      <c r="K394" s="1174" t="s">
        <v>678</v>
      </c>
      <c r="L394" s="1175" t="s">
        <v>951</v>
      </c>
      <c r="M394" s="1176">
        <v>28000000</v>
      </c>
      <c r="N394" s="1344" t="s">
        <v>1032</v>
      </c>
      <c r="O394" s="1171" t="s">
        <v>1033</v>
      </c>
      <c r="P394" s="1350" t="s">
        <v>682</v>
      </c>
      <c r="Q394" s="1160"/>
      <c r="R394" s="1327">
        <v>28000000</v>
      </c>
      <c r="S394" s="1327">
        <v>28000000</v>
      </c>
      <c r="T394" s="1327">
        <f>+'PAA V30'!$R394-'PAA V30'!$S394</f>
        <v>0</v>
      </c>
      <c r="U394" s="1327">
        <v>28000000</v>
      </c>
      <c r="V394" s="1327">
        <v>12226667</v>
      </c>
      <c r="W394" s="1327"/>
    </row>
    <row r="395" spans="1:23" s="1204" customFormat="1" ht="90" hidden="1" x14ac:dyDescent="0.2">
      <c r="A395" s="1169">
        <v>2022429</v>
      </c>
      <c r="B395" s="1169">
        <v>7658</v>
      </c>
      <c r="C395" s="1326" t="s">
        <v>673</v>
      </c>
      <c r="D395" s="1187" t="s">
        <v>693</v>
      </c>
      <c r="E395" s="1171">
        <v>80111600</v>
      </c>
      <c r="F395" s="1349" t="s">
        <v>1059</v>
      </c>
      <c r="G395" s="1343">
        <v>44562</v>
      </c>
      <c r="H395" s="1343">
        <v>44592</v>
      </c>
      <c r="I395" s="1173">
        <v>10</v>
      </c>
      <c r="J395" s="1173" t="s">
        <v>677</v>
      </c>
      <c r="K395" s="1174" t="s">
        <v>678</v>
      </c>
      <c r="L395" s="1175" t="s">
        <v>951</v>
      </c>
      <c r="M395" s="1176">
        <v>28000000</v>
      </c>
      <c r="N395" s="1344" t="s">
        <v>1032</v>
      </c>
      <c r="O395" s="1171" t="s">
        <v>1033</v>
      </c>
      <c r="P395" s="1350" t="s">
        <v>682</v>
      </c>
      <c r="Q395" s="1160"/>
      <c r="R395" s="1327">
        <v>28000000</v>
      </c>
      <c r="S395" s="1327">
        <v>28000000</v>
      </c>
      <c r="T395" s="1327">
        <f>+'PAA V30'!$R395-'PAA V30'!$S395</f>
        <v>0</v>
      </c>
      <c r="U395" s="1327">
        <v>28000000</v>
      </c>
      <c r="V395" s="1327">
        <v>11666667</v>
      </c>
      <c r="W395" s="1327"/>
    </row>
    <row r="396" spans="1:23" s="1204" customFormat="1" ht="90" hidden="1" x14ac:dyDescent="0.2">
      <c r="A396" s="1169">
        <v>2022430</v>
      </c>
      <c r="B396" s="1169">
        <v>7658</v>
      </c>
      <c r="C396" s="1326" t="s">
        <v>673</v>
      </c>
      <c r="D396" s="1187" t="s">
        <v>693</v>
      </c>
      <c r="E396" s="1171">
        <v>80111600</v>
      </c>
      <c r="F396" s="1349" t="s">
        <v>1063</v>
      </c>
      <c r="G396" s="1343">
        <v>44562</v>
      </c>
      <c r="H396" s="1343">
        <v>44592</v>
      </c>
      <c r="I396" s="1173">
        <v>10</v>
      </c>
      <c r="J396" s="1173" t="s">
        <v>677</v>
      </c>
      <c r="K396" s="1174" t="s">
        <v>678</v>
      </c>
      <c r="L396" s="1175" t="s">
        <v>951</v>
      </c>
      <c r="M396" s="1176">
        <v>45000000</v>
      </c>
      <c r="N396" s="1344" t="s">
        <v>1032</v>
      </c>
      <c r="O396" s="1171" t="s">
        <v>1033</v>
      </c>
      <c r="P396" s="1350" t="s">
        <v>682</v>
      </c>
      <c r="Q396" s="1160"/>
      <c r="R396" s="1327">
        <v>45000000</v>
      </c>
      <c r="S396" s="1327">
        <v>45000000</v>
      </c>
      <c r="T396" s="1327">
        <f>+'PAA V30'!$R396-'PAA V30'!$S396</f>
        <v>0</v>
      </c>
      <c r="U396" s="1327">
        <v>45000000</v>
      </c>
      <c r="V396" s="1327">
        <v>19500000</v>
      </c>
      <c r="W396" s="1327"/>
    </row>
    <row r="397" spans="1:23" s="1204" customFormat="1" ht="90" hidden="1" x14ac:dyDescent="0.2">
      <c r="A397" s="1169">
        <v>2022431</v>
      </c>
      <c r="B397" s="1169">
        <v>7658</v>
      </c>
      <c r="C397" s="1326" t="s">
        <v>673</v>
      </c>
      <c r="D397" s="1187" t="s">
        <v>693</v>
      </c>
      <c r="E397" s="1171">
        <v>80111600</v>
      </c>
      <c r="F397" s="1349" t="s">
        <v>1064</v>
      </c>
      <c r="G397" s="1343">
        <v>44562</v>
      </c>
      <c r="H397" s="1343">
        <v>44592</v>
      </c>
      <c r="I397" s="1173">
        <v>10</v>
      </c>
      <c r="J397" s="1173" t="s">
        <v>677</v>
      </c>
      <c r="K397" s="1174" t="s">
        <v>678</v>
      </c>
      <c r="L397" s="1175" t="s">
        <v>951</v>
      </c>
      <c r="M397" s="1176">
        <v>24500000</v>
      </c>
      <c r="N397" s="1344" t="s">
        <v>1032</v>
      </c>
      <c r="O397" s="1171" t="s">
        <v>1033</v>
      </c>
      <c r="P397" s="1350" t="s">
        <v>682</v>
      </c>
      <c r="Q397" s="1160"/>
      <c r="R397" s="1327">
        <v>24500000</v>
      </c>
      <c r="S397" s="1327">
        <v>24500000</v>
      </c>
      <c r="T397" s="1327">
        <f>+'PAA V30'!$R397-'PAA V30'!$S397</f>
        <v>0</v>
      </c>
      <c r="U397" s="1327">
        <v>24500000</v>
      </c>
      <c r="V397" s="1327">
        <v>10698333</v>
      </c>
      <c r="W397" s="1327"/>
    </row>
    <row r="398" spans="1:23" s="1204" customFormat="1" ht="90" hidden="1" x14ac:dyDescent="0.2">
      <c r="A398" s="1169">
        <v>2022432</v>
      </c>
      <c r="B398" s="1169">
        <v>7658</v>
      </c>
      <c r="C398" s="1326" t="s">
        <v>673</v>
      </c>
      <c r="D398" s="1187" t="s">
        <v>693</v>
      </c>
      <c r="E398" s="1171">
        <v>80111600</v>
      </c>
      <c r="F398" s="1349" t="s">
        <v>1064</v>
      </c>
      <c r="G398" s="1343">
        <v>44562</v>
      </c>
      <c r="H398" s="1343">
        <v>44592</v>
      </c>
      <c r="I398" s="1173">
        <v>10</v>
      </c>
      <c r="J398" s="1173" t="s">
        <v>677</v>
      </c>
      <c r="K398" s="1174" t="s">
        <v>678</v>
      </c>
      <c r="L398" s="1175" t="s">
        <v>951</v>
      </c>
      <c r="M398" s="1176">
        <v>33000000</v>
      </c>
      <c r="N398" s="1344" t="s">
        <v>1032</v>
      </c>
      <c r="O398" s="1171" t="s">
        <v>1033</v>
      </c>
      <c r="P398" s="1350" t="s">
        <v>682</v>
      </c>
      <c r="Q398" s="1160"/>
      <c r="R398" s="1327">
        <v>33000000</v>
      </c>
      <c r="S398" s="1327">
        <v>33000000</v>
      </c>
      <c r="T398" s="1327">
        <f>+'PAA V30'!$R398-'PAA V30'!$S398</f>
        <v>0</v>
      </c>
      <c r="U398" s="1327">
        <v>33000000</v>
      </c>
      <c r="V398" s="1327">
        <v>14630000</v>
      </c>
      <c r="W398" s="1327"/>
    </row>
    <row r="399" spans="1:23" s="1204" customFormat="1" ht="90" hidden="1" x14ac:dyDescent="0.2">
      <c r="A399" s="1169">
        <v>2022433</v>
      </c>
      <c r="B399" s="1169">
        <v>7658</v>
      </c>
      <c r="C399" s="1326" t="s">
        <v>673</v>
      </c>
      <c r="D399" s="1187" t="s">
        <v>693</v>
      </c>
      <c r="E399" s="1171">
        <v>80111600</v>
      </c>
      <c r="F399" s="1349" t="s">
        <v>1064</v>
      </c>
      <c r="G399" s="1343">
        <v>44562</v>
      </c>
      <c r="H399" s="1343">
        <v>44592</v>
      </c>
      <c r="I399" s="1173">
        <v>10</v>
      </c>
      <c r="J399" s="1173" t="s">
        <v>677</v>
      </c>
      <c r="K399" s="1174" t="s">
        <v>678</v>
      </c>
      <c r="L399" s="1175" t="s">
        <v>951</v>
      </c>
      <c r="M399" s="1176">
        <v>32000000</v>
      </c>
      <c r="N399" s="1344" t="s">
        <v>1032</v>
      </c>
      <c r="O399" s="1171" t="s">
        <v>1033</v>
      </c>
      <c r="P399" s="1350" t="s">
        <v>682</v>
      </c>
      <c r="Q399" s="1160"/>
      <c r="R399" s="1327">
        <v>32000000</v>
      </c>
      <c r="S399" s="1327">
        <v>32000000</v>
      </c>
      <c r="T399" s="1327">
        <f>+'PAA V30'!$R399-'PAA V30'!$S399</f>
        <v>0</v>
      </c>
      <c r="U399" s="1327">
        <v>32000000</v>
      </c>
      <c r="V399" s="1327">
        <v>14080000</v>
      </c>
      <c r="W399" s="1327"/>
    </row>
    <row r="400" spans="1:23" s="1204" customFormat="1" ht="90" hidden="1" x14ac:dyDescent="0.2">
      <c r="A400" s="1169">
        <v>2022434</v>
      </c>
      <c r="B400" s="1169">
        <v>7658</v>
      </c>
      <c r="C400" s="1326" t="s">
        <v>673</v>
      </c>
      <c r="D400" s="1187" t="s">
        <v>693</v>
      </c>
      <c r="E400" s="1171">
        <v>80111600</v>
      </c>
      <c r="F400" s="1349" t="s">
        <v>1064</v>
      </c>
      <c r="G400" s="1343">
        <v>44562</v>
      </c>
      <c r="H400" s="1343">
        <v>44592</v>
      </c>
      <c r="I400" s="1173">
        <v>10</v>
      </c>
      <c r="J400" s="1173" t="s">
        <v>677</v>
      </c>
      <c r="K400" s="1174" t="s">
        <v>678</v>
      </c>
      <c r="L400" s="1175" t="s">
        <v>951</v>
      </c>
      <c r="M400" s="1176">
        <v>24500000</v>
      </c>
      <c r="N400" s="1344" t="s">
        <v>1032</v>
      </c>
      <c r="O400" s="1171" t="s">
        <v>1033</v>
      </c>
      <c r="P400" s="1350" t="s">
        <v>682</v>
      </c>
      <c r="Q400" s="1160"/>
      <c r="R400" s="1327">
        <v>24500000</v>
      </c>
      <c r="S400" s="1327">
        <v>24500000</v>
      </c>
      <c r="T400" s="1327">
        <f>+'PAA V30'!$R400-'PAA V30'!$S400</f>
        <v>0</v>
      </c>
      <c r="U400" s="1327">
        <v>24500000</v>
      </c>
      <c r="V400" s="1327">
        <v>10290000</v>
      </c>
      <c r="W400" s="1327"/>
    </row>
    <row r="401" spans="1:23" s="1204" customFormat="1" ht="90" hidden="1" x14ac:dyDescent="0.2">
      <c r="A401" s="1169">
        <v>2022435</v>
      </c>
      <c r="B401" s="1169">
        <v>7658</v>
      </c>
      <c r="C401" s="1326" t="s">
        <v>673</v>
      </c>
      <c r="D401" s="1187" t="s">
        <v>693</v>
      </c>
      <c r="E401" s="1171">
        <v>80111600</v>
      </c>
      <c r="F401" s="1349" t="s">
        <v>1064</v>
      </c>
      <c r="G401" s="1343">
        <v>44562</v>
      </c>
      <c r="H401" s="1343">
        <v>44592</v>
      </c>
      <c r="I401" s="1173">
        <v>10</v>
      </c>
      <c r="J401" s="1173" t="s">
        <v>677</v>
      </c>
      <c r="K401" s="1174" t="s">
        <v>678</v>
      </c>
      <c r="L401" s="1175" t="s">
        <v>951</v>
      </c>
      <c r="M401" s="1176">
        <v>28500000</v>
      </c>
      <c r="N401" s="1344" t="s">
        <v>1032</v>
      </c>
      <c r="O401" s="1171" t="s">
        <v>1033</v>
      </c>
      <c r="P401" s="1350" t="s">
        <v>682</v>
      </c>
      <c r="Q401" s="1160"/>
      <c r="R401" s="1327">
        <v>28500000</v>
      </c>
      <c r="S401" s="1327">
        <v>28500000</v>
      </c>
      <c r="T401" s="1327">
        <f>+'PAA V30'!$R401-'PAA V30'!$S401</f>
        <v>0</v>
      </c>
      <c r="U401" s="1327">
        <v>28500000</v>
      </c>
      <c r="V401" s="1327">
        <v>11970000</v>
      </c>
      <c r="W401" s="1327"/>
    </row>
    <row r="402" spans="1:23" s="1204" customFormat="1" ht="90" hidden="1" x14ac:dyDescent="0.2">
      <c r="A402" s="1169">
        <v>2022436</v>
      </c>
      <c r="B402" s="1169">
        <v>7658</v>
      </c>
      <c r="C402" s="1326" t="s">
        <v>673</v>
      </c>
      <c r="D402" s="1187" t="s">
        <v>693</v>
      </c>
      <c r="E402" s="1171">
        <v>80111600</v>
      </c>
      <c r="F402" s="1349" t="s">
        <v>1064</v>
      </c>
      <c r="G402" s="1343">
        <v>44562</v>
      </c>
      <c r="H402" s="1343">
        <v>44592</v>
      </c>
      <c r="I402" s="1173">
        <v>10</v>
      </c>
      <c r="J402" s="1173" t="s">
        <v>677</v>
      </c>
      <c r="K402" s="1174" t="s">
        <v>678</v>
      </c>
      <c r="L402" s="1175" t="s">
        <v>951</v>
      </c>
      <c r="M402" s="1176">
        <f>28500000-15200000</f>
        <v>13300000</v>
      </c>
      <c r="N402" s="1344" t="s">
        <v>1032</v>
      </c>
      <c r="O402" s="1171" t="s">
        <v>1033</v>
      </c>
      <c r="P402" s="1350" t="s">
        <v>682</v>
      </c>
      <c r="Q402" s="1160"/>
      <c r="R402" s="1327">
        <v>28500000</v>
      </c>
      <c r="S402" s="1327">
        <v>28500000</v>
      </c>
      <c r="T402" s="1327">
        <f>+'PAA V30'!$R402-'PAA V30'!$S402</f>
        <v>0</v>
      </c>
      <c r="U402" s="1327">
        <v>28500000</v>
      </c>
      <c r="V402" s="1327">
        <v>12065000</v>
      </c>
      <c r="W402" s="1327"/>
    </row>
    <row r="403" spans="1:23" s="1204" customFormat="1" ht="90" hidden="1" x14ac:dyDescent="0.2">
      <c r="A403" s="1169">
        <v>2022437</v>
      </c>
      <c r="B403" s="1169">
        <v>7658</v>
      </c>
      <c r="C403" s="1326" t="s">
        <v>673</v>
      </c>
      <c r="D403" s="1187" t="s">
        <v>693</v>
      </c>
      <c r="E403" s="1171">
        <v>80111600</v>
      </c>
      <c r="F403" s="1349" t="s">
        <v>1064</v>
      </c>
      <c r="G403" s="1343">
        <v>44562</v>
      </c>
      <c r="H403" s="1343">
        <v>44592</v>
      </c>
      <c r="I403" s="1173">
        <v>10</v>
      </c>
      <c r="J403" s="1173" t="s">
        <v>677</v>
      </c>
      <c r="K403" s="1174" t="s">
        <v>678</v>
      </c>
      <c r="L403" s="1175" t="s">
        <v>951</v>
      </c>
      <c r="M403" s="1176">
        <v>24500000</v>
      </c>
      <c r="N403" s="1344" t="s">
        <v>1032</v>
      </c>
      <c r="O403" s="1171" t="s">
        <v>1033</v>
      </c>
      <c r="P403" s="1350" t="s">
        <v>682</v>
      </c>
      <c r="Q403" s="1160"/>
      <c r="R403" s="1327">
        <v>24500000</v>
      </c>
      <c r="S403" s="1327">
        <v>24500000</v>
      </c>
      <c r="T403" s="1327">
        <f>+'PAA V30'!$R403-'PAA V30'!$S403</f>
        <v>0</v>
      </c>
      <c r="U403" s="1327">
        <v>24500000</v>
      </c>
      <c r="V403" s="1327">
        <v>10861667</v>
      </c>
      <c r="W403" s="1327"/>
    </row>
    <row r="404" spans="1:23" s="1204" customFormat="1" ht="90" hidden="1" x14ac:dyDescent="0.2">
      <c r="A404" s="1169">
        <v>2022438</v>
      </c>
      <c r="B404" s="1169">
        <v>7658</v>
      </c>
      <c r="C404" s="1326" t="s">
        <v>673</v>
      </c>
      <c r="D404" s="1187" t="s">
        <v>693</v>
      </c>
      <c r="E404" s="1171">
        <v>80111600</v>
      </c>
      <c r="F404" s="1349" t="s">
        <v>1064</v>
      </c>
      <c r="G404" s="1343">
        <v>44562</v>
      </c>
      <c r="H404" s="1343">
        <v>44592</v>
      </c>
      <c r="I404" s="1173">
        <v>10</v>
      </c>
      <c r="J404" s="1173" t="s">
        <v>677</v>
      </c>
      <c r="K404" s="1174" t="s">
        <v>678</v>
      </c>
      <c r="L404" s="1175" t="s">
        <v>951</v>
      </c>
      <c r="M404" s="1176">
        <v>24500000</v>
      </c>
      <c r="N404" s="1344" t="s">
        <v>1032</v>
      </c>
      <c r="O404" s="1171" t="s">
        <v>1033</v>
      </c>
      <c r="P404" s="1350" t="s">
        <v>682</v>
      </c>
      <c r="Q404" s="1160"/>
      <c r="R404" s="1327">
        <v>24500000</v>
      </c>
      <c r="S404" s="1327">
        <v>24500000</v>
      </c>
      <c r="T404" s="1327">
        <f>+'PAA V30'!$R404-'PAA V30'!$S404</f>
        <v>0</v>
      </c>
      <c r="U404" s="1327">
        <v>24500000</v>
      </c>
      <c r="V404" s="1327">
        <v>10780000</v>
      </c>
      <c r="W404" s="1327"/>
    </row>
    <row r="405" spans="1:23" s="1204" customFormat="1" ht="90" hidden="1" x14ac:dyDescent="0.2">
      <c r="A405" s="1169">
        <v>2022439</v>
      </c>
      <c r="B405" s="1169">
        <v>7658</v>
      </c>
      <c r="C405" s="1326" t="s">
        <v>673</v>
      </c>
      <c r="D405" s="1187" t="s">
        <v>693</v>
      </c>
      <c r="E405" s="1171">
        <v>80111600</v>
      </c>
      <c r="F405" s="1349" t="s">
        <v>1064</v>
      </c>
      <c r="G405" s="1343">
        <v>44562</v>
      </c>
      <c r="H405" s="1343">
        <v>44592</v>
      </c>
      <c r="I405" s="1173">
        <v>10</v>
      </c>
      <c r="J405" s="1173" t="s">
        <v>677</v>
      </c>
      <c r="K405" s="1174" t="s">
        <v>678</v>
      </c>
      <c r="L405" s="1175" t="s">
        <v>951</v>
      </c>
      <c r="M405" s="1176">
        <v>18000000</v>
      </c>
      <c r="N405" s="1344" t="s">
        <v>1032</v>
      </c>
      <c r="O405" s="1171" t="s">
        <v>1033</v>
      </c>
      <c r="P405" s="1350" t="s">
        <v>682</v>
      </c>
      <c r="Q405" s="1160"/>
      <c r="R405" s="1327">
        <v>18000000</v>
      </c>
      <c r="S405" s="1327">
        <v>18000000</v>
      </c>
      <c r="T405" s="1327">
        <f>+'PAA V30'!$R405-'PAA V30'!$S405</f>
        <v>0</v>
      </c>
      <c r="U405" s="1327">
        <v>18000000</v>
      </c>
      <c r="V405" s="1327">
        <v>7500000</v>
      </c>
      <c r="W405" s="1327"/>
    </row>
    <row r="406" spans="1:23" s="1204" customFormat="1" ht="90" hidden="1" x14ac:dyDescent="0.2">
      <c r="A406" s="1169">
        <v>2022440</v>
      </c>
      <c r="B406" s="1169">
        <v>7658</v>
      </c>
      <c r="C406" s="1326" t="s">
        <v>673</v>
      </c>
      <c r="D406" s="1187" t="s">
        <v>693</v>
      </c>
      <c r="E406" s="1171">
        <v>80111600</v>
      </c>
      <c r="F406" s="1349" t="s">
        <v>1064</v>
      </c>
      <c r="G406" s="1343">
        <v>44562</v>
      </c>
      <c r="H406" s="1343">
        <v>44592</v>
      </c>
      <c r="I406" s="1173">
        <v>10</v>
      </c>
      <c r="J406" s="1173" t="s">
        <v>677</v>
      </c>
      <c r="K406" s="1174" t="s">
        <v>678</v>
      </c>
      <c r="L406" s="1175" t="s">
        <v>951</v>
      </c>
      <c r="M406" s="1176">
        <v>24500000</v>
      </c>
      <c r="N406" s="1344" t="s">
        <v>1032</v>
      </c>
      <c r="O406" s="1171" t="s">
        <v>1033</v>
      </c>
      <c r="P406" s="1350" t="s">
        <v>682</v>
      </c>
      <c r="Q406" s="1160"/>
      <c r="R406" s="1327">
        <v>24500000</v>
      </c>
      <c r="S406" s="1327">
        <v>24500000</v>
      </c>
      <c r="T406" s="1327">
        <f>+'PAA V30'!$R406-'PAA V30'!$S406</f>
        <v>0</v>
      </c>
      <c r="U406" s="1327">
        <v>24500000</v>
      </c>
      <c r="V406" s="1327">
        <v>10698333</v>
      </c>
      <c r="W406" s="1327"/>
    </row>
    <row r="407" spans="1:23" s="1204" customFormat="1" ht="90" hidden="1" x14ac:dyDescent="0.2">
      <c r="A407" s="1169">
        <v>2022441</v>
      </c>
      <c r="B407" s="1169">
        <v>7658</v>
      </c>
      <c r="C407" s="1326" t="s">
        <v>673</v>
      </c>
      <c r="D407" s="1187" t="s">
        <v>693</v>
      </c>
      <c r="E407" s="1171">
        <v>80111600</v>
      </c>
      <c r="F407" s="1349" t="s">
        <v>1064</v>
      </c>
      <c r="G407" s="1343">
        <v>44562</v>
      </c>
      <c r="H407" s="1343">
        <v>44592</v>
      </c>
      <c r="I407" s="1173">
        <v>10</v>
      </c>
      <c r="J407" s="1173" t="s">
        <v>677</v>
      </c>
      <c r="K407" s="1174" t="s">
        <v>678</v>
      </c>
      <c r="L407" s="1175" t="s">
        <v>951</v>
      </c>
      <c r="M407" s="1176">
        <v>28500000</v>
      </c>
      <c r="N407" s="1344" t="s">
        <v>1032</v>
      </c>
      <c r="O407" s="1171" t="s">
        <v>1033</v>
      </c>
      <c r="P407" s="1350" t="s">
        <v>682</v>
      </c>
      <c r="Q407" s="1160"/>
      <c r="R407" s="1327">
        <v>13300000</v>
      </c>
      <c r="S407" s="1327">
        <v>28500000</v>
      </c>
      <c r="T407" s="1327">
        <f>+'PAA V30'!$R407-'PAA V30'!$S407</f>
        <v>-15200000</v>
      </c>
      <c r="U407" s="1327">
        <v>28500000</v>
      </c>
      <c r="V407" s="1327">
        <v>12065000</v>
      </c>
      <c r="W407" s="1327"/>
    </row>
    <row r="408" spans="1:23" s="1204" customFormat="1" ht="90" hidden="1" x14ac:dyDescent="0.2">
      <c r="A408" s="1169">
        <v>2022442</v>
      </c>
      <c r="B408" s="1169">
        <v>7658</v>
      </c>
      <c r="C408" s="1326" t="s">
        <v>673</v>
      </c>
      <c r="D408" s="1187" t="s">
        <v>693</v>
      </c>
      <c r="E408" s="1171">
        <v>80111600</v>
      </c>
      <c r="F408" s="1349" t="s">
        <v>1065</v>
      </c>
      <c r="G408" s="1343">
        <v>44562</v>
      </c>
      <c r="H408" s="1343">
        <v>44592</v>
      </c>
      <c r="I408" s="1173">
        <v>10</v>
      </c>
      <c r="J408" s="1173" t="s">
        <v>677</v>
      </c>
      <c r="K408" s="1174" t="s">
        <v>678</v>
      </c>
      <c r="L408" s="1175" t="s">
        <v>951</v>
      </c>
      <c r="M408" s="1176">
        <f>56650000-32668167+5665000</f>
        <v>29646833</v>
      </c>
      <c r="N408" s="1344" t="s">
        <v>1032</v>
      </c>
      <c r="O408" s="1171" t="s">
        <v>1033</v>
      </c>
      <c r="P408" s="1350" t="s">
        <v>682</v>
      </c>
      <c r="Q408" s="1160"/>
      <c r="R408" s="1327">
        <v>56650000</v>
      </c>
      <c r="S408" s="1327">
        <v>56650000</v>
      </c>
      <c r="T408" s="1327">
        <f>+'PAA V30'!$R408-'PAA V30'!$S408</f>
        <v>0</v>
      </c>
      <c r="U408" s="1327">
        <v>56650000</v>
      </c>
      <c r="V408" s="1327">
        <v>23981833</v>
      </c>
      <c r="W408" s="1327"/>
    </row>
    <row r="409" spans="1:23" s="1204" customFormat="1" ht="90" hidden="1" x14ac:dyDescent="0.2">
      <c r="A409" s="1169">
        <v>2022443</v>
      </c>
      <c r="B409" s="1169">
        <v>7658</v>
      </c>
      <c r="C409" s="1326" t="s">
        <v>673</v>
      </c>
      <c r="D409" s="1187" t="s">
        <v>693</v>
      </c>
      <c r="E409" s="1171">
        <v>80111600</v>
      </c>
      <c r="F409" s="1349" t="s">
        <v>1066</v>
      </c>
      <c r="G409" s="1343">
        <v>44562</v>
      </c>
      <c r="H409" s="1343">
        <v>44592</v>
      </c>
      <c r="I409" s="1173">
        <v>10</v>
      </c>
      <c r="J409" s="1173" t="s">
        <v>677</v>
      </c>
      <c r="K409" s="1174" t="s">
        <v>678</v>
      </c>
      <c r="L409" s="1175" t="s">
        <v>951</v>
      </c>
      <c r="M409" s="1176">
        <v>46350000</v>
      </c>
      <c r="N409" s="1344" t="s">
        <v>1032</v>
      </c>
      <c r="O409" s="1171" t="s">
        <v>1033</v>
      </c>
      <c r="P409" s="1350" t="s">
        <v>682</v>
      </c>
      <c r="Q409" s="1160"/>
      <c r="R409" s="1327">
        <v>46350000</v>
      </c>
      <c r="S409" s="1327">
        <v>46350000</v>
      </c>
      <c r="T409" s="1327">
        <f>+'PAA V30'!$R409-'PAA V30'!$S409</f>
        <v>0</v>
      </c>
      <c r="U409" s="1327">
        <v>46350000</v>
      </c>
      <c r="V409" s="1327">
        <v>19467000</v>
      </c>
      <c r="W409" s="1327"/>
    </row>
    <row r="410" spans="1:23" s="1204" customFormat="1" ht="90" hidden="1" x14ac:dyDescent="0.2">
      <c r="A410" s="1169">
        <v>2022444</v>
      </c>
      <c r="B410" s="1169">
        <v>7658</v>
      </c>
      <c r="C410" s="1326" t="s">
        <v>673</v>
      </c>
      <c r="D410" s="1187" t="s">
        <v>693</v>
      </c>
      <c r="E410" s="1171">
        <v>80111600</v>
      </c>
      <c r="F410" s="1349" t="s">
        <v>1066</v>
      </c>
      <c r="G410" s="1343">
        <v>44562</v>
      </c>
      <c r="H410" s="1343">
        <v>44592</v>
      </c>
      <c r="I410" s="1173">
        <v>10</v>
      </c>
      <c r="J410" s="1173" t="s">
        <v>677</v>
      </c>
      <c r="K410" s="1174" t="s">
        <v>678</v>
      </c>
      <c r="L410" s="1175" t="s">
        <v>951</v>
      </c>
      <c r="M410" s="1176">
        <v>45000000</v>
      </c>
      <c r="N410" s="1344" t="s">
        <v>1032</v>
      </c>
      <c r="O410" s="1171" t="s">
        <v>1033</v>
      </c>
      <c r="P410" s="1350" t="s">
        <v>682</v>
      </c>
      <c r="Q410" s="1160"/>
      <c r="R410" s="1327">
        <v>45000000</v>
      </c>
      <c r="S410" s="1327">
        <v>45000000</v>
      </c>
      <c r="T410" s="1327">
        <f>+'PAA V30'!$R410-'PAA V30'!$S410</f>
        <v>0</v>
      </c>
      <c r="U410" s="1327">
        <v>45000000</v>
      </c>
      <c r="V410" s="1327">
        <v>19050000</v>
      </c>
      <c r="W410" s="1327"/>
    </row>
    <row r="411" spans="1:23" s="1204" customFormat="1" ht="90" hidden="1" x14ac:dyDescent="0.2">
      <c r="A411" s="1169">
        <v>2022445</v>
      </c>
      <c r="B411" s="1169">
        <v>7658</v>
      </c>
      <c r="C411" s="1326" t="s">
        <v>673</v>
      </c>
      <c r="D411" s="1187" t="s">
        <v>693</v>
      </c>
      <c r="E411" s="1171">
        <v>80111600</v>
      </c>
      <c r="F411" s="1349" t="s">
        <v>1067</v>
      </c>
      <c r="G411" s="1343">
        <v>44562</v>
      </c>
      <c r="H411" s="1343">
        <v>44592</v>
      </c>
      <c r="I411" s="1173">
        <v>6</v>
      </c>
      <c r="J411" s="1173" t="s">
        <v>677</v>
      </c>
      <c r="K411" s="1174" t="s">
        <v>678</v>
      </c>
      <c r="L411" s="1175" t="s">
        <v>951</v>
      </c>
      <c r="M411" s="1176">
        <v>27810000</v>
      </c>
      <c r="N411" s="1344" t="s">
        <v>1032</v>
      </c>
      <c r="O411" s="1171" t="s">
        <v>1033</v>
      </c>
      <c r="P411" s="1350" t="s">
        <v>682</v>
      </c>
      <c r="Q411" s="1160"/>
      <c r="R411" s="1327">
        <v>27810000</v>
      </c>
      <c r="S411" s="1327">
        <v>27810000</v>
      </c>
      <c r="T411" s="1327">
        <f>+'PAA V30'!$R411-'PAA V30'!$S411</f>
        <v>0</v>
      </c>
      <c r="U411" s="1327">
        <v>27810000</v>
      </c>
      <c r="V411" s="1327">
        <v>19003500</v>
      </c>
      <c r="W411" s="1327"/>
    </row>
    <row r="412" spans="1:23" s="1204" customFormat="1" ht="90" hidden="1" x14ac:dyDescent="0.2">
      <c r="A412" s="1169">
        <v>2022446</v>
      </c>
      <c r="B412" s="1169">
        <v>7658</v>
      </c>
      <c r="C412" s="1326" t="s">
        <v>673</v>
      </c>
      <c r="D412" s="1187" t="s">
        <v>693</v>
      </c>
      <c r="E412" s="1171">
        <v>80111600</v>
      </c>
      <c r="F412" s="1349" t="s">
        <v>1067</v>
      </c>
      <c r="G412" s="1343">
        <v>44562</v>
      </c>
      <c r="H412" s="1343">
        <v>44592</v>
      </c>
      <c r="I412" s="1173">
        <v>4</v>
      </c>
      <c r="J412" s="1173" t="s">
        <v>677</v>
      </c>
      <c r="K412" s="1174" t="s">
        <v>678</v>
      </c>
      <c r="L412" s="1175" t="s">
        <v>951</v>
      </c>
      <c r="M412" s="1176">
        <v>18540000</v>
      </c>
      <c r="N412" s="1344" t="s">
        <v>1032</v>
      </c>
      <c r="O412" s="1171" t="s">
        <v>1033</v>
      </c>
      <c r="P412" s="1350" t="s">
        <v>682</v>
      </c>
      <c r="Q412" s="1160"/>
      <c r="R412" s="1327">
        <v>18540000</v>
      </c>
      <c r="S412" s="1327"/>
      <c r="T412" s="1327">
        <f>+'PAA V30'!$R412-'PAA V30'!$S412</f>
        <v>18540000</v>
      </c>
      <c r="U412" s="1327"/>
      <c r="V412" s="1327"/>
      <c r="W412" s="1327"/>
    </row>
    <row r="413" spans="1:23" s="1204" customFormat="1" ht="90" hidden="1" x14ac:dyDescent="0.2">
      <c r="A413" s="1169">
        <v>2022447</v>
      </c>
      <c r="B413" s="1169">
        <v>7658</v>
      </c>
      <c r="C413" s="1326" t="s">
        <v>673</v>
      </c>
      <c r="D413" s="1187" t="s">
        <v>693</v>
      </c>
      <c r="E413" s="1171">
        <v>80111600</v>
      </c>
      <c r="F413" s="1349" t="s">
        <v>1068</v>
      </c>
      <c r="G413" s="1343">
        <v>44562</v>
      </c>
      <c r="H413" s="1343">
        <v>44592</v>
      </c>
      <c r="I413" s="1173">
        <v>10</v>
      </c>
      <c r="J413" s="1173" t="s">
        <v>677</v>
      </c>
      <c r="K413" s="1174" t="s">
        <v>678</v>
      </c>
      <c r="L413" s="1175" t="s">
        <v>951</v>
      </c>
      <c r="M413" s="1176">
        <v>57000000</v>
      </c>
      <c r="N413" s="1344" t="s">
        <v>1032</v>
      </c>
      <c r="O413" s="1171" t="s">
        <v>1033</v>
      </c>
      <c r="P413" s="1350" t="s">
        <v>682</v>
      </c>
      <c r="Q413" s="1160"/>
      <c r="R413" s="1327">
        <v>57000000</v>
      </c>
      <c r="S413" s="1327">
        <v>57000000</v>
      </c>
      <c r="T413" s="1327">
        <f>+'PAA V30'!$R413-'PAA V30'!$S413</f>
        <v>0</v>
      </c>
      <c r="U413" s="1327">
        <v>57000000</v>
      </c>
      <c r="V413" s="1327">
        <v>24130000</v>
      </c>
      <c r="W413" s="1327"/>
    </row>
    <row r="414" spans="1:23" s="1204" customFormat="1" ht="90" hidden="1" x14ac:dyDescent="0.2">
      <c r="A414" s="1169">
        <v>2022448</v>
      </c>
      <c r="B414" s="1169">
        <v>7658</v>
      </c>
      <c r="C414" s="1326" t="s">
        <v>673</v>
      </c>
      <c r="D414" s="1187" t="s">
        <v>693</v>
      </c>
      <c r="E414" s="1171">
        <v>80111600</v>
      </c>
      <c r="F414" s="1349" t="s">
        <v>1068</v>
      </c>
      <c r="G414" s="1343">
        <v>44562</v>
      </c>
      <c r="H414" s="1343">
        <v>44592</v>
      </c>
      <c r="I414" s="1173">
        <v>10</v>
      </c>
      <c r="J414" s="1173" t="s">
        <v>677</v>
      </c>
      <c r="K414" s="1174" t="s">
        <v>678</v>
      </c>
      <c r="L414" s="1175" t="s">
        <v>951</v>
      </c>
      <c r="M414" s="1176">
        <v>48500000</v>
      </c>
      <c r="N414" s="1344" t="s">
        <v>1032</v>
      </c>
      <c r="O414" s="1171" t="s">
        <v>1033</v>
      </c>
      <c r="P414" s="1350" t="s">
        <v>682</v>
      </c>
      <c r="Q414" s="1160"/>
      <c r="R414" s="1327">
        <v>48500000</v>
      </c>
      <c r="S414" s="1327">
        <v>48500000</v>
      </c>
      <c r="T414" s="1327">
        <f>+'PAA V30'!$R414-'PAA V30'!$S414</f>
        <v>0</v>
      </c>
      <c r="U414" s="1327">
        <v>48500000</v>
      </c>
      <c r="V414" s="1327">
        <v>21016667</v>
      </c>
      <c r="W414" s="1327"/>
    </row>
    <row r="415" spans="1:23" s="1204" customFormat="1" ht="90" hidden="1" x14ac:dyDescent="0.2">
      <c r="A415" s="1169">
        <v>2022449</v>
      </c>
      <c r="B415" s="1169">
        <v>7658</v>
      </c>
      <c r="C415" s="1326" t="s">
        <v>673</v>
      </c>
      <c r="D415" s="1187" t="s">
        <v>693</v>
      </c>
      <c r="E415" s="1171">
        <v>80111600</v>
      </c>
      <c r="F415" s="1349" t="s">
        <v>1068</v>
      </c>
      <c r="G415" s="1343">
        <v>44562</v>
      </c>
      <c r="H415" s="1343">
        <v>44592</v>
      </c>
      <c r="I415" s="1173">
        <v>10</v>
      </c>
      <c r="J415" s="1173" t="s">
        <v>677</v>
      </c>
      <c r="K415" s="1174" t="s">
        <v>678</v>
      </c>
      <c r="L415" s="1175" t="s">
        <v>951</v>
      </c>
      <c r="M415" s="1176">
        <v>48500000</v>
      </c>
      <c r="N415" s="1344" t="s">
        <v>1032</v>
      </c>
      <c r="O415" s="1171" t="s">
        <v>1033</v>
      </c>
      <c r="P415" s="1350" t="s">
        <v>682</v>
      </c>
      <c r="Q415" s="1160"/>
      <c r="R415" s="1327">
        <v>48500000</v>
      </c>
      <c r="S415" s="1327">
        <v>48500000</v>
      </c>
      <c r="T415" s="1327">
        <f>+'PAA V30'!$R415-'PAA V30'!$S415</f>
        <v>0</v>
      </c>
      <c r="U415" s="1327">
        <v>48500000</v>
      </c>
      <c r="V415" s="1327">
        <v>20531667</v>
      </c>
      <c r="W415" s="1327"/>
    </row>
    <row r="416" spans="1:23" s="1204" customFormat="1" ht="90" hidden="1" x14ac:dyDescent="0.2">
      <c r="A416" s="1169">
        <v>2022450</v>
      </c>
      <c r="B416" s="1169">
        <v>7658</v>
      </c>
      <c r="C416" s="1326" t="s">
        <v>673</v>
      </c>
      <c r="D416" s="1187" t="s">
        <v>693</v>
      </c>
      <c r="E416" s="1171">
        <v>80111600</v>
      </c>
      <c r="F416" s="1349" t="s">
        <v>1069</v>
      </c>
      <c r="G416" s="1343">
        <v>44562</v>
      </c>
      <c r="H416" s="1343">
        <v>44592</v>
      </c>
      <c r="I416" s="1173">
        <v>10</v>
      </c>
      <c r="J416" s="1173" t="s">
        <v>677</v>
      </c>
      <c r="K416" s="1174" t="s">
        <v>678</v>
      </c>
      <c r="L416" s="1175" t="s">
        <v>951</v>
      </c>
      <c r="M416" s="1176">
        <f>48500000-19400000</f>
        <v>29100000</v>
      </c>
      <c r="N416" s="1344" t="s">
        <v>1032</v>
      </c>
      <c r="O416" s="1171" t="s">
        <v>1033</v>
      </c>
      <c r="P416" s="1350" t="s">
        <v>682</v>
      </c>
      <c r="Q416" s="1160"/>
      <c r="R416" s="1327">
        <v>29100000</v>
      </c>
      <c r="S416" s="1327">
        <v>29100000</v>
      </c>
      <c r="T416" s="1327">
        <f>+'PAA V30'!$R416-'PAA V30'!$S416</f>
        <v>0</v>
      </c>
      <c r="U416" s="1327">
        <v>29100000</v>
      </c>
      <c r="V416" s="1327">
        <v>19400000</v>
      </c>
      <c r="W416" s="1327"/>
    </row>
    <row r="417" spans="1:23" s="1204" customFormat="1" ht="90" hidden="1" x14ac:dyDescent="0.2">
      <c r="A417" s="1169">
        <v>2022451</v>
      </c>
      <c r="B417" s="1169">
        <v>7658</v>
      </c>
      <c r="C417" s="1326" t="s">
        <v>673</v>
      </c>
      <c r="D417" s="1187" t="s">
        <v>693</v>
      </c>
      <c r="E417" s="1171">
        <v>80111600</v>
      </c>
      <c r="F417" s="1349" t="s">
        <v>1069</v>
      </c>
      <c r="G417" s="1343">
        <v>44562</v>
      </c>
      <c r="H417" s="1343">
        <v>44592</v>
      </c>
      <c r="I417" s="1173">
        <v>10</v>
      </c>
      <c r="J417" s="1173" t="s">
        <v>677</v>
      </c>
      <c r="K417" s="1174" t="s">
        <v>678</v>
      </c>
      <c r="L417" s="1175" t="s">
        <v>951</v>
      </c>
      <c r="M417" s="1176">
        <f>35000000-14000000</f>
        <v>21000000</v>
      </c>
      <c r="N417" s="1344" t="s">
        <v>1032</v>
      </c>
      <c r="O417" s="1171" t="s">
        <v>1033</v>
      </c>
      <c r="P417" s="1350" t="s">
        <v>682</v>
      </c>
      <c r="Q417" s="1160"/>
      <c r="R417" s="1327">
        <v>21000000</v>
      </c>
      <c r="S417" s="1327">
        <v>21000000</v>
      </c>
      <c r="T417" s="1327">
        <f>+'PAA V30'!$R417-'PAA V30'!$S417</f>
        <v>0</v>
      </c>
      <c r="U417" s="1327">
        <v>21000000</v>
      </c>
      <c r="V417" s="1327">
        <v>14466667</v>
      </c>
      <c r="W417" s="1327"/>
    </row>
    <row r="418" spans="1:23" s="1204" customFormat="1" ht="90" hidden="1" x14ac:dyDescent="0.2">
      <c r="A418" s="1169">
        <v>2022452</v>
      </c>
      <c r="B418" s="1169">
        <v>7658</v>
      </c>
      <c r="C418" s="1326" t="s">
        <v>673</v>
      </c>
      <c r="D418" s="1187" t="s">
        <v>693</v>
      </c>
      <c r="E418" s="1171">
        <v>80111600</v>
      </c>
      <c r="F418" s="1349" t="s">
        <v>1068</v>
      </c>
      <c r="G418" s="1343">
        <v>44562</v>
      </c>
      <c r="H418" s="1343">
        <v>44592</v>
      </c>
      <c r="I418" s="1173">
        <v>6</v>
      </c>
      <c r="J418" s="1173" t="s">
        <v>677</v>
      </c>
      <c r="K418" s="1174" t="s">
        <v>678</v>
      </c>
      <c r="L418" s="1175" t="s">
        <v>951</v>
      </c>
      <c r="M418" s="1176">
        <v>29100000</v>
      </c>
      <c r="N418" s="1344" t="s">
        <v>1032</v>
      </c>
      <c r="O418" s="1171" t="s">
        <v>1033</v>
      </c>
      <c r="P418" s="1350" t="s">
        <v>682</v>
      </c>
      <c r="Q418" s="1160"/>
      <c r="R418" s="1327">
        <v>29100000</v>
      </c>
      <c r="S418" s="1327">
        <v>29100000</v>
      </c>
      <c r="T418" s="1327">
        <f>+'PAA V30'!$R418-'PAA V30'!$S418</f>
        <v>0</v>
      </c>
      <c r="U418" s="1327">
        <v>29100000</v>
      </c>
      <c r="V418" s="1327">
        <v>20370000</v>
      </c>
      <c r="W418" s="1327"/>
    </row>
    <row r="419" spans="1:23" s="1204" customFormat="1" ht="90" hidden="1" x14ac:dyDescent="0.2">
      <c r="A419" s="1169">
        <v>2022453</v>
      </c>
      <c r="B419" s="1169">
        <v>7658</v>
      </c>
      <c r="C419" s="1326" t="s">
        <v>673</v>
      </c>
      <c r="D419" s="1187" t="s">
        <v>693</v>
      </c>
      <c r="E419" s="1171">
        <v>80111600</v>
      </c>
      <c r="F419" s="1349" t="s">
        <v>1068</v>
      </c>
      <c r="G419" s="1343">
        <v>44562</v>
      </c>
      <c r="H419" s="1343">
        <v>44592</v>
      </c>
      <c r="I419" s="1173">
        <v>4</v>
      </c>
      <c r="J419" s="1173" t="s">
        <v>677</v>
      </c>
      <c r="K419" s="1174" t="s">
        <v>678</v>
      </c>
      <c r="L419" s="1175" t="s">
        <v>951</v>
      </c>
      <c r="M419" s="1176">
        <v>19400000</v>
      </c>
      <c r="N419" s="1344" t="s">
        <v>1032</v>
      </c>
      <c r="O419" s="1171" t="s">
        <v>1033</v>
      </c>
      <c r="P419" s="1350" t="s">
        <v>682</v>
      </c>
      <c r="Q419" s="1160"/>
      <c r="R419" s="1327">
        <v>19400000</v>
      </c>
      <c r="S419" s="1327"/>
      <c r="T419" s="1327">
        <f>+'PAA V30'!$R419-'PAA V30'!$S419</f>
        <v>19400000</v>
      </c>
      <c r="U419" s="1327"/>
      <c r="V419" s="1327"/>
      <c r="W419" s="1327" t="s">
        <v>1050</v>
      </c>
    </row>
    <row r="420" spans="1:23" s="1204" customFormat="1" ht="90" hidden="1" x14ac:dyDescent="0.2">
      <c r="A420" s="1169">
        <v>2022454</v>
      </c>
      <c r="B420" s="1169">
        <v>7658</v>
      </c>
      <c r="C420" s="1326" t="s">
        <v>673</v>
      </c>
      <c r="D420" s="1187" t="s">
        <v>693</v>
      </c>
      <c r="E420" s="1171">
        <v>80111600</v>
      </c>
      <c r="F420" s="1349" t="s">
        <v>1070</v>
      </c>
      <c r="G420" s="1343">
        <v>44562</v>
      </c>
      <c r="H420" s="1343">
        <v>44592</v>
      </c>
      <c r="I420" s="1173">
        <v>10</v>
      </c>
      <c r="J420" s="1173" t="s">
        <v>677</v>
      </c>
      <c r="K420" s="1174" t="s">
        <v>678</v>
      </c>
      <c r="L420" s="1175" t="s">
        <v>951</v>
      </c>
      <c r="M420" s="1176">
        <v>55000000</v>
      </c>
      <c r="N420" s="1344" t="s">
        <v>1032</v>
      </c>
      <c r="O420" s="1171" t="s">
        <v>1033</v>
      </c>
      <c r="P420" s="1350" t="s">
        <v>682</v>
      </c>
      <c r="Q420" s="1160"/>
      <c r="R420" s="1327">
        <v>55000000</v>
      </c>
      <c r="S420" s="1327">
        <v>55000000</v>
      </c>
      <c r="T420" s="1327">
        <f>+'PAA V30'!$R420-'PAA V30'!$S420</f>
        <v>0</v>
      </c>
      <c r="U420" s="1327">
        <v>55000000</v>
      </c>
      <c r="V420" s="1327">
        <v>23100000</v>
      </c>
      <c r="W420" s="1327"/>
    </row>
    <row r="421" spans="1:23" s="1204" customFormat="1" ht="90" hidden="1" x14ac:dyDescent="0.2">
      <c r="A421" s="1169">
        <v>2022455</v>
      </c>
      <c r="B421" s="1169">
        <v>7658</v>
      </c>
      <c r="C421" s="1326" t="s">
        <v>673</v>
      </c>
      <c r="D421" s="1187" t="s">
        <v>693</v>
      </c>
      <c r="E421" s="1171">
        <v>80111600</v>
      </c>
      <c r="F421" s="1349" t="s">
        <v>1070</v>
      </c>
      <c r="G421" s="1343">
        <v>44562</v>
      </c>
      <c r="H421" s="1343">
        <v>44592</v>
      </c>
      <c r="I421" s="1173">
        <v>10</v>
      </c>
      <c r="J421" s="1173" t="s">
        <v>677</v>
      </c>
      <c r="K421" s="1174" t="s">
        <v>678</v>
      </c>
      <c r="L421" s="1175" t="s">
        <v>951</v>
      </c>
      <c r="M421" s="1176">
        <v>55000000</v>
      </c>
      <c r="N421" s="1344" t="s">
        <v>1032</v>
      </c>
      <c r="O421" s="1171" t="s">
        <v>1033</v>
      </c>
      <c r="P421" s="1350" t="s">
        <v>682</v>
      </c>
      <c r="Q421" s="1160"/>
      <c r="R421" s="1327">
        <v>55000000</v>
      </c>
      <c r="S421" s="1327">
        <v>55000000</v>
      </c>
      <c r="T421" s="1327">
        <f>+'PAA V30'!$R421-'PAA V30'!$S421</f>
        <v>0</v>
      </c>
      <c r="U421" s="1327">
        <v>55000000</v>
      </c>
      <c r="V421" s="1327">
        <v>23100000</v>
      </c>
      <c r="W421" s="1327"/>
    </row>
    <row r="422" spans="1:23" s="1204" customFormat="1" ht="90" hidden="1" x14ac:dyDescent="0.2">
      <c r="A422" s="1169">
        <v>2022456</v>
      </c>
      <c r="B422" s="1169">
        <v>7658</v>
      </c>
      <c r="C422" s="1326" t="s">
        <v>673</v>
      </c>
      <c r="D422" s="1187" t="s">
        <v>693</v>
      </c>
      <c r="E422" s="1171">
        <v>80111600</v>
      </c>
      <c r="F422" s="1349" t="s">
        <v>1070</v>
      </c>
      <c r="G422" s="1343">
        <v>44562</v>
      </c>
      <c r="H422" s="1343">
        <v>44592</v>
      </c>
      <c r="I422" s="1173">
        <v>6</v>
      </c>
      <c r="J422" s="1173" t="s">
        <v>677</v>
      </c>
      <c r="K422" s="1174" t="s">
        <v>678</v>
      </c>
      <c r="L422" s="1175" t="s">
        <v>951</v>
      </c>
      <c r="M422" s="1176">
        <v>29100000</v>
      </c>
      <c r="N422" s="1344" t="s">
        <v>1032</v>
      </c>
      <c r="O422" s="1171" t="s">
        <v>1033</v>
      </c>
      <c r="P422" s="1350" t="s">
        <v>682</v>
      </c>
      <c r="Q422" s="1160"/>
      <c r="R422" s="1327">
        <v>29100000</v>
      </c>
      <c r="S422" s="1327">
        <v>29100000</v>
      </c>
      <c r="T422" s="1327">
        <f>+'PAA V30'!$R422-'PAA V30'!$S422</f>
        <v>0</v>
      </c>
      <c r="U422" s="1327">
        <v>29100000</v>
      </c>
      <c r="V422" s="1327">
        <v>20046667</v>
      </c>
      <c r="W422" s="1327"/>
    </row>
    <row r="423" spans="1:23" s="1204" customFormat="1" ht="90" hidden="1" x14ac:dyDescent="0.2">
      <c r="A423" s="1169">
        <v>2022457</v>
      </c>
      <c r="B423" s="1169">
        <v>7658</v>
      </c>
      <c r="C423" s="1326" t="s">
        <v>673</v>
      </c>
      <c r="D423" s="1187" t="s">
        <v>693</v>
      </c>
      <c r="E423" s="1171">
        <v>80111600</v>
      </c>
      <c r="F423" s="1349" t="s">
        <v>1070</v>
      </c>
      <c r="G423" s="1343">
        <v>44562</v>
      </c>
      <c r="H423" s="1343">
        <v>44592</v>
      </c>
      <c r="I423" s="1173">
        <v>4</v>
      </c>
      <c r="J423" s="1173" t="s">
        <v>677</v>
      </c>
      <c r="K423" s="1174" t="s">
        <v>678</v>
      </c>
      <c r="L423" s="1175" t="s">
        <v>951</v>
      </c>
      <c r="M423" s="1176">
        <f>19400000+600000</f>
        <v>20000000</v>
      </c>
      <c r="N423" s="1344" t="s">
        <v>1032</v>
      </c>
      <c r="O423" s="1171" t="s">
        <v>1033</v>
      </c>
      <c r="P423" s="1350" t="s">
        <v>682</v>
      </c>
      <c r="Q423" s="1160"/>
      <c r="R423" s="1327">
        <v>19400000</v>
      </c>
      <c r="S423" s="1327"/>
      <c r="T423" s="1327">
        <f>+'PAA V30'!$R423-'PAA V30'!$S423</f>
        <v>19400000</v>
      </c>
      <c r="U423" s="1327"/>
      <c r="V423" s="1327"/>
      <c r="W423" s="1327"/>
    </row>
    <row r="424" spans="1:23" s="1204" customFormat="1" ht="90" hidden="1" x14ac:dyDescent="0.2">
      <c r="A424" s="1169">
        <v>2022458</v>
      </c>
      <c r="B424" s="1169">
        <v>7658</v>
      </c>
      <c r="C424" s="1326" t="s">
        <v>673</v>
      </c>
      <c r="D424" s="1187" t="s">
        <v>693</v>
      </c>
      <c r="E424" s="1171">
        <v>80111600</v>
      </c>
      <c r="F424" s="1349" t="s">
        <v>1070</v>
      </c>
      <c r="G424" s="1343">
        <v>44562</v>
      </c>
      <c r="H424" s="1343">
        <v>44592</v>
      </c>
      <c r="I424" s="1173">
        <v>10</v>
      </c>
      <c r="J424" s="1173" t="s">
        <v>677</v>
      </c>
      <c r="K424" s="1174" t="s">
        <v>678</v>
      </c>
      <c r="L424" s="1175" t="s">
        <v>951</v>
      </c>
      <c r="M424" s="1176">
        <v>48500000</v>
      </c>
      <c r="N424" s="1344" t="s">
        <v>1032</v>
      </c>
      <c r="O424" s="1171" t="s">
        <v>1033</v>
      </c>
      <c r="P424" s="1350" t="s">
        <v>682</v>
      </c>
      <c r="Q424" s="1160"/>
      <c r="R424" s="1327">
        <v>48500000</v>
      </c>
      <c r="S424" s="1327">
        <v>48500000</v>
      </c>
      <c r="T424" s="1327">
        <f>+'PAA V30'!$R424-'PAA V30'!$S424</f>
        <v>0</v>
      </c>
      <c r="U424" s="1327">
        <v>48500000</v>
      </c>
      <c r="V424" s="1327">
        <v>20208333</v>
      </c>
      <c r="W424" s="1327"/>
    </row>
    <row r="425" spans="1:23" s="1204" customFormat="1" ht="90" hidden="1" x14ac:dyDescent="0.2">
      <c r="A425" s="1169">
        <v>2022459</v>
      </c>
      <c r="B425" s="1169">
        <v>7658</v>
      </c>
      <c r="C425" s="1326" t="s">
        <v>673</v>
      </c>
      <c r="D425" s="1187" t="s">
        <v>693</v>
      </c>
      <c r="E425" s="1171">
        <v>80111600</v>
      </c>
      <c r="F425" s="1349" t="s">
        <v>1070</v>
      </c>
      <c r="G425" s="1343">
        <v>44562</v>
      </c>
      <c r="H425" s="1343">
        <v>44592</v>
      </c>
      <c r="I425" s="1173">
        <v>6</v>
      </c>
      <c r="J425" s="1173" t="s">
        <v>677</v>
      </c>
      <c r="K425" s="1174" t="s">
        <v>678</v>
      </c>
      <c r="L425" s="1175" t="s">
        <v>951</v>
      </c>
      <c r="M425" s="1176">
        <v>29100000</v>
      </c>
      <c r="N425" s="1344" t="s">
        <v>1032</v>
      </c>
      <c r="O425" s="1171" t="s">
        <v>1033</v>
      </c>
      <c r="P425" s="1350" t="s">
        <v>682</v>
      </c>
      <c r="Q425" s="1160"/>
      <c r="R425" s="1327">
        <v>29100000</v>
      </c>
      <c r="S425" s="1327">
        <v>29100000</v>
      </c>
      <c r="T425" s="1327">
        <f>+'PAA V30'!$R425-'PAA V30'!$S425</f>
        <v>0</v>
      </c>
      <c r="U425" s="1327">
        <v>29100000</v>
      </c>
      <c r="V425" s="1327">
        <v>19400000</v>
      </c>
      <c r="W425" s="1327"/>
    </row>
    <row r="426" spans="1:23" s="1204" customFormat="1" ht="90" hidden="1" x14ac:dyDescent="0.2">
      <c r="A426" s="1169">
        <v>2022461</v>
      </c>
      <c r="B426" s="1169">
        <v>7658</v>
      </c>
      <c r="C426" s="1326" t="s">
        <v>673</v>
      </c>
      <c r="D426" s="1187" t="s">
        <v>693</v>
      </c>
      <c r="E426" s="1171">
        <v>80111600</v>
      </c>
      <c r="F426" s="1349" t="s">
        <v>1070</v>
      </c>
      <c r="G426" s="1343">
        <v>44562</v>
      </c>
      <c r="H426" s="1343">
        <v>44592</v>
      </c>
      <c r="I426" s="1173">
        <v>10</v>
      </c>
      <c r="J426" s="1173" t="s">
        <v>677</v>
      </c>
      <c r="K426" s="1174" t="s">
        <v>678</v>
      </c>
      <c r="L426" s="1175" t="s">
        <v>951</v>
      </c>
      <c r="M426" s="1176">
        <v>45000000</v>
      </c>
      <c r="N426" s="1344" t="s">
        <v>1032</v>
      </c>
      <c r="O426" s="1171" t="s">
        <v>1033</v>
      </c>
      <c r="P426" s="1350" t="s">
        <v>682</v>
      </c>
      <c r="Q426" s="1160"/>
      <c r="R426" s="1327">
        <v>45000000</v>
      </c>
      <c r="S426" s="1327">
        <v>45000000</v>
      </c>
      <c r="T426" s="1327">
        <f>+'PAA V30'!$R426-'PAA V30'!$S426</f>
        <v>0</v>
      </c>
      <c r="U426" s="1327">
        <v>45000000</v>
      </c>
      <c r="V426" s="1327">
        <v>18000000</v>
      </c>
      <c r="W426" s="1327"/>
    </row>
    <row r="427" spans="1:23" s="1204" customFormat="1" ht="90" hidden="1" x14ac:dyDescent="0.2">
      <c r="A427" s="1169">
        <v>2022462</v>
      </c>
      <c r="B427" s="1169">
        <v>7658</v>
      </c>
      <c r="C427" s="1326" t="s">
        <v>673</v>
      </c>
      <c r="D427" s="1187" t="s">
        <v>693</v>
      </c>
      <c r="E427" s="1171">
        <v>80111600</v>
      </c>
      <c r="F427" s="1349" t="s">
        <v>1071</v>
      </c>
      <c r="G427" s="1343">
        <v>44562</v>
      </c>
      <c r="H427" s="1343">
        <v>44592</v>
      </c>
      <c r="I427" s="1173">
        <v>6</v>
      </c>
      <c r="J427" s="1173" t="s">
        <v>677</v>
      </c>
      <c r="K427" s="1174" t="s">
        <v>678</v>
      </c>
      <c r="L427" s="1175" t="s">
        <v>951</v>
      </c>
      <c r="M427" s="1176">
        <f>16500000-1800000</f>
        <v>14700000</v>
      </c>
      <c r="N427" s="1344" t="s">
        <v>1032</v>
      </c>
      <c r="O427" s="1171" t="s">
        <v>1033</v>
      </c>
      <c r="P427" s="1350" t="s">
        <v>682</v>
      </c>
      <c r="Q427" s="1160"/>
      <c r="R427" s="1327">
        <v>14700000</v>
      </c>
      <c r="S427" s="1327">
        <v>14700000</v>
      </c>
      <c r="T427" s="1327">
        <f>+'PAA V30'!$R427-'PAA V30'!$S427</f>
        <v>0</v>
      </c>
      <c r="U427" s="1327">
        <v>14700000</v>
      </c>
      <c r="V427" s="1327">
        <v>9800000</v>
      </c>
      <c r="W427" s="1327"/>
    </row>
    <row r="428" spans="1:23" s="1204" customFormat="1" ht="90" hidden="1" x14ac:dyDescent="0.2">
      <c r="A428" s="1169">
        <v>2022463</v>
      </c>
      <c r="B428" s="1169">
        <v>7658</v>
      </c>
      <c r="C428" s="1326" t="s">
        <v>673</v>
      </c>
      <c r="D428" s="1187" t="s">
        <v>693</v>
      </c>
      <c r="E428" s="1171">
        <v>80111600</v>
      </c>
      <c r="F428" s="1349" t="s">
        <v>1071</v>
      </c>
      <c r="G428" s="1343">
        <v>44562</v>
      </c>
      <c r="H428" s="1343">
        <v>44592</v>
      </c>
      <c r="I428" s="1173">
        <v>4</v>
      </c>
      <c r="J428" s="1173" t="s">
        <v>677</v>
      </c>
      <c r="K428" s="1174" t="s">
        <v>678</v>
      </c>
      <c r="L428" s="1175" t="s">
        <v>951</v>
      </c>
      <c r="M428" s="1176">
        <f>11000000-1200000</f>
        <v>9800000</v>
      </c>
      <c r="N428" s="1344" t="s">
        <v>1032</v>
      </c>
      <c r="O428" s="1171" t="s">
        <v>1033</v>
      </c>
      <c r="P428" s="1350" t="s">
        <v>682</v>
      </c>
      <c r="Q428" s="1160"/>
      <c r="R428" s="1327">
        <v>11000000</v>
      </c>
      <c r="S428" s="1327"/>
      <c r="T428" s="1327">
        <f>+'PAA V30'!$R428-'PAA V30'!$S428</f>
        <v>11000000</v>
      </c>
      <c r="U428" s="1327"/>
      <c r="V428" s="1327"/>
      <c r="W428" s="1327"/>
    </row>
    <row r="429" spans="1:23" s="1204" customFormat="1" ht="90" hidden="1" x14ac:dyDescent="0.2">
      <c r="A429" s="1169">
        <v>2022464</v>
      </c>
      <c r="B429" s="1169">
        <v>7658</v>
      </c>
      <c r="C429" s="1326" t="s">
        <v>673</v>
      </c>
      <c r="D429" s="1187" t="s">
        <v>693</v>
      </c>
      <c r="E429" s="1171">
        <v>80111600</v>
      </c>
      <c r="F429" s="1349" t="s">
        <v>1072</v>
      </c>
      <c r="G429" s="1343">
        <v>44562</v>
      </c>
      <c r="H429" s="1343">
        <v>44592</v>
      </c>
      <c r="I429" s="1173">
        <v>10</v>
      </c>
      <c r="J429" s="1173" t="s">
        <v>677</v>
      </c>
      <c r="K429" s="1174" t="s">
        <v>678</v>
      </c>
      <c r="L429" s="1175" t="s">
        <v>951</v>
      </c>
      <c r="M429" s="1176">
        <f>50000000-20000000</f>
        <v>30000000</v>
      </c>
      <c r="N429" s="1344" t="s">
        <v>1032</v>
      </c>
      <c r="O429" s="1171" t="s">
        <v>1033</v>
      </c>
      <c r="P429" s="1350" t="s">
        <v>682</v>
      </c>
      <c r="Q429" s="1160"/>
      <c r="R429" s="1327">
        <v>30000000</v>
      </c>
      <c r="S429" s="1327">
        <v>30000000</v>
      </c>
      <c r="T429" s="1327">
        <f>+'PAA V30'!$R429-'PAA V30'!$S429</f>
        <v>0</v>
      </c>
      <c r="U429" s="1327">
        <v>30000000</v>
      </c>
      <c r="V429" s="1327">
        <v>25666667</v>
      </c>
      <c r="W429" s="1327"/>
    </row>
    <row r="430" spans="1:23" s="1204" customFormat="1" ht="90" hidden="1" x14ac:dyDescent="0.2">
      <c r="A430" s="1169">
        <v>2022465</v>
      </c>
      <c r="B430" s="1169">
        <v>7658</v>
      </c>
      <c r="C430" s="1326" t="s">
        <v>673</v>
      </c>
      <c r="D430" s="1187" t="s">
        <v>693</v>
      </c>
      <c r="E430" s="1171">
        <v>80111600</v>
      </c>
      <c r="F430" s="1349" t="s">
        <v>1073</v>
      </c>
      <c r="G430" s="1343">
        <v>44562</v>
      </c>
      <c r="H430" s="1343">
        <v>44592</v>
      </c>
      <c r="I430" s="1173">
        <v>10</v>
      </c>
      <c r="J430" s="1173" t="s">
        <v>677</v>
      </c>
      <c r="K430" s="1174" t="s">
        <v>678</v>
      </c>
      <c r="L430" s="1175" t="s">
        <v>951</v>
      </c>
      <c r="M430" s="1176">
        <v>48500000</v>
      </c>
      <c r="N430" s="1344" t="s">
        <v>1032</v>
      </c>
      <c r="O430" s="1171" t="s">
        <v>1033</v>
      </c>
      <c r="P430" s="1350" t="s">
        <v>682</v>
      </c>
      <c r="Q430" s="1160"/>
      <c r="R430" s="1327">
        <v>48500000</v>
      </c>
      <c r="S430" s="1327">
        <v>48500000</v>
      </c>
      <c r="T430" s="1327">
        <f>+'PAA V30'!$R430-'PAA V30'!$S430</f>
        <v>0</v>
      </c>
      <c r="U430" s="1327">
        <v>48500000</v>
      </c>
      <c r="V430" s="1327">
        <v>21340000</v>
      </c>
      <c r="W430" s="1327"/>
    </row>
    <row r="431" spans="1:23" s="1204" customFormat="1" ht="90" hidden="1" x14ac:dyDescent="0.2">
      <c r="A431" s="1169">
        <v>2022466</v>
      </c>
      <c r="B431" s="1169">
        <v>7658</v>
      </c>
      <c r="C431" s="1326" t="s">
        <v>673</v>
      </c>
      <c r="D431" s="1187" t="s">
        <v>693</v>
      </c>
      <c r="E431" s="1171">
        <v>80111600</v>
      </c>
      <c r="F431" s="1349" t="s">
        <v>1074</v>
      </c>
      <c r="G431" s="1343">
        <v>44562</v>
      </c>
      <c r="H431" s="1343">
        <v>44592</v>
      </c>
      <c r="I431" s="1173">
        <v>10</v>
      </c>
      <c r="J431" s="1173" t="s">
        <v>677</v>
      </c>
      <c r="K431" s="1174" t="s">
        <v>678</v>
      </c>
      <c r="L431" s="1175" t="s">
        <v>951</v>
      </c>
      <c r="M431" s="1176">
        <v>33500000</v>
      </c>
      <c r="N431" s="1344" t="s">
        <v>1032</v>
      </c>
      <c r="O431" s="1171" t="s">
        <v>1033</v>
      </c>
      <c r="P431" s="1350" t="s">
        <v>682</v>
      </c>
      <c r="Q431" s="1160"/>
      <c r="R431" s="1327">
        <v>33500000</v>
      </c>
      <c r="S431" s="1327">
        <v>33500000</v>
      </c>
      <c r="T431" s="1327">
        <f>+'PAA V30'!$R431-'PAA V30'!$S431</f>
        <v>0</v>
      </c>
      <c r="U431" s="1327">
        <v>33500000</v>
      </c>
      <c r="V431" s="1327">
        <v>14628333</v>
      </c>
      <c r="W431" s="1327"/>
    </row>
    <row r="432" spans="1:23" s="1204" customFormat="1" ht="90" hidden="1" x14ac:dyDescent="0.2">
      <c r="A432" s="1169">
        <v>2022467</v>
      </c>
      <c r="B432" s="1169">
        <v>7658</v>
      </c>
      <c r="C432" s="1326" t="s">
        <v>673</v>
      </c>
      <c r="D432" s="1187" t="s">
        <v>693</v>
      </c>
      <c r="E432" s="1171">
        <v>80111600</v>
      </c>
      <c r="F432" s="1349" t="s">
        <v>1075</v>
      </c>
      <c r="G432" s="1343">
        <v>44562</v>
      </c>
      <c r="H432" s="1343">
        <v>44592</v>
      </c>
      <c r="I432" s="1173">
        <v>10</v>
      </c>
      <c r="J432" s="1173" t="s">
        <v>677</v>
      </c>
      <c r="K432" s="1174" t="s">
        <v>678</v>
      </c>
      <c r="L432" s="1175" t="s">
        <v>951</v>
      </c>
      <c r="M432" s="1176">
        <f>48500000-29100000</f>
        <v>19400000</v>
      </c>
      <c r="N432" s="1344" t="s">
        <v>1032</v>
      </c>
      <c r="O432" s="1171" t="s">
        <v>1033</v>
      </c>
      <c r="P432" s="1350" t="s">
        <v>682</v>
      </c>
      <c r="Q432" s="1160"/>
      <c r="R432" s="1327">
        <v>19400000</v>
      </c>
      <c r="S432" s="1327">
        <v>19400000</v>
      </c>
      <c r="T432" s="1327">
        <f>+'PAA V30'!$R432-'PAA V30'!$S432</f>
        <v>0</v>
      </c>
      <c r="U432" s="1327">
        <v>19400000</v>
      </c>
      <c r="V432" s="1327">
        <v>19400000</v>
      </c>
      <c r="W432" s="1327"/>
    </row>
    <row r="433" spans="1:23" s="1204" customFormat="1" ht="90" hidden="1" x14ac:dyDescent="0.2">
      <c r="A433" s="1169">
        <v>2022468</v>
      </c>
      <c r="B433" s="1169">
        <v>7658</v>
      </c>
      <c r="C433" s="1326" t="s">
        <v>673</v>
      </c>
      <c r="D433" s="1187" t="s">
        <v>693</v>
      </c>
      <c r="E433" s="1171">
        <v>80111600</v>
      </c>
      <c r="F433" s="1349" t="s">
        <v>1076</v>
      </c>
      <c r="G433" s="1343">
        <v>44562</v>
      </c>
      <c r="H433" s="1343">
        <v>44592</v>
      </c>
      <c r="I433" s="1173">
        <v>4</v>
      </c>
      <c r="J433" s="1173" t="s">
        <v>677</v>
      </c>
      <c r="K433" s="1174" t="s">
        <v>678</v>
      </c>
      <c r="L433" s="1175" t="s">
        <v>951</v>
      </c>
      <c r="M433" s="1176">
        <f>19400000-150000</f>
        <v>19250000</v>
      </c>
      <c r="N433" s="1344" t="s">
        <v>1032</v>
      </c>
      <c r="O433" s="1171" t="s">
        <v>1033</v>
      </c>
      <c r="P433" s="1350" t="s">
        <v>682</v>
      </c>
      <c r="Q433" s="1160"/>
      <c r="R433" s="1266">
        <v>0</v>
      </c>
      <c r="S433" s="1327"/>
      <c r="T433" s="1327">
        <f>+'PAA V30'!$R433-'PAA V30'!$S433</f>
        <v>0</v>
      </c>
      <c r="U433" s="1327"/>
      <c r="V433" s="1327"/>
      <c r="W433" s="1327"/>
    </row>
    <row r="434" spans="1:23" s="1204" customFormat="1" ht="90" hidden="1" x14ac:dyDescent="0.2">
      <c r="A434" s="1169">
        <v>2022469</v>
      </c>
      <c r="B434" s="1169">
        <v>7658</v>
      </c>
      <c r="C434" s="1326" t="s">
        <v>673</v>
      </c>
      <c r="D434" s="1187" t="s">
        <v>693</v>
      </c>
      <c r="E434" s="1171">
        <v>80111600</v>
      </c>
      <c r="F434" s="1349" t="s">
        <v>1076</v>
      </c>
      <c r="G434" s="1343">
        <v>44562</v>
      </c>
      <c r="H434" s="1343">
        <v>44592</v>
      </c>
      <c r="I434" s="1173">
        <v>6</v>
      </c>
      <c r="J434" s="1173" t="s">
        <v>677</v>
      </c>
      <c r="K434" s="1174" t="s">
        <v>678</v>
      </c>
      <c r="L434" s="1175" t="s">
        <v>951</v>
      </c>
      <c r="M434" s="1176">
        <v>29100000</v>
      </c>
      <c r="N434" s="1344" t="s">
        <v>1032</v>
      </c>
      <c r="O434" s="1171" t="s">
        <v>1033</v>
      </c>
      <c r="P434" s="1350" t="s">
        <v>682</v>
      </c>
      <c r="Q434" s="1160"/>
      <c r="R434" s="1327">
        <v>29100000</v>
      </c>
      <c r="S434" s="1327">
        <v>29100000</v>
      </c>
      <c r="T434" s="1327">
        <f>+'PAA V30'!$R434-'PAA V30'!$S434</f>
        <v>0</v>
      </c>
      <c r="U434" s="1327">
        <v>29100000</v>
      </c>
      <c r="V434" s="1327">
        <v>19400000</v>
      </c>
      <c r="W434" s="1327"/>
    </row>
    <row r="435" spans="1:23" s="1204" customFormat="1" ht="90" hidden="1" x14ac:dyDescent="0.2">
      <c r="A435" s="1169">
        <v>2022470</v>
      </c>
      <c r="B435" s="1169">
        <v>7658</v>
      </c>
      <c r="C435" s="1326" t="s">
        <v>673</v>
      </c>
      <c r="D435" s="1187" t="s">
        <v>693</v>
      </c>
      <c r="E435" s="1171">
        <v>80111600</v>
      </c>
      <c r="F435" s="1349" t="s">
        <v>1076</v>
      </c>
      <c r="G435" s="1343">
        <v>44562</v>
      </c>
      <c r="H435" s="1343">
        <v>44592</v>
      </c>
      <c r="I435" s="1173">
        <v>4</v>
      </c>
      <c r="J435" s="1173" t="s">
        <v>677</v>
      </c>
      <c r="K435" s="1174" t="s">
        <v>678</v>
      </c>
      <c r="L435" s="1175" t="s">
        <v>951</v>
      </c>
      <c r="M435" s="1176">
        <v>16000000</v>
      </c>
      <c r="N435" s="1344" t="s">
        <v>1032</v>
      </c>
      <c r="O435" s="1171" t="s">
        <v>1033</v>
      </c>
      <c r="P435" s="1350" t="s">
        <v>682</v>
      </c>
      <c r="Q435" s="1160"/>
      <c r="R435" s="1266">
        <v>0</v>
      </c>
      <c r="S435" s="1327"/>
      <c r="T435" s="1327">
        <f>+'PAA V30'!$R435-'PAA V30'!$S435</f>
        <v>0</v>
      </c>
      <c r="U435" s="1327"/>
      <c r="V435" s="1327"/>
      <c r="W435" s="1327"/>
    </row>
    <row r="436" spans="1:23" s="1204" customFormat="1" ht="90" hidden="1" x14ac:dyDescent="0.2">
      <c r="A436" s="1169">
        <v>2022471</v>
      </c>
      <c r="B436" s="1169">
        <v>7658</v>
      </c>
      <c r="C436" s="1326" t="s">
        <v>673</v>
      </c>
      <c r="D436" s="1187" t="s">
        <v>693</v>
      </c>
      <c r="E436" s="1171">
        <v>80111600</v>
      </c>
      <c r="F436" s="1349" t="s">
        <v>1076</v>
      </c>
      <c r="G436" s="1343">
        <v>44562</v>
      </c>
      <c r="H436" s="1343">
        <v>44592</v>
      </c>
      <c r="I436" s="1173">
        <v>6</v>
      </c>
      <c r="J436" s="1173" t="s">
        <v>677</v>
      </c>
      <c r="K436" s="1174" t="s">
        <v>678</v>
      </c>
      <c r="L436" s="1175" t="s">
        <v>951</v>
      </c>
      <c r="M436" s="1176">
        <v>24000000</v>
      </c>
      <c r="N436" s="1344" t="s">
        <v>1032</v>
      </c>
      <c r="O436" s="1171" t="s">
        <v>1033</v>
      </c>
      <c r="P436" s="1350" t="s">
        <v>682</v>
      </c>
      <c r="Q436" s="1160"/>
      <c r="R436" s="1327">
        <v>24000000</v>
      </c>
      <c r="S436" s="1327">
        <v>24000000</v>
      </c>
      <c r="T436" s="1327">
        <f>+'PAA V30'!$R436-'PAA V30'!$S436</f>
        <v>0</v>
      </c>
      <c r="U436" s="1327">
        <v>24000000</v>
      </c>
      <c r="V436" s="1327">
        <v>16000000</v>
      </c>
      <c r="W436" s="1327"/>
    </row>
    <row r="437" spans="1:23" s="1204" customFormat="1" ht="90" hidden="1" x14ac:dyDescent="0.2">
      <c r="A437" s="1169">
        <v>2022472</v>
      </c>
      <c r="B437" s="1169">
        <v>7658</v>
      </c>
      <c r="C437" s="1326" t="s">
        <v>673</v>
      </c>
      <c r="D437" s="1187" t="s">
        <v>693</v>
      </c>
      <c r="E437" s="1171">
        <v>80111600</v>
      </c>
      <c r="F437" s="1349" t="s">
        <v>1076</v>
      </c>
      <c r="G437" s="1343">
        <v>44562</v>
      </c>
      <c r="H437" s="1343">
        <v>44592</v>
      </c>
      <c r="I437" s="1173">
        <v>4</v>
      </c>
      <c r="J437" s="1173" t="s">
        <v>677</v>
      </c>
      <c r="K437" s="1174" t="s">
        <v>678</v>
      </c>
      <c r="L437" s="1175" t="s">
        <v>951</v>
      </c>
      <c r="M437" s="1176">
        <f>15400000-1900000</f>
        <v>13500000</v>
      </c>
      <c r="N437" s="1344" t="s">
        <v>1032</v>
      </c>
      <c r="O437" s="1171" t="s">
        <v>1033</v>
      </c>
      <c r="P437" s="1350" t="s">
        <v>682</v>
      </c>
      <c r="Q437" s="1160"/>
      <c r="R437" s="1266">
        <v>0</v>
      </c>
      <c r="S437" s="1327"/>
      <c r="T437" s="1327">
        <f>+'PAA V30'!$R437-'PAA V30'!$S437</f>
        <v>0</v>
      </c>
      <c r="U437" s="1327"/>
      <c r="V437" s="1327"/>
      <c r="W437" s="1327"/>
    </row>
    <row r="438" spans="1:23" s="1204" customFormat="1" ht="90" hidden="1" x14ac:dyDescent="0.2">
      <c r="A438" s="1169">
        <v>2022473</v>
      </c>
      <c r="B438" s="1169">
        <v>7658</v>
      </c>
      <c r="C438" s="1326" t="s">
        <v>673</v>
      </c>
      <c r="D438" s="1187" t="s">
        <v>693</v>
      </c>
      <c r="E438" s="1171">
        <v>80111600</v>
      </c>
      <c r="F438" s="1349" t="s">
        <v>1076</v>
      </c>
      <c r="G438" s="1343">
        <v>44562</v>
      </c>
      <c r="H438" s="1343">
        <v>44592</v>
      </c>
      <c r="I438" s="1173">
        <v>6</v>
      </c>
      <c r="J438" s="1173" t="s">
        <v>677</v>
      </c>
      <c r="K438" s="1174" t="s">
        <v>678</v>
      </c>
      <c r="L438" s="1175" t="s">
        <v>951</v>
      </c>
      <c r="M438" s="1176">
        <v>23100000</v>
      </c>
      <c r="N438" s="1344" t="s">
        <v>1032</v>
      </c>
      <c r="O438" s="1171" t="s">
        <v>1033</v>
      </c>
      <c r="P438" s="1350" t="s">
        <v>682</v>
      </c>
      <c r="Q438" s="1160"/>
      <c r="R438" s="1327">
        <v>23100000</v>
      </c>
      <c r="S438" s="1327">
        <v>23100000</v>
      </c>
      <c r="T438" s="1327">
        <f>+'PAA V30'!$R438-'PAA V30'!$S438</f>
        <v>0</v>
      </c>
      <c r="U438" s="1327">
        <v>23100000</v>
      </c>
      <c r="V438" s="1327">
        <v>15400000</v>
      </c>
      <c r="W438" s="1327"/>
    </row>
    <row r="439" spans="1:23" s="1204" customFormat="1" ht="90" hidden="1" x14ac:dyDescent="0.2">
      <c r="A439" s="1169">
        <v>2022474</v>
      </c>
      <c r="B439" s="1169">
        <v>7658</v>
      </c>
      <c r="C439" s="1326" t="s">
        <v>673</v>
      </c>
      <c r="D439" s="1187" t="s">
        <v>693</v>
      </c>
      <c r="E439" s="1171">
        <v>80111600</v>
      </c>
      <c r="F439" s="1349" t="s">
        <v>1076</v>
      </c>
      <c r="G439" s="1343">
        <v>44562</v>
      </c>
      <c r="H439" s="1343">
        <v>44592</v>
      </c>
      <c r="I439" s="1173">
        <v>4</v>
      </c>
      <c r="J439" s="1173" t="s">
        <v>677</v>
      </c>
      <c r="K439" s="1174" t="s">
        <v>678</v>
      </c>
      <c r="L439" s="1175" t="s">
        <v>951</v>
      </c>
      <c r="M439" s="1176">
        <f>15400000-400000</f>
        <v>15000000</v>
      </c>
      <c r="N439" s="1344" t="s">
        <v>1032</v>
      </c>
      <c r="O439" s="1171" t="s">
        <v>1033</v>
      </c>
      <c r="P439" s="1350" t="s">
        <v>682</v>
      </c>
      <c r="Q439" s="1160"/>
      <c r="R439" s="1266">
        <v>0</v>
      </c>
      <c r="S439" s="1327"/>
      <c r="T439" s="1327">
        <f>+'PAA V30'!$R439-'PAA V30'!$S439</f>
        <v>0</v>
      </c>
      <c r="U439" s="1327"/>
      <c r="V439" s="1327"/>
      <c r="W439" s="1327"/>
    </row>
    <row r="440" spans="1:23" s="1204" customFormat="1" ht="90" hidden="1" x14ac:dyDescent="0.2">
      <c r="A440" s="1169">
        <v>2022475</v>
      </c>
      <c r="B440" s="1169">
        <v>7658</v>
      </c>
      <c r="C440" s="1326" t="s">
        <v>673</v>
      </c>
      <c r="D440" s="1187" t="s">
        <v>693</v>
      </c>
      <c r="E440" s="1171">
        <v>80111600</v>
      </c>
      <c r="F440" s="1349" t="s">
        <v>1076</v>
      </c>
      <c r="G440" s="1343">
        <v>44562</v>
      </c>
      <c r="H440" s="1343">
        <v>44592</v>
      </c>
      <c r="I440" s="1173">
        <v>6</v>
      </c>
      <c r="J440" s="1173" t="s">
        <v>677</v>
      </c>
      <c r="K440" s="1174" t="s">
        <v>678</v>
      </c>
      <c r="L440" s="1175" t="s">
        <v>951</v>
      </c>
      <c r="M440" s="1176">
        <v>23100000</v>
      </c>
      <c r="N440" s="1344" t="s">
        <v>1032</v>
      </c>
      <c r="O440" s="1171" t="s">
        <v>1033</v>
      </c>
      <c r="P440" s="1350" t="s">
        <v>682</v>
      </c>
      <c r="Q440" s="1160"/>
      <c r="R440" s="1327">
        <v>23100000</v>
      </c>
      <c r="S440" s="1327">
        <v>23100000</v>
      </c>
      <c r="T440" s="1327">
        <f>+'PAA V30'!$R440-'PAA V30'!$S440</f>
        <v>0</v>
      </c>
      <c r="U440" s="1327">
        <v>23100000</v>
      </c>
      <c r="V440" s="1327">
        <v>15400000</v>
      </c>
      <c r="W440" s="1327"/>
    </row>
    <row r="441" spans="1:23" s="1204" customFormat="1" ht="90" hidden="1" x14ac:dyDescent="0.2">
      <c r="A441" s="1169">
        <v>2022476</v>
      </c>
      <c r="B441" s="1169">
        <v>7658</v>
      </c>
      <c r="C441" s="1326" t="s">
        <v>673</v>
      </c>
      <c r="D441" s="1187" t="s">
        <v>693</v>
      </c>
      <c r="E441" s="1171">
        <v>80111600</v>
      </c>
      <c r="F441" s="1349" t="s">
        <v>1076</v>
      </c>
      <c r="G441" s="1343">
        <v>44562</v>
      </c>
      <c r="H441" s="1343">
        <v>44592</v>
      </c>
      <c r="I441" s="1173">
        <v>4</v>
      </c>
      <c r="J441" s="1173" t="s">
        <v>677</v>
      </c>
      <c r="K441" s="1174" t="s">
        <v>678</v>
      </c>
      <c r="L441" s="1175" t="s">
        <v>951</v>
      </c>
      <c r="M441" s="1176">
        <f>15400000+2600000</f>
        <v>18000000</v>
      </c>
      <c r="N441" s="1344" t="s">
        <v>1032</v>
      </c>
      <c r="O441" s="1171" t="s">
        <v>1033</v>
      </c>
      <c r="P441" s="1350" t="s">
        <v>682</v>
      </c>
      <c r="Q441" s="1160"/>
      <c r="R441" s="1266">
        <v>0</v>
      </c>
      <c r="S441" s="1327"/>
      <c r="T441" s="1327">
        <f>+'PAA V30'!$R441-'PAA V30'!$S441</f>
        <v>0</v>
      </c>
      <c r="U441" s="1327"/>
      <c r="V441" s="1327"/>
      <c r="W441" s="1327"/>
    </row>
    <row r="442" spans="1:23" s="1204" customFormat="1" ht="90" hidden="1" x14ac:dyDescent="0.2">
      <c r="A442" s="1169">
        <v>2022477</v>
      </c>
      <c r="B442" s="1169">
        <v>7658</v>
      </c>
      <c r="C442" s="1326" t="s">
        <v>673</v>
      </c>
      <c r="D442" s="1187" t="s">
        <v>693</v>
      </c>
      <c r="E442" s="1171">
        <v>80111600</v>
      </c>
      <c r="F442" s="1349" t="s">
        <v>1076</v>
      </c>
      <c r="G442" s="1343">
        <v>44562</v>
      </c>
      <c r="H442" s="1343">
        <v>44592</v>
      </c>
      <c r="I442" s="1173">
        <v>6</v>
      </c>
      <c r="J442" s="1173" t="s">
        <v>677</v>
      </c>
      <c r="K442" s="1174" t="s">
        <v>678</v>
      </c>
      <c r="L442" s="1175" t="s">
        <v>951</v>
      </c>
      <c r="M442" s="1176">
        <v>23100000</v>
      </c>
      <c r="N442" s="1344" t="s">
        <v>1032</v>
      </c>
      <c r="O442" s="1171" t="s">
        <v>1033</v>
      </c>
      <c r="P442" s="1350" t="s">
        <v>682</v>
      </c>
      <c r="Q442" s="1160"/>
      <c r="R442" s="1327">
        <v>23100000</v>
      </c>
      <c r="S442" s="1327">
        <v>23100000</v>
      </c>
      <c r="T442" s="1327">
        <f>+'PAA V30'!$R442-'PAA V30'!$S442</f>
        <v>0</v>
      </c>
      <c r="U442" s="1327">
        <v>23100000</v>
      </c>
      <c r="V442" s="1327">
        <v>15400000</v>
      </c>
      <c r="W442" s="1327"/>
    </row>
    <row r="443" spans="1:23" s="1204" customFormat="1" ht="90" hidden="1" x14ac:dyDescent="0.2">
      <c r="A443" s="1169">
        <v>2022478</v>
      </c>
      <c r="B443" s="1169">
        <v>7658</v>
      </c>
      <c r="C443" s="1326" t="s">
        <v>673</v>
      </c>
      <c r="D443" s="1187" t="s">
        <v>693</v>
      </c>
      <c r="E443" s="1171">
        <v>80111600</v>
      </c>
      <c r="F443" s="1349" t="s">
        <v>1077</v>
      </c>
      <c r="G443" s="1343">
        <v>44562</v>
      </c>
      <c r="H443" s="1343">
        <v>44592</v>
      </c>
      <c r="I443" s="1173">
        <v>10</v>
      </c>
      <c r="J443" s="1173" t="s">
        <v>677</v>
      </c>
      <c r="K443" s="1174" t="s">
        <v>678</v>
      </c>
      <c r="L443" s="1175" t="s">
        <v>951</v>
      </c>
      <c r="M443" s="1176">
        <v>72100000</v>
      </c>
      <c r="N443" s="1344" t="s">
        <v>1032</v>
      </c>
      <c r="O443" s="1171" t="s">
        <v>1033</v>
      </c>
      <c r="P443" s="1350" t="s">
        <v>682</v>
      </c>
      <c r="Q443" s="1160"/>
      <c r="R443" s="1327">
        <v>72100000</v>
      </c>
      <c r="S443" s="1327">
        <v>72100000</v>
      </c>
      <c r="T443" s="1327">
        <f>+'PAA V30'!$R443-'PAA V30'!$S443</f>
        <v>0</v>
      </c>
      <c r="U443" s="1327">
        <v>72100000</v>
      </c>
      <c r="V443" s="1327">
        <v>31483667</v>
      </c>
      <c r="W443" s="1327"/>
    </row>
    <row r="444" spans="1:23" s="1204" customFormat="1" ht="90" hidden="1" x14ac:dyDescent="0.2">
      <c r="A444" s="1169">
        <v>2022479</v>
      </c>
      <c r="B444" s="1169">
        <v>7658</v>
      </c>
      <c r="C444" s="1326" t="s">
        <v>673</v>
      </c>
      <c r="D444" s="1187" t="s">
        <v>693</v>
      </c>
      <c r="E444" s="1171">
        <v>80111600</v>
      </c>
      <c r="F444" s="1349" t="s">
        <v>1077</v>
      </c>
      <c r="G444" s="1343">
        <v>44562</v>
      </c>
      <c r="H444" s="1343">
        <v>44592</v>
      </c>
      <c r="I444" s="1173">
        <v>10</v>
      </c>
      <c r="J444" s="1173" t="s">
        <v>677</v>
      </c>
      <c r="K444" s="1174" t="s">
        <v>678</v>
      </c>
      <c r="L444" s="1175" t="s">
        <v>951</v>
      </c>
      <c r="M444" s="1176">
        <v>48500000</v>
      </c>
      <c r="N444" s="1344" t="s">
        <v>1032</v>
      </c>
      <c r="O444" s="1171" t="s">
        <v>1033</v>
      </c>
      <c r="P444" s="1350" t="s">
        <v>682</v>
      </c>
      <c r="Q444" s="1160"/>
      <c r="R444" s="1327">
        <v>48500000</v>
      </c>
      <c r="S444" s="1327">
        <v>48500000</v>
      </c>
      <c r="T444" s="1327">
        <f>+'PAA V30'!$R444-'PAA V30'!$S444</f>
        <v>0</v>
      </c>
      <c r="U444" s="1327">
        <v>48500000</v>
      </c>
      <c r="V444" s="1327">
        <v>21178333</v>
      </c>
      <c r="W444" s="1327"/>
    </row>
    <row r="445" spans="1:23" s="1204" customFormat="1" ht="90" hidden="1" x14ac:dyDescent="0.2">
      <c r="A445" s="1169">
        <v>2022480</v>
      </c>
      <c r="B445" s="1169">
        <v>7658</v>
      </c>
      <c r="C445" s="1326" t="s">
        <v>673</v>
      </c>
      <c r="D445" s="1187" t="s">
        <v>693</v>
      </c>
      <c r="E445" s="1171">
        <v>80111600</v>
      </c>
      <c r="F445" s="1349" t="s">
        <v>1077</v>
      </c>
      <c r="G445" s="1343">
        <v>44562</v>
      </c>
      <c r="H445" s="1343">
        <v>44592</v>
      </c>
      <c r="I445" s="1173">
        <v>10</v>
      </c>
      <c r="J445" s="1173" t="s">
        <v>677</v>
      </c>
      <c r="K445" s="1174" t="s">
        <v>678</v>
      </c>
      <c r="L445" s="1175" t="s">
        <v>951</v>
      </c>
      <c r="M445" s="1176">
        <v>38500000</v>
      </c>
      <c r="N445" s="1344" t="s">
        <v>1032</v>
      </c>
      <c r="O445" s="1171" t="s">
        <v>1033</v>
      </c>
      <c r="P445" s="1350" t="s">
        <v>682</v>
      </c>
      <c r="Q445" s="1160"/>
      <c r="R445" s="1327">
        <v>38500000</v>
      </c>
      <c r="S445" s="1327">
        <v>38500000</v>
      </c>
      <c r="T445" s="1327">
        <f>+'PAA V30'!$R445-'PAA V30'!$S445</f>
        <v>0</v>
      </c>
      <c r="U445" s="1327">
        <v>38500000</v>
      </c>
      <c r="V445" s="1327">
        <v>17068333</v>
      </c>
      <c r="W445" s="1327"/>
    </row>
    <row r="446" spans="1:23" s="1204" customFormat="1" ht="90" hidden="1" x14ac:dyDescent="0.2">
      <c r="A446" s="1169">
        <v>2022481</v>
      </c>
      <c r="B446" s="1169">
        <v>7658</v>
      </c>
      <c r="C446" s="1326" t="s">
        <v>673</v>
      </c>
      <c r="D446" s="1187" t="s">
        <v>693</v>
      </c>
      <c r="E446" s="1171">
        <v>80111600</v>
      </c>
      <c r="F446" s="1349" t="s">
        <v>1078</v>
      </c>
      <c r="G446" s="1343">
        <v>44562</v>
      </c>
      <c r="H446" s="1343">
        <v>44592</v>
      </c>
      <c r="I446" s="1173">
        <v>6</v>
      </c>
      <c r="J446" s="1173" t="s">
        <v>677</v>
      </c>
      <c r="K446" s="1174" t="s">
        <v>678</v>
      </c>
      <c r="L446" s="1175" t="s">
        <v>951</v>
      </c>
      <c r="M446" s="1176">
        <v>48000000</v>
      </c>
      <c r="N446" s="1344" t="s">
        <v>1032</v>
      </c>
      <c r="O446" s="1171" t="s">
        <v>1033</v>
      </c>
      <c r="P446" s="1350" t="s">
        <v>682</v>
      </c>
      <c r="Q446" s="1160"/>
      <c r="R446" s="1327">
        <v>48000000</v>
      </c>
      <c r="S446" s="1327">
        <v>48000000</v>
      </c>
      <c r="T446" s="1327">
        <f>+'PAA V30'!$R446-'PAA V30'!$S446</f>
        <v>0</v>
      </c>
      <c r="U446" s="1327">
        <v>48000000</v>
      </c>
      <c r="V446" s="1327">
        <v>34933333</v>
      </c>
      <c r="W446" s="1327"/>
    </row>
    <row r="447" spans="1:23" s="1204" customFormat="1" ht="90" hidden="1" x14ac:dyDescent="0.2">
      <c r="A447" s="1169">
        <v>2022482</v>
      </c>
      <c r="B447" s="1169">
        <v>7658</v>
      </c>
      <c r="C447" s="1326" t="s">
        <v>673</v>
      </c>
      <c r="D447" s="1187" t="s">
        <v>693</v>
      </c>
      <c r="E447" s="1171">
        <v>80111600</v>
      </c>
      <c r="F447" s="1349" t="s">
        <v>1079</v>
      </c>
      <c r="G447" s="1343">
        <v>44562</v>
      </c>
      <c r="H447" s="1343">
        <v>44592</v>
      </c>
      <c r="I447" s="1173">
        <v>6</v>
      </c>
      <c r="J447" s="1173" t="s">
        <v>677</v>
      </c>
      <c r="K447" s="1174" t="s">
        <v>678</v>
      </c>
      <c r="L447" s="1175" t="s">
        <v>951</v>
      </c>
      <c r="M447" s="1176">
        <v>28200000</v>
      </c>
      <c r="N447" s="1344" t="s">
        <v>1032</v>
      </c>
      <c r="O447" s="1171" t="s">
        <v>1033</v>
      </c>
      <c r="P447" s="1350" t="s">
        <v>682</v>
      </c>
      <c r="Q447" s="1160"/>
      <c r="R447" s="1327">
        <v>28200000</v>
      </c>
      <c r="S447" s="1327">
        <v>28200000</v>
      </c>
      <c r="T447" s="1327">
        <f>+'PAA V30'!$R447-'PAA V30'!$S447</f>
        <v>0</v>
      </c>
      <c r="U447" s="1327">
        <v>28200000</v>
      </c>
      <c r="V447" s="1327">
        <v>20836667</v>
      </c>
      <c r="W447" s="1327"/>
    </row>
    <row r="448" spans="1:23" s="1357" customFormat="1" ht="120" hidden="1" x14ac:dyDescent="0.2">
      <c r="A448" s="1169">
        <v>2022483</v>
      </c>
      <c r="B448" s="1169">
        <v>7658</v>
      </c>
      <c r="C448" s="1326" t="s">
        <v>673</v>
      </c>
      <c r="D448" s="1187" t="s">
        <v>699</v>
      </c>
      <c r="E448" s="1171" t="s">
        <v>1080</v>
      </c>
      <c r="F448" s="1349" t="s">
        <v>1081</v>
      </c>
      <c r="G448" s="1343">
        <v>44562</v>
      </c>
      <c r="H448" s="1343">
        <v>44620</v>
      </c>
      <c r="I448" s="1173">
        <v>10.5</v>
      </c>
      <c r="J448" s="1173" t="s">
        <v>700</v>
      </c>
      <c r="K448" s="1174" t="s">
        <v>678</v>
      </c>
      <c r="L448" s="1175" t="s">
        <v>951</v>
      </c>
      <c r="M448" s="1176">
        <f>30000000+10000000+5000000-10000000</f>
        <v>35000000</v>
      </c>
      <c r="N448" s="1344" t="s">
        <v>772</v>
      </c>
      <c r="O448" s="1171" t="s">
        <v>915</v>
      </c>
      <c r="P448" s="1218" t="s">
        <v>682</v>
      </c>
      <c r="Q448" s="1160"/>
      <c r="R448" s="1327">
        <v>35000000</v>
      </c>
      <c r="S448" s="1327">
        <v>35000000</v>
      </c>
      <c r="T448" s="1327">
        <f>+'PAA V30'!$R448-'PAA V30'!$S448</f>
        <v>0</v>
      </c>
      <c r="U448" s="1327">
        <v>35000000</v>
      </c>
      <c r="V448" s="1327">
        <v>11762300</v>
      </c>
      <c r="W448" s="1327"/>
    </row>
    <row r="449" spans="1:23" s="1204" customFormat="1" ht="120" hidden="1" x14ac:dyDescent="0.2">
      <c r="A449" s="1169">
        <v>2022484</v>
      </c>
      <c r="B449" s="1169">
        <v>7658</v>
      </c>
      <c r="C449" s="1326" t="s">
        <v>673</v>
      </c>
      <c r="D449" s="1187" t="s">
        <v>699</v>
      </c>
      <c r="E449" s="1171" t="s">
        <v>1082</v>
      </c>
      <c r="F449" s="1349" t="s">
        <v>1083</v>
      </c>
      <c r="G449" s="1343">
        <v>44576</v>
      </c>
      <c r="H449" s="1343">
        <v>44593</v>
      </c>
      <c r="I449" s="1173">
        <v>9.5</v>
      </c>
      <c r="J449" s="1173" t="s">
        <v>697</v>
      </c>
      <c r="K449" s="1174" t="s">
        <v>678</v>
      </c>
      <c r="L449" s="1175" t="s">
        <v>951</v>
      </c>
      <c r="M449" s="1176">
        <f>100000000-29000000</f>
        <v>71000000</v>
      </c>
      <c r="N449" s="1344" t="s">
        <v>772</v>
      </c>
      <c r="O449" s="1171" t="s">
        <v>915</v>
      </c>
      <c r="P449" s="1218" t="s">
        <v>682</v>
      </c>
      <c r="Q449" s="1160"/>
      <c r="R449" s="1327">
        <v>100000000</v>
      </c>
      <c r="S449" s="1327">
        <v>100000000</v>
      </c>
      <c r="T449" s="1327">
        <f>+'PAA V30'!$R449-'PAA V30'!$S449</f>
        <v>0</v>
      </c>
      <c r="U449" s="1327">
        <v>71000000</v>
      </c>
      <c r="V449" s="1327"/>
      <c r="W449" s="1327"/>
    </row>
    <row r="450" spans="1:23" s="1204" customFormat="1" ht="120" hidden="1" x14ac:dyDescent="0.2">
      <c r="A450" s="1169">
        <v>2022485</v>
      </c>
      <c r="B450" s="1169">
        <v>7658</v>
      </c>
      <c r="C450" s="1326" t="s">
        <v>673</v>
      </c>
      <c r="D450" s="1187" t="s">
        <v>699</v>
      </c>
      <c r="E450" s="1171" t="s">
        <v>1084</v>
      </c>
      <c r="F450" s="1349" t="s">
        <v>1085</v>
      </c>
      <c r="G450" s="1343">
        <v>44576</v>
      </c>
      <c r="H450" s="1343">
        <v>44593</v>
      </c>
      <c r="I450" s="1173">
        <v>11</v>
      </c>
      <c r="J450" s="1173" t="s">
        <v>697</v>
      </c>
      <c r="K450" s="1174" t="s">
        <v>678</v>
      </c>
      <c r="L450" s="1175" t="s">
        <v>951</v>
      </c>
      <c r="M450" s="1176">
        <f>260900000-10900000-10000000</f>
        <v>240000000</v>
      </c>
      <c r="N450" s="1344" t="s">
        <v>772</v>
      </c>
      <c r="O450" s="1171" t="s">
        <v>915</v>
      </c>
      <c r="P450" s="1218" t="s">
        <v>682</v>
      </c>
      <c r="Q450" s="1160"/>
      <c r="R450" s="1327">
        <v>240000000</v>
      </c>
      <c r="S450" s="1327">
        <v>240000000</v>
      </c>
      <c r="T450" s="1327">
        <f>+'PAA V30'!$R450-'PAA V30'!$S450</f>
        <v>0</v>
      </c>
      <c r="U450" s="1327">
        <v>240000000</v>
      </c>
      <c r="V450" s="1327">
        <v>26192580</v>
      </c>
      <c r="W450" s="1327"/>
    </row>
    <row r="451" spans="1:23" s="1204" customFormat="1" ht="120" hidden="1" x14ac:dyDescent="0.2">
      <c r="A451" s="1328">
        <v>2022486</v>
      </c>
      <c r="B451" s="1328">
        <v>7658</v>
      </c>
      <c r="C451" s="1329" t="s">
        <v>673</v>
      </c>
      <c r="D451" s="1352" t="s">
        <v>699</v>
      </c>
      <c r="E451" s="1353" t="s">
        <v>1086</v>
      </c>
      <c r="F451" s="1354" t="s">
        <v>1087</v>
      </c>
      <c r="G451" s="1355">
        <v>44683</v>
      </c>
      <c r="H451" s="1355">
        <v>44728</v>
      </c>
      <c r="I451" s="1265">
        <v>9</v>
      </c>
      <c r="J451" s="1173" t="s">
        <v>697</v>
      </c>
      <c r="K451" s="1174" t="s">
        <v>678</v>
      </c>
      <c r="L451" s="1175" t="s">
        <v>951</v>
      </c>
      <c r="M451" s="1176">
        <v>200000000</v>
      </c>
      <c r="N451" s="1344" t="s">
        <v>772</v>
      </c>
      <c r="O451" s="1353" t="s">
        <v>915</v>
      </c>
      <c r="P451" s="1218" t="s">
        <v>682</v>
      </c>
      <c r="Q451" s="1160"/>
      <c r="R451" s="1332">
        <v>200000000</v>
      </c>
      <c r="S451" s="1332">
        <v>200000000</v>
      </c>
      <c r="T451" s="1327">
        <f>+'PAA V30'!$R451-'PAA V30'!$S451</f>
        <v>0</v>
      </c>
      <c r="U451" s="1330"/>
      <c r="V451" s="1330"/>
      <c r="W451" s="1327"/>
    </row>
    <row r="452" spans="1:23" s="1204" customFormat="1" ht="120" hidden="1" x14ac:dyDescent="0.2">
      <c r="A452" s="1169">
        <v>2022488</v>
      </c>
      <c r="B452" s="1169">
        <v>7658</v>
      </c>
      <c r="C452" s="1326" t="s">
        <v>673</v>
      </c>
      <c r="D452" s="1187" t="s">
        <v>699</v>
      </c>
      <c r="E452" s="1171">
        <v>78181500</v>
      </c>
      <c r="F452" s="1349" t="s">
        <v>1088</v>
      </c>
      <c r="G452" s="1343">
        <v>44562</v>
      </c>
      <c r="H452" s="1343">
        <v>44620</v>
      </c>
      <c r="I452" s="1173">
        <v>12</v>
      </c>
      <c r="J452" s="1173" t="s">
        <v>647</v>
      </c>
      <c r="K452" s="1174" t="s">
        <v>678</v>
      </c>
      <c r="L452" s="1175" t="s">
        <v>951</v>
      </c>
      <c r="M452" s="1176">
        <v>2500000000</v>
      </c>
      <c r="N452" s="1344" t="s">
        <v>775</v>
      </c>
      <c r="O452" s="1171" t="s">
        <v>915</v>
      </c>
      <c r="P452" s="1218" t="s">
        <v>682</v>
      </c>
      <c r="Q452" s="1160"/>
      <c r="R452" s="1327">
        <v>2500000000</v>
      </c>
      <c r="S452" s="1327">
        <v>2500000000</v>
      </c>
      <c r="T452" s="1327">
        <f>+'PAA V30'!$R452-'PAA V30'!$S452</f>
        <v>0</v>
      </c>
      <c r="U452" s="1327">
        <v>2500000000</v>
      </c>
      <c r="V452" s="1327"/>
      <c r="W452" s="1327"/>
    </row>
    <row r="453" spans="1:23" s="1204" customFormat="1" ht="120" hidden="1" x14ac:dyDescent="0.2">
      <c r="A453" s="1169">
        <v>2022489</v>
      </c>
      <c r="B453" s="1169">
        <v>7658</v>
      </c>
      <c r="C453" s="1326" t="s">
        <v>673</v>
      </c>
      <c r="D453" s="1187" t="s">
        <v>699</v>
      </c>
      <c r="E453" s="1171">
        <v>78181500</v>
      </c>
      <c r="F453" s="1349" t="s">
        <v>1089</v>
      </c>
      <c r="G453" s="1343">
        <v>44562</v>
      </c>
      <c r="H453" s="1343">
        <v>44592</v>
      </c>
      <c r="I453" s="1173">
        <v>3</v>
      </c>
      <c r="J453" s="1173" t="s">
        <v>647</v>
      </c>
      <c r="K453" s="1174" t="s">
        <v>678</v>
      </c>
      <c r="L453" s="1175" t="s">
        <v>951</v>
      </c>
      <c r="M453" s="1176">
        <v>750000000</v>
      </c>
      <c r="N453" s="1344" t="s">
        <v>775</v>
      </c>
      <c r="O453" s="1171" t="s">
        <v>915</v>
      </c>
      <c r="P453" s="1218" t="s">
        <v>751</v>
      </c>
      <c r="Q453" s="1160"/>
      <c r="R453" s="1327">
        <v>750000000</v>
      </c>
      <c r="S453" s="1327">
        <v>750000000</v>
      </c>
      <c r="T453" s="1327">
        <f>+'PAA V30'!$R453-'PAA V30'!$S453</f>
        <v>0</v>
      </c>
      <c r="U453" s="1327">
        <v>750000000</v>
      </c>
      <c r="V453" s="1327">
        <v>749963672</v>
      </c>
      <c r="W453" s="1327"/>
    </row>
    <row r="454" spans="1:23" s="1357" customFormat="1" ht="120" hidden="1" x14ac:dyDescent="0.2">
      <c r="A454" s="1169">
        <v>2022490</v>
      </c>
      <c r="B454" s="1169">
        <v>7658</v>
      </c>
      <c r="C454" s="1326" t="s">
        <v>673</v>
      </c>
      <c r="D454" s="1187" t="s">
        <v>699</v>
      </c>
      <c r="E454" s="1171">
        <v>78181500</v>
      </c>
      <c r="F454" s="1349" t="s">
        <v>1090</v>
      </c>
      <c r="G454" s="1343">
        <v>44562</v>
      </c>
      <c r="H454" s="1343">
        <v>44592</v>
      </c>
      <c r="I454" s="1173">
        <v>2</v>
      </c>
      <c r="J454" s="1173" t="s">
        <v>647</v>
      </c>
      <c r="K454" s="1174" t="s">
        <v>678</v>
      </c>
      <c r="L454" s="1175" t="s">
        <v>951</v>
      </c>
      <c r="M454" s="1176">
        <v>100000000</v>
      </c>
      <c r="N454" s="1344" t="s">
        <v>775</v>
      </c>
      <c r="O454" s="1171" t="s">
        <v>915</v>
      </c>
      <c r="P454" s="1218" t="s">
        <v>751</v>
      </c>
      <c r="Q454" s="1160"/>
      <c r="R454" s="1327">
        <v>100000000</v>
      </c>
      <c r="S454" s="1327">
        <v>100000000</v>
      </c>
      <c r="T454" s="1327">
        <f>+'PAA V30'!$R454-'PAA V30'!$S454</f>
        <v>0</v>
      </c>
      <c r="U454" s="1327">
        <v>100000000</v>
      </c>
      <c r="V454" s="1327">
        <v>99999999</v>
      </c>
      <c r="W454" s="1327"/>
    </row>
    <row r="455" spans="1:23" s="1357" customFormat="1" ht="120" hidden="1" x14ac:dyDescent="0.2">
      <c r="A455" s="1169">
        <v>2022491</v>
      </c>
      <c r="B455" s="1169">
        <v>7658</v>
      </c>
      <c r="C455" s="1326" t="s">
        <v>673</v>
      </c>
      <c r="D455" s="1187" t="s">
        <v>699</v>
      </c>
      <c r="E455" s="1171">
        <v>25172500</v>
      </c>
      <c r="F455" s="1349" t="s">
        <v>1091</v>
      </c>
      <c r="G455" s="1343">
        <v>44562</v>
      </c>
      <c r="H455" s="1343">
        <v>44620</v>
      </c>
      <c r="I455" s="1173">
        <v>11</v>
      </c>
      <c r="J455" s="1173" t="s">
        <v>697</v>
      </c>
      <c r="K455" s="1174" t="s">
        <v>678</v>
      </c>
      <c r="L455" s="1175" t="s">
        <v>951</v>
      </c>
      <c r="M455" s="1176">
        <v>150000000</v>
      </c>
      <c r="N455" s="1344" t="s">
        <v>775</v>
      </c>
      <c r="O455" s="1171" t="s">
        <v>915</v>
      </c>
      <c r="P455" s="1218" t="s">
        <v>682</v>
      </c>
      <c r="Q455" s="1160"/>
      <c r="R455" s="1327">
        <v>150000000</v>
      </c>
      <c r="S455" s="1327">
        <v>150000000</v>
      </c>
      <c r="T455" s="1327">
        <f>+'PAA V30'!$R455-'PAA V30'!$S455</f>
        <v>0</v>
      </c>
      <c r="U455" s="1327">
        <v>150000000</v>
      </c>
      <c r="V455" s="1327">
        <v>32643785</v>
      </c>
      <c r="W455" s="1327"/>
    </row>
    <row r="456" spans="1:23" s="1357" customFormat="1" ht="120" hidden="1" x14ac:dyDescent="0.2">
      <c r="A456" s="1169">
        <v>2022492</v>
      </c>
      <c r="B456" s="1169">
        <v>7658</v>
      </c>
      <c r="C456" s="1326" t="s">
        <v>673</v>
      </c>
      <c r="D456" s="1187" t="s">
        <v>699</v>
      </c>
      <c r="E456" s="1171">
        <v>15101500</v>
      </c>
      <c r="F456" s="1349" t="s">
        <v>1092</v>
      </c>
      <c r="G456" s="1343">
        <v>44562</v>
      </c>
      <c r="H456" s="1343">
        <v>44620</v>
      </c>
      <c r="I456" s="1173">
        <v>12</v>
      </c>
      <c r="J456" s="1173" t="s">
        <v>721</v>
      </c>
      <c r="K456" s="1174" t="s">
        <v>678</v>
      </c>
      <c r="L456" s="1175" t="s">
        <v>951</v>
      </c>
      <c r="M456" s="1176">
        <v>1030000000</v>
      </c>
      <c r="N456" s="1344" t="s">
        <v>775</v>
      </c>
      <c r="O456" s="1171" t="s">
        <v>915</v>
      </c>
      <c r="P456" s="1218" t="s">
        <v>682</v>
      </c>
      <c r="Q456" s="1160"/>
      <c r="R456" s="1327">
        <v>1030000000</v>
      </c>
      <c r="S456" s="1327">
        <v>1030000000</v>
      </c>
      <c r="T456" s="1327">
        <f>+'PAA V30'!$R456-'PAA V30'!$S456</f>
        <v>0</v>
      </c>
      <c r="U456" s="1327">
        <v>1030000000</v>
      </c>
      <c r="V456" s="1327">
        <v>383409449</v>
      </c>
      <c r="W456" s="1327"/>
    </row>
    <row r="457" spans="1:23" s="1357" customFormat="1" ht="120" hidden="1" x14ac:dyDescent="0.2">
      <c r="A457" s="1328">
        <v>2022493</v>
      </c>
      <c r="B457" s="1328">
        <v>7658</v>
      </c>
      <c r="C457" s="1329" t="s">
        <v>673</v>
      </c>
      <c r="D457" s="1352" t="s">
        <v>699</v>
      </c>
      <c r="E457" s="1353" t="s">
        <v>1093</v>
      </c>
      <c r="F457" s="1354" t="s">
        <v>1094</v>
      </c>
      <c r="G457" s="1355">
        <v>44683</v>
      </c>
      <c r="H457" s="1355">
        <v>44728</v>
      </c>
      <c r="I457" s="1265">
        <v>12</v>
      </c>
      <c r="J457" s="1173" t="s">
        <v>697</v>
      </c>
      <c r="K457" s="1174" t="s">
        <v>678</v>
      </c>
      <c r="L457" s="1175" t="s">
        <v>951</v>
      </c>
      <c r="M457" s="1176">
        <f>400000000-175000000-8000000+50000000-50000000</f>
        <v>217000000</v>
      </c>
      <c r="N457" s="1344" t="s">
        <v>775</v>
      </c>
      <c r="O457" s="1353" t="s">
        <v>915</v>
      </c>
      <c r="P457" s="1170" t="s">
        <v>682</v>
      </c>
      <c r="Q457" s="1156"/>
      <c r="R457" s="1332">
        <v>217000000</v>
      </c>
      <c r="S457" s="1332">
        <v>217000000</v>
      </c>
      <c r="T457" s="1327">
        <f>+'PAA V30'!$R457-'PAA V30'!$S457</f>
        <v>0</v>
      </c>
      <c r="U457" s="1330"/>
      <c r="V457" s="1330"/>
      <c r="W457" s="1327"/>
    </row>
    <row r="458" spans="1:23" s="1357" customFormat="1" ht="120" hidden="1" x14ac:dyDescent="0.2">
      <c r="A458" s="1328">
        <v>2022495</v>
      </c>
      <c r="B458" s="1328">
        <v>7658</v>
      </c>
      <c r="C458" s="1329" t="s">
        <v>673</v>
      </c>
      <c r="D458" s="1352" t="s">
        <v>699</v>
      </c>
      <c r="E458" s="1353">
        <v>78181505</v>
      </c>
      <c r="F458" s="1354" t="s">
        <v>1095</v>
      </c>
      <c r="G458" s="1355">
        <v>44732</v>
      </c>
      <c r="H458" s="1355">
        <v>44752</v>
      </c>
      <c r="I458" s="1265">
        <v>7</v>
      </c>
      <c r="J458" s="1173" t="s">
        <v>677</v>
      </c>
      <c r="K458" s="1174" t="s">
        <v>678</v>
      </c>
      <c r="L458" s="1175" t="s">
        <v>951</v>
      </c>
      <c r="M458" s="1176">
        <f>80000000-18467600</f>
        <v>61532400</v>
      </c>
      <c r="N458" s="1344" t="s">
        <v>775</v>
      </c>
      <c r="O458" s="1353" t="s">
        <v>915</v>
      </c>
      <c r="P458" s="1170" t="s">
        <v>682</v>
      </c>
      <c r="Q458" s="1156"/>
      <c r="R458" s="1332">
        <v>80000000</v>
      </c>
      <c r="S458" s="1332">
        <v>80000000</v>
      </c>
      <c r="T458" s="1327">
        <f>+'PAA V30'!$R458-'PAA V30'!$S458</f>
        <v>0</v>
      </c>
      <c r="U458" s="1330"/>
      <c r="V458" s="1330"/>
      <c r="W458" s="1327"/>
    </row>
    <row r="459" spans="1:23" s="1204" customFormat="1" ht="120" hidden="1" x14ac:dyDescent="0.2">
      <c r="A459" s="1328">
        <v>2022496</v>
      </c>
      <c r="B459" s="1328">
        <v>7658</v>
      </c>
      <c r="C459" s="1329" t="s">
        <v>673</v>
      </c>
      <c r="D459" s="1352" t="s">
        <v>699</v>
      </c>
      <c r="E459" s="1353" t="s">
        <v>1096</v>
      </c>
      <c r="F459" s="1354" t="s">
        <v>1097</v>
      </c>
      <c r="G459" s="1355">
        <v>44732</v>
      </c>
      <c r="H459" s="1355">
        <v>44752</v>
      </c>
      <c r="I459" s="1265">
        <v>7</v>
      </c>
      <c r="J459" s="1173" t="s">
        <v>677</v>
      </c>
      <c r="K459" s="1174" t="s">
        <v>678</v>
      </c>
      <c r="L459" s="1175" t="s">
        <v>951</v>
      </c>
      <c r="M459" s="1176">
        <f>150000000-150000000</f>
        <v>0</v>
      </c>
      <c r="N459" s="1344" t="s">
        <v>775</v>
      </c>
      <c r="O459" s="1353" t="s">
        <v>915</v>
      </c>
      <c r="P459" s="1170" t="s">
        <v>682</v>
      </c>
      <c r="Q459" s="1156"/>
      <c r="R459" s="1332">
        <v>150000000</v>
      </c>
      <c r="S459" s="1332">
        <v>150000000</v>
      </c>
      <c r="T459" s="1327">
        <f>+'PAA V30'!$R459-'PAA V30'!$S459</f>
        <v>0</v>
      </c>
      <c r="U459" s="1330"/>
      <c r="V459" s="1330"/>
      <c r="W459" s="1327"/>
    </row>
    <row r="460" spans="1:23" s="1204" customFormat="1" ht="120" hidden="1" x14ac:dyDescent="0.2">
      <c r="A460" s="1328">
        <v>2022497</v>
      </c>
      <c r="B460" s="1328">
        <v>7658</v>
      </c>
      <c r="C460" s="1329" t="s">
        <v>673</v>
      </c>
      <c r="D460" s="1352" t="s">
        <v>699</v>
      </c>
      <c r="E460" s="1353">
        <v>72101509</v>
      </c>
      <c r="F460" s="1354" t="s">
        <v>1098</v>
      </c>
      <c r="G460" s="1355">
        <v>44732</v>
      </c>
      <c r="H460" s="1355">
        <v>44752</v>
      </c>
      <c r="I460" s="1265">
        <v>7</v>
      </c>
      <c r="J460" s="1173" t="s">
        <v>677</v>
      </c>
      <c r="K460" s="1174" t="s">
        <v>678</v>
      </c>
      <c r="L460" s="1175" t="s">
        <v>951</v>
      </c>
      <c r="M460" s="1176">
        <v>350000000</v>
      </c>
      <c r="N460" s="1344" t="s">
        <v>775</v>
      </c>
      <c r="O460" s="1353" t="s">
        <v>915</v>
      </c>
      <c r="P460" s="1170" t="s">
        <v>682</v>
      </c>
      <c r="Q460" s="1156"/>
      <c r="R460" s="1332">
        <v>350000000</v>
      </c>
      <c r="S460" s="1332">
        <v>350000000</v>
      </c>
      <c r="T460" s="1327">
        <f>+'PAA V30'!$R460-'PAA V30'!$S460</f>
        <v>0</v>
      </c>
      <c r="U460" s="1330"/>
      <c r="V460" s="1330"/>
      <c r="W460" s="1327"/>
    </row>
    <row r="461" spans="1:23" s="1204" customFormat="1" ht="120" hidden="1" x14ac:dyDescent="0.2">
      <c r="A461" s="1328">
        <v>2022498</v>
      </c>
      <c r="B461" s="1328">
        <v>7658</v>
      </c>
      <c r="C461" s="1329" t="s">
        <v>673</v>
      </c>
      <c r="D461" s="1352" t="s">
        <v>699</v>
      </c>
      <c r="E461" s="1353">
        <v>72101509</v>
      </c>
      <c r="F461" s="1354" t="s">
        <v>1099</v>
      </c>
      <c r="G461" s="1355">
        <v>44683</v>
      </c>
      <c r="H461" s="1355">
        <v>44728</v>
      </c>
      <c r="I461" s="1265">
        <v>9</v>
      </c>
      <c r="J461" s="1265" t="s">
        <v>697</v>
      </c>
      <c r="K461" s="1174" t="s">
        <v>678</v>
      </c>
      <c r="L461" s="1175" t="s">
        <v>951</v>
      </c>
      <c r="M461" s="1176">
        <f>300000000-50000000</f>
        <v>250000000</v>
      </c>
      <c r="N461" s="1344" t="s">
        <v>775</v>
      </c>
      <c r="O461" s="1353" t="s">
        <v>915</v>
      </c>
      <c r="P461" s="1170" t="s">
        <v>682</v>
      </c>
      <c r="Q461" s="1156"/>
      <c r="R461" s="1332">
        <v>300000000</v>
      </c>
      <c r="S461" s="1332">
        <v>300000000</v>
      </c>
      <c r="T461" s="1327">
        <f>+'PAA V30'!$R461-'PAA V30'!$S461</f>
        <v>0</v>
      </c>
      <c r="U461" s="1330"/>
      <c r="V461" s="1330"/>
      <c r="W461" s="1327"/>
    </row>
    <row r="462" spans="1:23" s="1204" customFormat="1" ht="120" hidden="1" x14ac:dyDescent="0.2">
      <c r="A462" s="1169">
        <v>2022499</v>
      </c>
      <c r="B462" s="1169">
        <v>7658</v>
      </c>
      <c r="C462" s="1326" t="s">
        <v>673</v>
      </c>
      <c r="D462" s="1187" t="s">
        <v>699</v>
      </c>
      <c r="E462" s="1171">
        <v>78111800</v>
      </c>
      <c r="F462" s="1349" t="s">
        <v>1100</v>
      </c>
      <c r="G462" s="1343">
        <v>44683</v>
      </c>
      <c r="H462" s="1343">
        <v>44743</v>
      </c>
      <c r="I462" s="1173">
        <v>12</v>
      </c>
      <c r="J462" s="1173" t="s">
        <v>721</v>
      </c>
      <c r="K462" s="1174" t="s">
        <v>678</v>
      </c>
      <c r="L462" s="1175" t="s">
        <v>951</v>
      </c>
      <c r="M462" s="1176">
        <f>600000000-100000000-139210766</f>
        <v>360789234</v>
      </c>
      <c r="N462" s="1344" t="s">
        <v>775</v>
      </c>
      <c r="O462" s="1171" t="s">
        <v>915</v>
      </c>
      <c r="P462" s="1218" t="s">
        <v>682</v>
      </c>
      <c r="Q462" s="1160"/>
      <c r="R462" s="1327">
        <v>360789234</v>
      </c>
      <c r="S462" s="1327">
        <v>500000000</v>
      </c>
      <c r="T462" s="1327">
        <f>+'PAA V30'!$R462-'PAA V30'!$S462</f>
        <v>-139210766</v>
      </c>
      <c r="U462" s="1327">
        <v>360789234</v>
      </c>
      <c r="V462" s="1327">
        <v>40655029</v>
      </c>
      <c r="W462" s="1327"/>
    </row>
    <row r="463" spans="1:23" s="1204" customFormat="1" ht="120" hidden="1" x14ac:dyDescent="0.2">
      <c r="A463" s="1169">
        <v>2022500</v>
      </c>
      <c r="B463" s="1169">
        <v>7658</v>
      </c>
      <c r="C463" s="1326" t="s">
        <v>673</v>
      </c>
      <c r="D463" s="1187" t="s">
        <v>699</v>
      </c>
      <c r="E463" s="1171"/>
      <c r="F463" s="1349" t="s">
        <v>1101</v>
      </c>
      <c r="G463" s="1343">
        <v>44576</v>
      </c>
      <c r="H463" s="1343">
        <v>44593</v>
      </c>
      <c r="I463" s="1173">
        <v>12</v>
      </c>
      <c r="J463" s="1173" t="s">
        <v>97</v>
      </c>
      <c r="K463" s="1174" t="s">
        <v>678</v>
      </c>
      <c r="L463" s="1175" t="s">
        <v>951</v>
      </c>
      <c r="M463" s="1176">
        <f>93500000-7475000-10000000+1700000+4300000+4225000+4500000+4120000+2750000+3605000+1595000+4225000+1985000+3605000+1985000+1595000+1225000+1595000+50000+4550000+2250000+1985000+3605000+2370000+1595000+2350000+1225000+6435000+2250000+1200000+3605000+1985000+2060000+2350000+3850000+1675000+1125000+3000000+23200000+3000000+3900000+1595000+100000000-35781881-28462255-46885058-432800+29000000+10900000+139210766+7800000+313321-5918528-28798000-46278754-80000000-40000000-20100000-30000000-33000000-30000000-6183142-151933-315000-7391030+200000000+81942022+115336294-421532400+17600000+2000000+3850000+1650000+133333+9651733+18265333+9038335+225000+4008488+60579-12393333-12393333-4350000-10606666-2911333-10800000-5390000-2233000-1715000-5047000-3000000-2153333-4326000-1985000-1700000-1595000-7209238</f>
        <v>191187</v>
      </c>
      <c r="N463" s="1344" t="s">
        <v>772</v>
      </c>
      <c r="O463" s="1171" t="s">
        <v>915</v>
      </c>
      <c r="P463" s="1218" t="s">
        <v>751</v>
      </c>
      <c r="Q463" s="1160"/>
      <c r="R463" s="1266">
        <v>0</v>
      </c>
      <c r="S463" s="1327"/>
      <c r="T463" s="1327">
        <f>+'PAA V30'!$R463-'PAA V30'!$S463</f>
        <v>0</v>
      </c>
      <c r="U463" s="1327"/>
      <c r="V463" s="1327"/>
      <c r="W463" s="1327"/>
    </row>
    <row r="464" spans="1:23" s="1204" customFormat="1" ht="120" hidden="1" x14ac:dyDescent="0.2">
      <c r="A464" s="1169">
        <v>2022502</v>
      </c>
      <c r="B464" s="1169">
        <v>7658</v>
      </c>
      <c r="C464" s="1326" t="s">
        <v>673</v>
      </c>
      <c r="D464" s="1187" t="s">
        <v>699</v>
      </c>
      <c r="E464" s="1171">
        <v>80111600</v>
      </c>
      <c r="F464" s="1349" t="s">
        <v>1102</v>
      </c>
      <c r="G464" s="1343">
        <v>44562</v>
      </c>
      <c r="H464" s="1343">
        <v>44592</v>
      </c>
      <c r="I464" s="1173">
        <v>11.5</v>
      </c>
      <c r="J464" s="1173" t="s">
        <v>677</v>
      </c>
      <c r="K464" s="1174" t="s">
        <v>678</v>
      </c>
      <c r="L464" s="1175" t="s">
        <v>951</v>
      </c>
      <c r="M464" s="1176">
        <f>98900000-4300000</f>
        <v>94600000</v>
      </c>
      <c r="N464" s="1344" t="s">
        <v>775</v>
      </c>
      <c r="O464" s="1171" t="s">
        <v>915</v>
      </c>
      <c r="P464" s="1218" t="s">
        <v>682</v>
      </c>
      <c r="Q464" s="1160"/>
      <c r="R464" s="1327">
        <v>94600000</v>
      </c>
      <c r="S464" s="1327">
        <v>94600000</v>
      </c>
      <c r="T464" s="1327">
        <f>+'PAA V30'!$R464-'PAA V30'!$S464</f>
        <v>0</v>
      </c>
      <c r="U464" s="1327">
        <v>94600000</v>
      </c>
      <c r="V464" s="1327">
        <v>36406667</v>
      </c>
      <c r="W464" s="1327"/>
    </row>
    <row r="465" spans="1:23" s="1204" customFormat="1" ht="120" hidden="1" x14ac:dyDescent="0.2">
      <c r="A465" s="1169">
        <v>2022503</v>
      </c>
      <c r="B465" s="1169">
        <v>7658</v>
      </c>
      <c r="C465" s="1326" t="s">
        <v>673</v>
      </c>
      <c r="D465" s="1187" t="s">
        <v>699</v>
      </c>
      <c r="E465" s="1171">
        <v>80111600</v>
      </c>
      <c r="F465" s="1349" t="s">
        <v>1103</v>
      </c>
      <c r="G465" s="1343">
        <v>44562</v>
      </c>
      <c r="H465" s="1343">
        <v>44592</v>
      </c>
      <c r="I465" s="1173">
        <v>11.5</v>
      </c>
      <c r="J465" s="1173" t="s">
        <v>677</v>
      </c>
      <c r="K465" s="1174" t="s">
        <v>678</v>
      </c>
      <c r="L465" s="1175" t="s">
        <v>951</v>
      </c>
      <c r="M465" s="1176">
        <f>97175000-4225000</f>
        <v>92950000</v>
      </c>
      <c r="N465" s="1344" t="s">
        <v>775</v>
      </c>
      <c r="O465" s="1171" t="s">
        <v>915</v>
      </c>
      <c r="P465" s="1218" t="s">
        <v>682</v>
      </c>
      <c r="Q465" s="1160"/>
      <c r="R465" s="1327">
        <v>92950000</v>
      </c>
      <c r="S465" s="1327">
        <v>92950000</v>
      </c>
      <c r="T465" s="1327">
        <f>+'PAA V30'!$R465-'PAA V30'!$S465</f>
        <v>0</v>
      </c>
      <c r="U465" s="1327">
        <v>92950000</v>
      </c>
      <c r="V465" s="1327">
        <v>37743333</v>
      </c>
      <c r="W465" s="1327"/>
    </row>
    <row r="466" spans="1:23" s="1204" customFormat="1" ht="120" hidden="1" x14ac:dyDescent="0.2">
      <c r="A466" s="1169">
        <v>2022504</v>
      </c>
      <c r="B466" s="1169">
        <v>7658</v>
      </c>
      <c r="C466" s="1326" t="s">
        <v>673</v>
      </c>
      <c r="D466" s="1187" t="s">
        <v>699</v>
      </c>
      <c r="E466" s="1171">
        <v>80111600</v>
      </c>
      <c r="F466" s="1349" t="s">
        <v>1104</v>
      </c>
      <c r="G466" s="1343">
        <v>44562</v>
      </c>
      <c r="H466" s="1343">
        <v>44592</v>
      </c>
      <c r="I466" s="1173">
        <v>11.5</v>
      </c>
      <c r="J466" s="1173" t="s">
        <v>677</v>
      </c>
      <c r="K466" s="1174" t="s">
        <v>678</v>
      </c>
      <c r="L466" s="1175" t="s">
        <v>951</v>
      </c>
      <c r="M466" s="1176">
        <f>103500000-4500000</f>
        <v>99000000</v>
      </c>
      <c r="N466" s="1344" t="s">
        <v>775</v>
      </c>
      <c r="O466" s="1171" t="s">
        <v>915</v>
      </c>
      <c r="P466" s="1218" t="s">
        <v>682</v>
      </c>
      <c r="Q466" s="1160"/>
      <c r="R466" s="1327">
        <v>99000000</v>
      </c>
      <c r="S466" s="1327">
        <v>99000000</v>
      </c>
      <c r="T466" s="1327">
        <f>+'PAA V30'!$R466-'PAA V30'!$S466</f>
        <v>0</v>
      </c>
      <c r="U466" s="1327">
        <v>99000000</v>
      </c>
      <c r="V466" s="1327">
        <v>37800000</v>
      </c>
      <c r="W466" s="1327"/>
    </row>
    <row r="467" spans="1:23" s="1204" customFormat="1" ht="120" hidden="1" x14ac:dyDescent="0.2">
      <c r="A467" s="1169">
        <v>2022505</v>
      </c>
      <c r="B467" s="1169">
        <v>7658</v>
      </c>
      <c r="C467" s="1326" t="s">
        <v>673</v>
      </c>
      <c r="D467" s="1187" t="s">
        <v>699</v>
      </c>
      <c r="E467" s="1171">
        <v>80111600</v>
      </c>
      <c r="F467" s="1349" t="s">
        <v>1105</v>
      </c>
      <c r="G467" s="1343">
        <v>44562</v>
      </c>
      <c r="H467" s="1343">
        <v>44592</v>
      </c>
      <c r="I467" s="1173">
        <v>11.5</v>
      </c>
      <c r="J467" s="1173" t="s">
        <v>677</v>
      </c>
      <c r="K467" s="1174" t="s">
        <v>678</v>
      </c>
      <c r="L467" s="1175" t="s">
        <v>951</v>
      </c>
      <c r="M467" s="1176">
        <f>94760000-4120000</f>
        <v>90640000</v>
      </c>
      <c r="N467" s="1344" t="s">
        <v>772</v>
      </c>
      <c r="O467" s="1171" t="s">
        <v>915</v>
      </c>
      <c r="P467" s="1218" t="s">
        <v>682</v>
      </c>
      <c r="Q467" s="1160"/>
      <c r="R467" s="1327">
        <v>90640000</v>
      </c>
      <c r="S467" s="1327">
        <v>90640000</v>
      </c>
      <c r="T467" s="1327">
        <f>+'PAA V30'!$R467-'PAA V30'!$S467</f>
        <v>0</v>
      </c>
      <c r="U467" s="1327">
        <v>90640000</v>
      </c>
      <c r="V467" s="1327">
        <v>32685333</v>
      </c>
      <c r="W467" s="1327"/>
    </row>
    <row r="468" spans="1:23" s="1204" customFormat="1" ht="120" hidden="1" x14ac:dyDescent="0.2">
      <c r="A468" s="1169">
        <v>2022506</v>
      </c>
      <c r="B468" s="1169">
        <v>7658</v>
      </c>
      <c r="C468" s="1326" t="s">
        <v>673</v>
      </c>
      <c r="D468" s="1187" t="s">
        <v>699</v>
      </c>
      <c r="E468" s="1171">
        <v>80111600</v>
      </c>
      <c r="F468" s="1349" t="s">
        <v>1106</v>
      </c>
      <c r="G468" s="1343">
        <v>44562</v>
      </c>
      <c r="H468" s="1343">
        <v>44592</v>
      </c>
      <c r="I468" s="1173">
        <v>11.5</v>
      </c>
      <c r="J468" s="1173" t="s">
        <v>677</v>
      </c>
      <c r="K468" s="1174" t="s">
        <v>678</v>
      </c>
      <c r="L468" s="1175" t="s">
        <v>951</v>
      </c>
      <c r="M468" s="1176">
        <f>97175000-20700000-13225000-2750000</f>
        <v>60500000</v>
      </c>
      <c r="N468" s="1344" t="s">
        <v>775</v>
      </c>
      <c r="O468" s="1171" t="s">
        <v>915</v>
      </c>
      <c r="P468" s="1218" t="s">
        <v>682</v>
      </c>
      <c r="Q468" s="1160"/>
      <c r="R468" s="1327">
        <v>60500000</v>
      </c>
      <c r="S468" s="1327">
        <v>60500000</v>
      </c>
      <c r="T468" s="1327">
        <f>+'PAA V30'!$R468-'PAA V30'!$S468</f>
        <v>0</v>
      </c>
      <c r="U468" s="1327">
        <v>60500000</v>
      </c>
      <c r="V468" s="1327">
        <v>21450000</v>
      </c>
      <c r="W468" s="1327"/>
    </row>
    <row r="469" spans="1:23" s="1204" customFormat="1" ht="120" hidden="1" x14ac:dyDescent="0.2">
      <c r="A469" s="1169">
        <v>2022507</v>
      </c>
      <c r="B469" s="1169">
        <v>7658</v>
      </c>
      <c r="C469" s="1326" t="s">
        <v>673</v>
      </c>
      <c r="D469" s="1187" t="s">
        <v>699</v>
      </c>
      <c r="E469" s="1171">
        <v>80111600</v>
      </c>
      <c r="F469" s="1349" t="s">
        <v>1107</v>
      </c>
      <c r="G469" s="1343">
        <v>44562</v>
      </c>
      <c r="H469" s="1343">
        <v>44592</v>
      </c>
      <c r="I469" s="1173">
        <v>11.5</v>
      </c>
      <c r="J469" s="1173" t="s">
        <v>677</v>
      </c>
      <c r="K469" s="1174" t="s">
        <v>678</v>
      </c>
      <c r="L469" s="1175" t="s">
        <v>951</v>
      </c>
      <c r="M469" s="1176">
        <f>82915000-3605000-18265333</f>
        <v>61044667</v>
      </c>
      <c r="N469" s="1344" t="s">
        <v>775</v>
      </c>
      <c r="O469" s="1171" t="s">
        <v>915</v>
      </c>
      <c r="P469" s="1218" t="s">
        <v>682</v>
      </c>
      <c r="Q469" s="1160"/>
      <c r="R469" s="1327">
        <v>79310000</v>
      </c>
      <c r="S469" s="1327">
        <v>79310000</v>
      </c>
      <c r="T469" s="1327">
        <f>+'PAA V30'!$R469-'PAA V30'!$S469</f>
        <v>0</v>
      </c>
      <c r="U469" s="1327">
        <v>79310000</v>
      </c>
      <c r="V469" s="1327">
        <v>29561000</v>
      </c>
      <c r="W469" s="1327"/>
    </row>
    <row r="470" spans="1:23" s="1204" customFormat="1" ht="120" hidden="1" x14ac:dyDescent="0.2">
      <c r="A470" s="1169">
        <v>2022508</v>
      </c>
      <c r="B470" s="1169">
        <v>7658</v>
      </c>
      <c r="C470" s="1326" t="s">
        <v>673</v>
      </c>
      <c r="D470" s="1187" t="s">
        <v>699</v>
      </c>
      <c r="E470" s="1171">
        <v>80111600</v>
      </c>
      <c r="F470" s="1349" t="s">
        <v>1108</v>
      </c>
      <c r="G470" s="1343">
        <v>44576</v>
      </c>
      <c r="H470" s="1343">
        <v>44593</v>
      </c>
      <c r="I470" s="1173">
        <v>11.5</v>
      </c>
      <c r="J470" s="1173" t="s">
        <v>677</v>
      </c>
      <c r="K470" s="1174" t="s">
        <v>678</v>
      </c>
      <c r="L470" s="1175" t="s">
        <v>951</v>
      </c>
      <c r="M470" s="1176">
        <f>32200000-15400000</f>
        <v>16800000</v>
      </c>
      <c r="N470" s="1344" t="s">
        <v>775</v>
      </c>
      <c r="O470" s="1171" t="s">
        <v>915</v>
      </c>
      <c r="P470" s="1218" t="s">
        <v>682</v>
      </c>
      <c r="Q470" s="1160"/>
      <c r="R470" s="1327">
        <v>16800000</v>
      </c>
      <c r="S470" s="1327">
        <v>16800000</v>
      </c>
      <c r="T470" s="1327">
        <f>+'PAA V30'!$R470-'PAA V30'!$S470</f>
        <v>0</v>
      </c>
      <c r="U470" s="1327">
        <v>16800000</v>
      </c>
      <c r="V470" s="1327">
        <v>12226667</v>
      </c>
      <c r="W470" s="1327"/>
    </row>
    <row r="471" spans="1:23" s="1204" customFormat="1" ht="120" hidden="1" x14ac:dyDescent="0.2">
      <c r="A471" s="1169">
        <v>2022509</v>
      </c>
      <c r="B471" s="1169">
        <v>7658</v>
      </c>
      <c r="C471" s="1326" t="s">
        <v>673</v>
      </c>
      <c r="D471" s="1187" t="s">
        <v>699</v>
      </c>
      <c r="E471" s="1171">
        <v>80111600</v>
      </c>
      <c r="F471" s="1349" t="s">
        <v>1109</v>
      </c>
      <c r="G471" s="1343">
        <v>44562</v>
      </c>
      <c r="H471" s="1343">
        <v>44592</v>
      </c>
      <c r="I471" s="1173">
        <v>11.5</v>
      </c>
      <c r="J471" s="1173" t="s">
        <v>677</v>
      </c>
      <c r="K471" s="1174" t="s">
        <v>678</v>
      </c>
      <c r="L471" s="1175" t="s">
        <v>951</v>
      </c>
      <c r="M471" s="1176">
        <f>36685000-1595000</f>
        <v>35090000</v>
      </c>
      <c r="N471" s="1344" t="s">
        <v>772</v>
      </c>
      <c r="O471" s="1171" t="s">
        <v>915</v>
      </c>
      <c r="P471" s="1218" t="s">
        <v>682</v>
      </c>
      <c r="Q471" s="1160"/>
      <c r="R471" s="1327">
        <v>35090000</v>
      </c>
      <c r="S471" s="1327">
        <v>35090000</v>
      </c>
      <c r="T471" s="1327">
        <f>+'PAA V30'!$R471-'PAA V30'!$S471</f>
        <v>0</v>
      </c>
      <c r="U471" s="1327">
        <v>35090000</v>
      </c>
      <c r="V471" s="1327">
        <v>13504333</v>
      </c>
      <c r="W471" s="1327"/>
    </row>
    <row r="472" spans="1:23" s="1204" customFormat="1" ht="120" hidden="1" x14ac:dyDescent="0.2">
      <c r="A472" s="1169">
        <v>2022510</v>
      </c>
      <c r="B472" s="1169">
        <v>7658</v>
      </c>
      <c r="C472" s="1326" t="s">
        <v>673</v>
      </c>
      <c r="D472" s="1187" t="s">
        <v>699</v>
      </c>
      <c r="E472" s="1171">
        <v>80111600</v>
      </c>
      <c r="F472" s="1349" t="s">
        <v>1110</v>
      </c>
      <c r="G472" s="1343">
        <v>44562</v>
      </c>
      <c r="H472" s="1343">
        <v>44592</v>
      </c>
      <c r="I472" s="1173">
        <v>11.5</v>
      </c>
      <c r="J472" s="1173" t="s">
        <v>677</v>
      </c>
      <c r="K472" s="1174" t="s">
        <v>678</v>
      </c>
      <c r="L472" s="1175" t="s">
        <v>951</v>
      </c>
      <c r="M472" s="1176">
        <f>97175000-4225000</f>
        <v>92950000</v>
      </c>
      <c r="N472" s="1344" t="s">
        <v>772</v>
      </c>
      <c r="O472" s="1171" t="s">
        <v>915</v>
      </c>
      <c r="P472" s="1218" t="s">
        <v>682</v>
      </c>
      <c r="Q472" s="1160"/>
      <c r="R472" s="1327">
        <v>92950000</v>
      </c>
      <c r="S472" s="1327">
        <v>92950000</v>
      </c>
      <c r="T472" s="1327">
        <f>+'PAA V30'!$R472-'PAA V30'!$S472</f>
        <v>0</v>
      </c>
      <c r="U472" s="1327">
        <v>92950000</v>
      </c>
      <c r="V472" s="1327">
        <v>37743333</v>
      </c>
      <c r="W472" s="1327"/>
    </row>
    <row r="473" spans="1:23" s="1204" customFormat="1" ht="120" hidden="1" x14ac:dyDescent="0.2">
      <c r="A473" s="1169">
        <v>2022511</v>
      </c>
      <c r="B473" s="1169">
        <v>7658</v>
      </c>
      <c r="C473" s="1326" t="s">
        <v>673</v>
      </c>
      <c r="D473" s="1187" t="s">
        <v>699</v>
      </c>
      <c r="E473" s="1171">
        <v>80111600</v>
      </c>
      <c r="F473" s="1349" t="s">
        <v>1111</v>
      </c>
      <c r="G473" s="1343">
        <v>44562</v>
      </c>
      <c r="H473" s="1343">
        <v>44592</v>
      </c>
      <c r="I473" s="1173">
        <v>11.5</v>
      </c>
      <c r="J473" s="1173" t="s">
        <v>677</v>
      </c>
      <c r="K473" s="1174" t="s">
        <v>678</v>
      </c>
      <c r="L473" s="1175" t="s">
        <v>951</v>
      </c>
      <c r="M473" s="1176">
        <f>45655000-1985000</f>
        <v>43670000</v>
      </c>
      <c r="N473" s="1344" t="s">
        <v>772</v>
      </c>
      <c r="O473" s="1171" t="s">
        <v>915</v>
      </c>
      <c r="P473" s="1218" t="s">
        <v>682</v>
      </c>
      <c r="Q473" s="1160"/>
      <c r="R473" s="1327">
        <v>43670000</v>
      </c>
      <c r="S473" s="1327">
        <v>43670000</v>
      </c>
      <c r="T473" s="1327">
        <f>+'PAA V30'!$R473-'PAA V30'!$S473</f>
        <v>0</v>
      </c>
      <c r="U473" s="1327">
        <v>43670000</v>
      </c>
      <c r="V473" s="1327">
        <v>16806333</v>
      </c>
      <c r="W473" s="1327"/>
    </row>
    <row r="474" spans="1:23" s="1204" customFormat="1" ht="120" hidden="1" x14ac:dyDescent="0.2">
      <c r="A474" s="1169">
        <v>2022512</v>
      </c>
      <c r="B474" s="1169">
        <v>7658</v>
      </c>
      <c r="C474" s="1326" t="s">
        <v>673</v>
      </c>
      <c r="D474" s="1187" t="s">
        <v>699</v>
      </c>
      <c r="E474" s="1171">
        <v>80111600</v>
      </c>
      <c r="F474" s="1349" t="s">
        <v>1107</v>
      </c>
      <c r="G474" s="1343">
        <v>44562</v>
      </c>
      <c r="H474" s="1343">
        <v>44592</v>
      </c>
      <c r="I474" s="1173">
        <v>11.5</v>
      </c>
      <c r="J474" s="1173" t="s">
        <v>677</v>
      </c>
      <c r="K474" s="1174" t="s">
        <v>678</v>
      </c>
      <c r="L474" s="1175" t="s">
        <v>951</v>
      </c>
      <c r="M474" s="1176">
        <f>82915000-3605000</f>
        <v>79310000</v>
      </c>
      <c r="N474" s="1344" t="s">
        <v>775</v>
      </c>
      <c r="O474" s="1171" t="s">
        <v>915</v>
      </c>
      <c r="P474" s="1218" t="s">
        <v>682</v>
      </c>
      <c r="Q474" s="1160"/>
      <c r="R474" s="1327">
        <v>79310000</v>
      </c>
      <c r="S474" s="1327">
        <v>79310000</v>
      </c>
      <c r="T474" s="1327">
        <f>+'PAA V30'!$R474-'PAA V30'!$S474</f>
        <v>0</v>
      </c>
      <c r="U474" s="1327">
        <v>79310000</v>
      </c>
      <c r="V474" s="1327">
        <v>30282000</v>
      </c>
      <c r="W474" s="1327"/>
    </row>
    <row r="475" spans="1:23" s="1204" customFormat="1" ht="120" hidden="1" x14ac:dyDescent="0.2">
      <c r="A475" s="1169">
        <v>2022513</v>
      </c>
      <c r="B475" s="1169">
        <v>7658</v>
      </c>
      <c r="C475" s="1326" t="s">
        <v>673</v>
      </c>
      <c r="D475" s="1187" t="s">
        <v>699</v>
      </c>
      <c r="E475" s="1171">
        <v>80111600</v>
      </c>
      <c r="F475" s="1187" t="s">
        <v>1112</v>
      </c>
      <c r="G475" s="1345">
        <v>44774</v>
      </c>
      <c r="H475" s="1345">
        <v>44774</v>
      </c>
      <c r="I475" s="1173">
        <v>5.5</v>
      </c>
      <c r="J475" s="1173" t="s">
        <v>677</v>
      </c>
      <c r="K475" s="1174" t="s">
        <v>678</v>
      </c>
      <c r="L475" s="1175" t="s">
        <v>951</v>
      </c>
      <c r="M475" s="1176">
        <f>28175000-28175000+33000000-133333</f>
        <v>32866667</v>
      </c>
      <c r="N475" s="1344" t="s">
        <v>775</v>
      </c>
      <c r="O475" s="1171" t="s">
        <v>915</v>
      </c>
      <c r="P475" s="1218" t="s">
        <v>682</v>
      </c>
      <c r="Q475" s="1160"/>
      <c r="R475" s="1327">
        <v>26950000</v>
      </c>
      <c r="S475" s="1327">
        <v>26950000</v>
      </c>
      <c r="T475" s="1327">
        <f>+'PAA V30'!$R475-'PAA V30'!$S475</f>
        <v>0</v>
      </c>
      <c r="U475" s="1327">
        <v>26950000</v>
      </c>
      <c r="V475" s="1327">
        <v>9881667</v>
      </c>
      <c r="W475" s="1327"/>
    </row>
    <row r="476" spans="1:23" s="1204" customFormat="1" ht="120" hidden="1" x14ac:dyDescent="0.2">
      <c r="A476" s="1169">
        <v>2022514</v>
      </c>
      <c r="B476" s="1169">
        <v>7658</v>
      </c>
      <c r="C476" s="1326" t="s">
        <v>673</v>
      </c>
      <c r="D476" s="1187" t="s">
        <v>699</v>
      </c>
      <c r="E476" s="1171">
        <v>80111600</v>
      </c>
      <c r="F476" s="1349" t="s">
        <v>1113</v>
      </c>
      <c r="G476" s="1343">
        <v>44562</v>
      </c>
      <c r="H476" s="1343">
        <v>44592</v>
      </c>
      <c r="I476" s="1173">
        <v>11.5</v>
      </c>
      <c r="J476" s="1173" t="s">
        <v>677</v>
      </c>
      <c r="K476" s="1174" t="s">
        <v>678</v>
      </c>
      <c r="L476" s="1175" t="s">
        <v>951</v>
      </c>
      <c r="M476" s="1176">
        <f>45655000-1985000</f>
        <v>43670000</v>
      </c>
      <c r="N476" s="1344" t="s">
        <v>772</v>
      </c>
      <c r="O476" s="1171" t="s">
        <v>915</v>
      </c>
      <c r="P476" s="1218" t="s">
        <v>682</v>
      </c>
      <c r="Q476" s="1160"/>
      <c r="R476" s="1327">
        <v>43670000</v>
      </c>
      <c r="S476" s="1327">
        <v>43670000</v>
      </c>
      <c r="T476" s="1327">
        <f>+'PAA V30'!$R476-'PAA V30'!$S476</f>
        <v>0</v>
      </c>
      <c r="U476" s="1327">
        <v>43670000</v>
      </c>
      <c r="V476" s="1327">
        <v>16012333</v>
      </c>
      <c r="W476" s="1327"/>
    </row>
    <row r="477" spans="1:23" s="1204" customFormat="1" ht="120" hidden="1" x14ac:dyDescent="0.2">
      <c r="A477" s="1169">
        <v>2022515</v>
      </c>
      <c r="B477" s="1169">
        <v>7658</v>
      </c>
      <c r="C477" s="1326" t="s">
        <v>673</v>
      </c>
      <c r="D477" s="1187" t="s">
        <v>699</v>
      </c>
      <c r="E477" s="1171">
        <v>80111600</v>
      </c>
      <c r="F477" s="1349" t="s">
        <v>1114</v>
      </c>
      <c r="G477" s="1343">
        <v>44562</v>
      </c>
      <c r="H477" s="1343">
        <v>44592</v>
      </c>
      <c r="I477" s="1173">
        <v>11.5</v>
      </c>
      <c r="J477" s="1173" t="s">
        <v>677</v>
      </c>
      <c r="K477" s="1174" t="s">
        <v>678</v>
      </c>
      <c r="L477" s="1175" t="s">
        <v>951</v>
      </c>
      <c r="M477" s="1176">
        <f>36685000-1595000</f>
        <v>35090000</v>
      </c>
      <c r="N477" s="1344" t="s">
        <v>775</v>
      </c>
      <c r="O477" s="1171" t="s">
        <v>915</v>
      </c>
      <c r="P477" s="1218" t="s">
        <v>682</v>
      </c>
      <c r="Q477" s="1160"/>
      <c r="R477" s="1327">
        <v>35090000</v>
      </c>
      <c r="S477" s="1327">
        <v>35090000</v>
      </c>
      <c r="T477" s="1327">
        <f>+'PAA V30'!$R477-'PAA V30'!$S477</f>
        <v>0</v>
      </c>
      <c r="U477" s="1327">
        <v>35090000</v>
      </c>
      <c r="V477" s="1327">
        <v>13398000</v>
      </c>
      <c r="W477" s="1327"/>
    </row>
    <row r="478" spans="1:23" s="1204" customFormat="1" ht="120" hidden="1" x14ac:dyDescent="0.2">
      <c r="A478" s="1169">
        <v>2022516</v>
      </c>
      <c r="B478" s="1169">
        <v>7658</v>
      </c>
      <c r="C478" s="1326" t="s">
        <v>673</v>
      </c>
      <c r="D478" s="1187" t="s">
        <v>699</v>
      </c>
      <c r="E478" s="1171">
        <v>80111600</v>
      </c>
      <c r="F478" s="1349" t="s">
        <v>1115</v>
      </c>
      <c r="G478" s="1343">
        <v>44562</v>
      </c>
      <c r="H478" s="1343">
        <v>44592</v>
      </c>
      <c r="I478" s="1173">
        <v>11.5</v>
      </c>
      <c r="J478" s="1173" t="s">
        <v>677</v>
      </c>
      <c r="K478" s="1174" t="s">
        <v>678</v>
      </c>
      <c r="L478" s="1175" t="s">
        <v>951</v>
      </c>
      <c r="M478" s="1176">
        <f>28175000-1225000</f>
        <v>26950000</v>
      </c>
      <c r="N478" s="1344" t="s">
        <v>772</v>
      </c>
      <c r="O478" s="1171" t="s">
        <v>915</v>
      </c>
      <c r="P478" s="1218" t="s">
        <v>682</v>
      </c>
      <c r="Q478" s="1160"/>
      <c r="R478" s="1327">
        <v>26950000</v>
      </c>
      <c r="S478" s="1327">
        <v>26950000</v>
      </c>
      <c r="T478" s="1327">
        <f>+'PAA V30'!$R478-'PAA V30'!$S478</f>
        <v>0</v>
      </c>
      <c r="U478" s="1327">
        <v>26950000</v>
      </c>
      <c r="V478" s="1327">
        <v>8983333</v>
      </c>
      <c r="W478" s="1327"/>
    </row>
    <row r="479" spans="1:23" s="1204" customFormat="1" ht="120" hidden="1" x14ac:dyDescent="0.2">
      <c r="A479" s="1169">
        <v>2022517</v>
      </c>
      <c r="B479" s="1169">
        <v>7658</v>
      </c>
      <c r="C479" s="1326" t="s">
        <v>673</v>
      </c>
      <c r="D479" s="1187" t="s">
        <v>699</v>
      </c>
      <c r="E479" s="1171">
        <v>80111600</v>
      </c>
      <c r="F479" s="1349" t="s">
        <v>1116</v>
      </c>
      <c r="G479" s="1343">
        <v>44562</v>
      </c>
      <c r="H479" s="1343">
        <v>44592</v>
      </c>
      <c r="I479" s="1173">
        <v>11.5</v>
      </c>
      <c r="J479" s="1173" t="s">
        <v>677</v>
      </c>
      <c r="K479" s="1174" t="s">
        <v>678</v>
      </c>
      <c r="L479" s="1175" t="s">
        <v>951</v>
      </c>
      <c r="M479" s="1176">
        <f>36685000-1595000</f>
        <v>35090000</v>
      </c>
      <c r="N479" s="1344" t="s">
        <v>775</v>
      </c>
      <c r="O479" s="1171" t="s">
        <v>915</v>
      </c>
      <c r="P479" s="1218" t="s">
        <v>682</v>
      </c>
      <c r="Q479" s="1160"/>
      <c r="R479" s="1327">
        <v>35090000</v>
      </c>
      <c r="S479" s="1327">
        <v>35090000</v>
      </c>
      <c r="T479" s="1327">
        <f>+'PAA V30'!$R479-'PAA V30'!$S479</f>
        <v>0</v>
      </c>
      <c r="U479" s="1327">
        <v>35090000</v>
      </c>
      <c r="V479" s="1327">
        <v>13079000</v>
      </c>
      <c r="W479" s="1327"/>
    </row>
    <row r="480" spans="1:23" s="1204" customFormat="1" ht="120" hidden="1" x14ac:dyDescent="0.2">
      <c r="A480" s="1169">
        <v>2022518</v>
      </c>
      <c r="B480" s="1169">
        <v>7658</v>
      </c>
      <c r="C480" s="1326" t="s">
        <v>673</v>
      </c>
      <c r="D480" s="1187" t="s">
        <v>699</v>
      </c>
      <c r="E480" s="1171">
        <v>80111600</v>
      </c>
      <c r="F480" s="1349" t="s">
        <v>1117</v>
      </c>
      <c r="G480" s="1343">
        <v>44562</v>
      </c>
      <c r="H480" s="1343">
        <v>44592</v>
      </c>
      <c r="I480" s="1173">
        <v>11.5</v>
      </c>
      <c r="J480" s="1173" t="s">
        <v>677</v>
      </c>
      <c r="K480" s="1174" t="s">
        <v>678</v>
      </c>
      <c r="L480" s="1175" t="s">
        <v>951</v>
      </c>
      <c r="M480" s="1176">
        <f>51750000-50000</f>
        <v>51700000</v>
      </c>
      <c r="N480" s="1344" t="s">
        <v>775</v>
      </c>
      <c r="O480" s="1171" t="s">
        <v>915</v>
      </c>
      <c r="P480" s="1218" t="s">
        <v>682</v>
      </c>
      <c r="Q480" s="1160"/>
      <c r="R480" s="1327">
        <v>51700000</v>
      </c>
      <c r="S480" s="1327">
        <v>51700000</v>
      </c>
      <c r="T480" s="1327">
        <f>+'PAA V30'!$R480-'PAA V30'!$S480</f>
        <v>0</v>
      </c>
      <c r="U480" s="1327">
        <v>51700000</v>
      </c>
      <c r="V480" s="1327">
        <v>19896667</v>
      </c>
      <c r="W480" s="1327"/>
    </row>
    <row r="481" spans="1:23" s="1204" customFormat="1" ht="120" hidden="1" x14ac:dyDescent="0.2">
      <c r="A481" s="1169">
        <v>2022519</v>
      </c>
      <c r="B481" s="1169">
        <v>7658</v>
      </c>
      <c r="C481" s="1326" t="s">
        <v>673</v>
      </c>
      <c r="D481" s="1187" t="s">
        <v>699</v>
      </c>
      <c r="E481" s="1171">
        <v>80111600</v>
      </c>
      <c r="F481" s="1349" t="s">
        <v>1118</v>
      </c>
      <c r="G481" s="1343">
        <v>44562</v>
      </c>
      <c r="H481" s="1343">
        <v>44592</v>
      </c>
      <c r="I481" s="1173">
        <v>11.5</v>
      </c>
      <c r="J481" s="1173" t="s">
        <v>677</v>
      </c>
      <c r="K481" s="1174" t="s">
        <v>678</v>
      </c>
      <c r="L481" s="1175" t="s">
        <v>951</v>
      </c>
      <c r="M481" s="1176">
        <f>54050000-4550000</f>
        <v>49500000</v>
      </c>
      <c r="N481" s="1344" t="s">
        <v>772</v>
      </c>
      <c r="O481" s="1171" t="s">
        <v>915</v>
      </c>
      <c r="P481" s="1218" t="s">
        <v>682</v>
      </c>
      <c r="Q481" s="1160"/>
      <c r="R481" s="1327">
        <v>49500000</v>
      </c>
      <c r="S481" s="1327">
        <v>49500000</v>
      </c>
      <c r="T481" s="1327">
        <f>+'PAA V30'!$R481-'PAA V30'!$S481</f>
        <v>0</v>
      </c>
      <c r="U481" s="1327">
        <v>49500000</v>
      </c>
      <c r="V481" s="1327">
        <v>19650000</v>
      </c>
      <c r="W481" s="1327"/>
    </row>
    <row r="482" spans="1:23" s="1204" customFormat="1" ht="120" hidden="1" x14ac:dyDescent="0.2">
      <c r="A482" s="1169">
        <v>2022520</v>
      </c>
      <c r="B482" s="1169">
        <v>7658</v>
      </c>
      <c r="C482" s="1326" t="s">
        <v>673</v>
      </c>
      <c r="D482" s="1187" t="s">
        <v>699</v>
      </c>
      <c r="E482" s="1171">
        <v>80111600</v>
      </c>
      <c r="F482" s="1349" t="s">
        <v>1119</v>
      </c>
      <c r="G482" s="1343">
        <v>44562</v>
      </c>
      <c r="H482" s="1343">
        <v>44592</v>
      </c>
      <c r="I482" s="1173">
        <v>11.5</v>
      </c>
      <c r="J482" s="1173" t="s">
        <v>677</v>
      </c>
      <c r="K482" s="1174" t="s">
        <v>678</v>
      </c>
      <c r="L482" s="1175" t="s">
        <v>951</v>
      </c>
      <c r="M482" s="1176">
        <f>51750000-2250000</f>
        <v>49500000</v>
      </c>
      <c r="N482" s="1344" t="s">
        <v>775</v>
      </c>
      <c r="O482" s="1171" t="s">
        <v>915</v>
      </c>
      <c r="P482" s="1218" t="s">
        <v>682</v>
      </c>
      <c r="Q482" s="1160"/>
      <c r="R482" s="1327">
        <v>49500000</v>
      </c>
      <c r="S482" s="1327">
        <v>49500000</v>
      </c>
      <c r="T482" s="1327">
        <f>+'PAA V30'!$R482-'PAA V30'!$S482</f>
        <v>0</v>
      </c>
      <c r="U482" s="1327">
        <v>49500000</v>
      </c>
      <c r="V482" s="1327">
        <v>18750000</v>
      </c>
      <c r="W482" s="1327"/>
    </row>
    <row r="483" spans="1:23" s="1204" customFormat="1" ht="120" hidden="1" x14ac:dyDescent="0.2">
      <c r="A483" s="1169">
        <v>2022521</v>
      </c>
      <c r="B483" s="1169">
        <v>7658</v>
      </c>
      <c r="C483" s="1326" t="s">
        <v>673</v>
      </c>
      <c r="D483" s="1187" t="s">
        <v>699</v>
      </c>
      <c r="E483" s="1171">
        <v>80111600</v>
      </c>
      <c r="F483" s="1349" t="s">
        <v>1120</v>
      </c>
      <c r="G483" s="1343">
        <v>44562</v>
      </c>
      <c r="H483" s="1343">
        <v>44592</v>
      </c>
      <c r="I483" s="1173">
        <v>11.5</v>
      </c>
      <c r="J483" s="1173" t="s">
        <v>677</v>
      </c>
      <c r="K483" s="1174" t="s">
        <v>678</v>
      </c>
      <c r="L483" s="1175" t="s">
        <v>951</v>
      </c>
      <c r="M483" s="1176">
        <f>45655000-1985000</f>
        <v>43670000</v>
      </c>
      <c r="N483" s="1344" t="s">
        <v>775</v>
      </c>
      <c r="O483" s="1171" t="s">
        <v>915</v>
      </c>
      <c r="P483" s="1218" t="s">
        <v>682</v>
      </c>
      <c r="Q483" s="1160"/>
      <c r="R483" s="1327">
        <v>43670000</v>
      </c>
      <c r="S483" s="1327">
        <v>43670000</v>
      </c>
      <c r="T483" s="1327">
        <f>+'PAA V30'!$R483-'PAA V30'!$S483</f>
        <v>0</v>
      </c>
      <c r="U483" s="1327">
        <v>43670000</v>
      </c>
      <c r="V483" s="1327">
        <v>16277000</v>
      </c>
      <c r="W483" s="1327"/>
    </row>
    <row r="484" spans="1:23" s="1204" customFormat="1" ht="120" hidden="1" x14ac:dyDescent="0.2">
      <c r="A484" s="1169">
        <v>2022522</v>
      </c>
      <c r="B484" s="1169">
        <v>7658</v>
      </c>
      <c r="C484" s="1326" t="s">
        <v>673</v>
      </c>
      <c r="D484" s="1187" t="s">
        <v>699</v>
      </c>
      <c r="E484" s="1171">
        <v>80111600</v>
      </c>
      <c r="F484" s="1349" t="s">
        <v>1107</v>
      </c>
      <c r="G484" s="1343">
        <v>44562</v>
      </c>
      <c r="H484" s="1343">
        <v>44592</v>
      </c>
      <c r="I484" s="1173">
        <v>11.5</v>
      </c>
      <c r="J484" s="1173" t="s">
        <v>677</v>
      </c>
      <c r="K484" s="1174" t="s">
        <v>678</v>
      </c>
      <c r="L484" s="1175" t="s">
        <v>951</v>
      </c>
      <c r="M484" s="1176">
        <f>82915000-3605000</f>
        <v>79310000</v>
      </c>
      <c r="N484" s="1344" t="s">
        <v>775</v>
      </c>
      <c r="O484" s="1171" t="s">
        <v>915</v>
      </c>
      <c r="P484" s="1218" t="s">
        <v>682</v>
      </c>
      <c r="Q484" s="1160"/>
      <c r="R484" s="1327">
        <v>79310000</v>
      </c>
      <c r="S484" s="1327">
        <v>79310000</v>
      </c>
      <c r="T484" s="1327">
        <f>+'PAA V30'!$R484-'PAA V30'!$S484</f>
        <v>0</v>
      </c>
      <c r="U484" s="1327">
        <v>79310000</v>
      </c>
      <c r="V484" s="1327">
        <v>31483667</v>
      </c>
      <c r="W484" s="1327"/>
    </row>
    <row r="485" spans="1:23" s="1204" customFormat="1" ht="120" hidden="1" x14ac:dyDescent="0.2">
      <c r="A485" s="1169">
        <v>2022523</v>
      </c>
      <c r="B485" s="1169">
        <v>7658</v>
      </c>
      <c r="C485" s="1326" t="s">
        <v>673</v>
      </c>
      <c r="D485" s="1187" t="s">
        <v>699</v>
      </c>
      <c r="E485" s="1171">
        <v>80111600</v>
      </c>
      <c r="F485" s="1349" t="s">
        <v>1121</v>
      </c>
      <c r="G485" s="1343">
        <v>44562</v>
      </c>
      <c r="H485" s="1343">
        <v>44592</v>
      </c>
      <c r="I485" s="1173">
        <v>11.5</v>
      </c>
      <c r="J485" s="1173" t="s">
        <v>677</v>
      </c>
      <c r="K485" s="1174" t="s">
        <v>678</v>
      </c>
      <c r="L485" s="1175" t="s">
        <v>951</v>
      </c>
      <c r="M485" s="1176">
        <f>54510000-2370000</f>
        <v>52140000</v>
      </c>
      <c r="N485" s="1344" t="s">
        <v>772</v>
      </c>
      <c r="O485" s="1171" t="s">
        <v>915</v>
      </c>
      <c r="P485" s="1218" t="s">
        <v>682</v>
      </c>
      <c r="Q485" s="1160"/>
      <c r="R485" s="1327">
        <v>52140000</v>
      </c>
      <c r="S485" s="1327">
        <v>52140000</v>
      </c>
      <c r="T485" s="1327">
        <f>+'PAA V30'!$R485-'PAA V30'!$S485</f>
        <v>0</v>
      </c>
      <c r="U485" s="1327">
        <v>52140000</v>
      </c>
      <c r="V485" s="1327">
        <v>20382000</v>
      </c>
      <c r="W485" s="1327"/>
    </row>
    <row r="486" spans="1:23" s="1204" customFormat="1" ht="120" hidden="1" x14ac:dyDescent="0.2">
      <c r="A486" s="1169">
        <v>2022524</v>
      </c>
      <c r="B486" s="1169">
        <v>7658</v>
      </c>
      <c r="C486" s="1326" t="s">
        <v>673</v>
      </c>
      <c r="D486" s="1187" t="s">
        <v>699</v>
      </c>
      <c r="E486" s="1171">
        <v>80111600</v>
      </c>
      <c r="F486" s="1349" t="s">
        <v>1122</v>
      </c>
      <c r="G486" s="1343">
        <v>44562</v>
      </c>
      <c r="H486" s="1343">
        <v>44592</v>
      </c>
      <c r="I486" s="1173">
        <v>11.5</v>
      </c>
      <c r="J486" s="1173" t="s">
        <v>677</v>
      </c>
      <c r="K486" s="1174" t="s">
        <v>678</v>
      </c>
      <c r="L486" s="1175" t="s">
        <v>951</v>
      </c>
      <c r="M486" s="1176">
        <f>36685000-1595000-9038335</f>
        <v>26051665</v>
      </c>
      <c r="N486" s="1344" t="s">
        <v>775</v>
      </c>
      <c r="O486" s="1171" t="s">
        <v>915</v>
      </c>
      <c r="P486" s="1218" t="s">
        <v>682</v>
      </c>
      <c r="Q486" s="1160"/>
      <c r="R486" s="1327">
        <v>35090000</v>
      </c>
      <c r="S486" s="1327">
        <v>35090000</v>
      </c>
      <c r="T486" s="1327">
        <f>+'PAA V30'!$R486-'PAA V30'!$S486</f>
        <v>0</v>
      </c>
      <c r="U486" s="1327">
        <v>35090000</v>
      </c>
      <c r="V486" s="1327">
        <v>10420666</v>
      </c>
      <c r="W486" s="1327"/>
    </row>
    <row r="487" spans="1:23" s="1204" customFormat="1" ht="120" hidden="1" x14ac:dyDescent="0.2">
      <c r="A487" s="1169">
        <v>2022525</v>
      </c>
      <c r="B487" s="1169">
        <v>7658</v>
      </c>
      <c r="C487" s="1326" t="s">
        <v>673</v>
      </c>
      <c r="D487" s="1187" t="s">
        <v>699</v>
      </c>
      <c r="E487" s="1171">
        <v>80111600</v>
      </c>
      <c r="F487" s="1349" t="s">
        <v>1123</v>
      </c>
      <c r="G487" s="1343">
        <v>44562</v>
      </c>
      <c r="H487" s="1343">
        <v>44592</v>
      </c>
      <c r="I487" s="1173">
        <v>11.5</v>
      </c>
      <c r="J487" s="1173" t="s">
        <v>677</v>
      </c>
      <c r="K487" s="1174" t="s">
        <v>678</v>
      </c>
      <c r="L487" s="1175" t="s">
        <v>951</v>
      </c>
      <c r="M487" s="1176">
        <f>54050000-2350000</f>
        <v>51700000</v>
      </c>
      <c r="N487" s="1344" t="s">
        <v>775</v>
      </c>
      <c r="O487" s="1171" t="s">
        <v>915</v>
      </c>
      <c r="P487" s="1218" t="s">
        <v>682</v>
      </c>
      <c r="Q487" s="1160"/>
      <c r="R487" s="1327">
        <v>51700000</v>
      </c>
      <c r="S487" s="1327">
        <v>51700000</v>
      </c>
      <c r="T487" s="1327">
        <f>+'PAA V30'!$R487-'PAA V30'!$S487</f>
        <v>0</v>
      </c>
      <c r="U487" s="1327">
        <v>51700000</v>
      </c>
      <c r="V487" s="1327">
        <v>18956667</v>
      </c>
      <c r="W487" s="1327"/>
    </row>
    <row r="488" spans="1:23" s="1204" customFormat="1" ht="120" hidden="1" x14ac:dyDescent="0.2">
      <c r="A488" s="1169">
        <v>2022526</v>
      </c>
      <c r="B488" s="1169">
        <v>7658</v>
      </c>
      <c r="C488" s="1326" t="s">
        <v>673</v>
      </c>
      <c r="D488" s="1187" t="s">
        <v>699</v>
      </c>
      <c r="E488" s="1171">
        <v>80111600</v>
      </c>
      <c r="F488" s="1349" t="s">
        <v>1124</v>
      </c>
      <c r="G488" s="1343">
        <v>44562</v>
      </c>
      <c r="H488" s="1343">
        <v>44592</v>
      </c>
      <c r="I488" s="1173">
        <v>11.5</v>
      </c>
      <c r="J488" s="1173" t="s">
        <v>677</v>
      </c>
      <c r="K488" s="1174" t="s">
        <v>678</v>
      </c>
      <c r="L488" s="1175" t="s">
        <v>951</v>
      </c>
      <c r="M488" s="1176">
        <f>28175000-1225000</f>
        <v>26950000</v>
      </c>
      <c r="N488" s="1344" t="s">
        <v>775</v>
      </c>
      <c r="O488" s="1171" t="s">
        <v>915</v>
      </c>
      <c r="P488" s="1218" t="s">
        <v>682</v>
      </c>
      <c r="Q488" s="1160"/>
      <c r="R488" s="1327">
        <v>26950000</v>
      </c>
      <c r="S488" s="1327">
        <v>26950000</v>
      </c>
      <c r="T488" s="1327">
        <f>+'PAA V30'!$R488-'PAA V30'!$S488</f>
        <v>0</v>
      </c>
      <c r="U488" s="1327">
        <v>26950000</v>
      </c>
      <c r="V488" s="1327">
        <v>10290000</v>
      </c>
      <c r="W488" s="1327"/>
    </row>
    <row r="489" spans="1:23" s="1204" customFormat="1" ht="120" hidden="1" x14ac:dyDescent="0.2">
      <c r="A489" s="1169">
        <v>2022527</v>
      </c>
      <c r="B489" s="1169">
        <v>7658</v>
      </c>
      <c r="C489" s="1326" t="s">
        <v>673</v>
      </c>
      <c r="D489" s="1187" t="s">
        <v>699</v>
      </c>
      <c r="E489" s="1171">
        <v>80111600</v>
      </c>
      <c r="F489" s="1349" t="s">
        <v>1125</v>
      </c>
      <c r="G489" s="1343">
        <v>44562</v>
      </c>
      <c r="H489" s="1343">
        <v>44592</v>
      </c>
      <c r="I489" s="1173">
        <v>11.5</v>
      </c>
      <c r="J489" s="1173" t="s">
        <v>677</v>
      </c>
      <c r="K489" s="1174" t="s">
        <v>678</v>
      </c>
      <c r="L489" s="1175" t="s">
        <v>951</v>
      </c>
      <c r="M489" s="1176">
        <f>36685000+28175000-6435000-1000000-225000</f>
        <v>57200000</v>
      </c>
      <c r="N489" s="1344" t="s">
        <v>775</v>
      </c>
      <c r="O489" s="1171" t="s">
        <v>915</v>
      </c>
      <c r="P489" s="1218" t="s">
        <v>682</v>
      </c>
      <c r="Q489" s="1160"/>
      <c r="R489" s="1327">
        <v>30250000</v>
      </c>
      <c r="S489" s="1327">
        <v>30250000</v>
      </c>
      <c r="T489" s="1327">
        <f>+'PAA V30'!$R489-'PAA V30'!$S489</f>
        <v>0</v>
      </c>
      <c r="U489" s="1327">
        <v>30250000</v>
      </c>
      <c r="V489" s="1327">
        <v>11091667</v>
      </c>
      <c r="W489" s="1327"/>
    </row>
    <row r="490" spans="1:23" s="1204" customFormat="1" ht="120" hidden="1" x14ac:dyDescent="0.2">
      <c r="A490" s="1169">
        <v>2022528</v>
      </c>
      <c r="B490" s="1169">
        <v>7658</v>
      </c>
      <c r="C490" s="1326" t="s">
        <v>673</v>
      </c>
      <c r="D490" s="1187" t="s">
        <v>699</v>
      </c>
      <c r="E490" s="1171">
        <v>80111600</v>
      </c>
      <c r="F490" s="1349" t="s">
        <v>1126</v>
      </c>
      <c r="G490" s="1343">
        <v>44562</v>
      </c>
      <c r="H490" s="1343">
        <v>44592</v>
      </c>
      <c r="I490" s="1173">
        <v>11.5</v>
      </c>
      <c r="J490" s="1173" t="s">
        <v>677</v>
      </c>
      <c r="K490" s="1174" t="s">
        <v>678</v>
      </c>
      <c r="L490" s="1175" t="s">
        <v>951</v>
      </c>
      <c r="M490" s="1176">
        <f>51750000-2250000</f>
        <v>49500000</v>
      </c>
      <c r="N490" s="1344" t="s">
        <v>775</v>
      </c>
      <c r="O490" s="1171" t="s">
        <v>915</v>
      </c>
      <c r="P490" s="1218" t="s">
        <v>682</v>
      </c>
      <c r="Q490" s="1160"/>
      <c r="R490" s="1327">
        <v>49500000</v>
      </c>
      <c r="S490" s="1327">
        <v>49500000</v>
      </c>
      <c r="T490" s="1327">
        <f>+'PAA V30'!$R490-'PAA V30'!$S490</f>
        <v>0</v>
      </c>
      <c r="U490" s="1327">
        <v>49500000</v>
      </c>
      <c r="V490" s="1327">
        <v>17700000</v>
      </c>
      <c r="W490" s="1327"/>
    </row>
    <row r="491" spans="1:23" s="1204" customFormat="1" ht="120" hidden="1" x14ac:dyDescent="0.2">
      <c r="A491" s="1169">
        <v>2022529</v>
      </c>
      <c r="B491" s="1169">
        <v>7658</v>
      </c>
      <c r="C491" s="1326" t="s">
        <v>673</v>
      </c>
      <c r="D491" s="1187" t="s">
        <v>699</v>
      </c>
      <c r="E491" s="1171">
        <v>80111600</v>
      </c>
      <c r="F491" s="1349" t="s">
        <v>1127</v>
      </c>
      <c r="G491" s="1343">
        <v>44562</v>
      </c>
      <c r="H491" s="1343">
        <v>44592</v>
      </c>
      <c r="I491" s="1173">
        <v>11.5</v>
      </c>
      <c r="J491" s="1173" t="s">
        <v>677</v>
      </c>
      <c r="K491" s="1174" t="s">
        <v>678</v>
      </c>
      <c r="L491" s="1175" t="s">
        <v>951</v>
      </c>
      <c r="M491" s="1176">
        <f>48300000+20700000-1200000-33000000-7800000</f>
        <v>27000000</v>
      </c>
      <c r="N491" s="1344" t="s">
        <v>775</v>
      </c>
      <c r="O491" s="1171" t="s">
        <v>915</v>
      </c>
      <c r="P491" s="1218" t="s">
        <v>682</v>
      </c>
      <c r="Q491" s="1160"/>
      <c r="R491" s="1327">
        <v>27000000</v>
      </c>
      <c r="S491" s="1327">
        <v>27000000</v>
      </c>
      <c r="T491" s="1327">
        <f>+'PAA V30'!$R491-'PAA V30'!$S491</f>
        <v>0</v>
      </c>
      <c r="U491" s="1327">
        <v>27000000</v>
      </c>
      <c r="V491" s="1327">
        <v>18150000</v>
      </c>
      <c r="W491" s="1327"/>
    </row>
    <row r="492" spans="1:23" s="1204" customFormat="1" ht="120" hidden="1" x14ac:dyDescent="0.2">
      <c r="A492" s="1169">
        <v>2022530</v>
      </c>
      <c r="B492" s="1169">
        <v>7658</v>
      </c>
      <c r="C492" s="1326" t="s">
        <v>673</v>
      </c>
      <c r="D492" s="1187" t="s">
        <v>699</v>
      </c>
      <c r="E492" s="1171">
        <v>80111600</v>
      </c>
      <c r="F492" s="1349" t="s">
        <v>1107</v>
      </c>
      <c r="G492" s="1343">
        <v>44562</v>
      </c>
      <c r="H492" s="1343">
        <v>44592</v>
      </c>
      <c r="I492" s="1173">
        <v>11.5</v>
      </c>
      <c r="J492" s="1173" t="s">
        <v>677</v>
      </c>
      <c r="K492" s="1174" t="s">
        <v>678</v>
      </c>
      <c r="L492" s="1175" t="s">
        <v>951</v>
      </c>
      <c r="M492" s="1176">
        <f>82915000-3605000</f>
        <v>79310000</v>
      </c>
      <c r="N492" s="1344" t="s">
        <v>775</v>
      </c>
      <c r="O492" s="1171" t="s">
        <v>915</v>
      </c>
      <c r="P492" s="1218" t="s">
        <v>682</v>
      </c>
      <c r="Q492" s="1160"/>
      <c r="R492" s="1327">
        <v>79310000</v>
      </c>
      <c r="S492" s="1327">
        <v>79310000</v>
      </c>
      <c r="T492" s="1327">
        <f>+'PAA V30'!$R492-'PAA V30'!$S492</f>
        <v>0</v>
      </c>
      <c r="U492" s="1327">
        <v>79310000</v>
      </c>
      <c r="V492" s="1327">
        <v>30522333</v>
      </c>
      <c r="W492" s="1327"/>
    </row>
    <row r="493" spans="1:23" s="1204" customFormat="1" ht="120" hidden="1" x14ac:dyDescent="0.2">
      <c r="A493" s="1169">
        <v>2022531</v>
      </c>
      <c r="B493" s="1169">
        <v>7658</v>
      </c>
      <c r="C493" s="1326" t="s">
        <v>673</v>
      </c>
      <c r="D493" s="1187" t="s">
        <v>699</v>
      </c>
      <c r="E493" s="1171">
        <v>80111600</v>
      </c>
      <c r="F493" s="1349" t="s">
        <v>1128</v>
      </c>
      <c r="G493" s="1343">
        <v>44562</v>
      </c>
      <c r="H493" s="1343">
        <v>44592</v>
      </c>
      <c r="I493" s="1173">
        <v>11.5</v>
      </c>
      <c r="J493" s="1173" t="s">
        <v>677</v>
      </c>
      <c r="K493" s="1174" t="s">
        <v>678</v>
      </c>
      <c r="L493" s="1175" t="s">
        <v>951</v>
      </c>
      <c r="M493" s="1176">
        <f>45655000-1985000</f>
        <v>43670000</v>
      </c>
      <c r="N493" s="1344" t="s">
        <v>772</v>
      </c>
      <c r="O493" s="1171" t="s">
        <v>915</v>
      </c>
      <c r="P493" s="1218" t="s">
        <v>682</v>
      </c>
      <c r="Q493" s="1160"/>
      <c r="R493" s="1327">
        <v>43670000</v>
      </c>
      <c r="S493" s="1327">
        <v>43670000</v>
      </c>
      <c r="T493" s="1327">
        <f>+'PAA V30'!$R493-'PAA V30'!$S493</f>
        <v>0</v>
      </c>
      <c r="U493" s="1327">
        <v>43670000</v>
      </c>
      <c r="V493" s="1327">
        <v>16012333</v>
      </c>
      <c r="W493" s="1327"/>
    </row>
    <row r="494" spans="1:23" s="1204" customFormat="1" ht="120" hidden="1" x14ac:dyDescent="0.2">
      <c r="A494" s="1169">
        <v>2022532</v>
      </c>
      <c r="B494" s="1169">
        <v>7658</v>
      </c>
      <c r="C494" s="1326" t="s">
        <v>673</v>
      </c>
      <c r="D494" s="1187" t="s">
        <v>699</v>
      </c>
      <c r="E494" s="1171">
        <v>80111600</v>
      </c>
      <c r="F494" s="1349" t="s">
        <v>1129</v>
      </c>
      <c r="G494" s="1343">
        <v>44562</v>
      </c>
      <c r="H494" s="1343">
        <v>44592</v>
      </c>
      <c r="I494" s="1173">
        <v>11.5</v>
      </c>
      <c r="J494" s="1173" t="s">
        <v>677</v>
      </c>
      <c r="K494" s="1174" t="s">
        <v>678</v>
      </c>
      <c r="L494" s="1175" t="s">
        <v>951</v>
      </c>
      <c r="M494" s="1176">
        <f>47380000-2060000</f>
        <v>45320000</v>
      </c>
      <c r="N494" s="1344" t="s">
        <v>772</v>
      </c>
      <c r="O494" s="1171" t="s">
        <v>915</v>
      </c>
      <c r="P494" s="1218" t="s">
        <v>682</v>
      </c>
      <c r="Q494" s="1160"/>
      <c r="R494" s="1327">
        <v>45320000</v>
      </c>
      <c r="S494" s="1327">
        <v>45320000</v>
      </c>
      <c r="T494" s="1327">
        <f>+'PAA V30'!$R494-'PAA V30'!$S494</f>
        <v>0</v>
      </c>
      <c r="U494" s="1327">
        <v>45320000</v>
      </c>
      <c r="V494" s="1327">
        <v>13458667</v>
      </c>
      <c r="W494" s="1327"/>
    </row>
    <row r="495" spans="1:23" s="1204" customFormat="1" ht="120" hidden="1" x14ac:dyDescent="0.2">
      <c r="A495" s="1169">
        <v>2022533</v>
      </c>
      <c r="B495" s="1169">
        <v>7658</v>
      </c>
      <c r="C495" s="1326" t="s">
        <v>673</v>
      </c>
      <c r="D495" s="1187" t="s">
        <v>699</v>
      </c>
      <c r="E495" s="1171">
        <v>80111600</v>
      </c>
      <c r="F495" s="1349" t="s">
        <v>1130</v>
      </c>
      <c r="G495" s="1343">
        <v>44562</v>
      </c>
      <c r="H495" s="1343">
        <v>44592</v>
      </c>
      <c r="I495" s="1173">
        <v>11.5</v>
      </c>
      <c r="J495" s="1173" t="s">
        <v>677</v>
      </c>
      <c r="K495" s="1174" t="s">
        <v>678</v>
      </c>
      <c r="L495" s="1175" t="s">
        <v>951</v>
      </c>
      <c r="M495" s="1176">
        <f>54050000-2350000</f>
        <v>51700000</v>
      </c>
      <c r="N495" s="1344" t="s">
        <v>772</v>
      </c>
      <c r="O495" s="1171" t="s">
        <v>915</v>
      </c>
      <c r="P495" s="1218" t="s">
        <v>682</v>
      </c>
      <c r="Q495" s="1160"/>
      <c r="R495" s="1327">
        <v>51700000</v>
      </c>
      <c r="S495" s="1327">
        <v>51700000</v>
      </c>
      <c r="T495" s="1327">
        <f>+'PAA V30'!$R495-'PAA V30'!$S495</f>
        <v>0</v>
      </c>
      <c r="U495" s="1327">
        <v>51700000</v>
      </c>
      <c r="V495" s="1327">
        <v>19270000</v>
      </c>
      <c r="W495" s="1327"/>
    </row>
    <row r="496" spans="1:23" s="1204" customFormat="1" ht="120" hidden="1" x14ac:dyDescent="0.2">
      <c r="A496" s="1169">
        <v>2022534</v>
      </c>
      <c r="B496" s="1169">
        <v>7658</v>
      </c>
      <c r="C496" s="1326" t="s">
        <v>673</v>
      </c>
      <c r="D496" s="1187" t="s">
        <v>699</v>
      </c>
      <c r="E496" s="1171">
        <v>80111600</v>
      </c>
      <c r="F496" s="1349" t="s">
        <v>1131</v>
      </c>
      <c r="G496" s="1343">
        <v>44562</v>
      </c>
      <c r="H496" s="1343">
        <v>44592</v>
      </c>
      <c r="I496" s="1173">
        <v>11.5</v>
      </c>
      <c r="J496" s="1173" t="s">
        <v>677</v>
      </c>
      <c r="K496" s="1174" t="s">
        <v>678</v>
      </c>
      <c r="L496" s="1175" t="s">
        <v>951</v>
      </c>
      <c r="M496" s="1176">
        <f>88550000-3850000</f>
        <v>84700000</v>
      </c>
      <c r="N496" s="1344" t="s">
        <v>775</v>
      </c>
      <c r="O496" s="1171" t="s">
        <v>915</v>
      </c>
      <c r="P496" s="1218" t="s">
        <v>682</v>
      </c>
      <c r="Q496" s="1160"/>
      <c r="R496" s="1327">
        <v>84700000</v>
      </c>
      <c r="S496" s="1327">
        <v>84700000</v>
      </c>
      <c r="T496" s="1327">
        <f>+'PAA V30'!$R496-'PAA V30'!$S496</f>
        <v>0</v>
      </c>
      <c r="U496" s="1327">
        <v>84700000</v>
      </c>
      <c r="V496" s="1327">
        <v>32340000</v>
      </c>
      <c r="W496" s="1327"/>
    </row>
    <row r="497" spans="1:23" s="1204" customFormat="1" ht="120" hidden="1" x14ac:dyDescent="0.2">
      <c r="A497" s="1169">
        <v>2022535</v>
      </c>
      <c r="B497" s="1169">
        <v>7658</v>
      </c>
      <c r="C497" s="1326" t="s">
        <v>673</v>
      </c>
      <c r="D497" s="1187" t="s">
        <v>699</v>
      </c>
      <c r="E497" s="1171">
        <v>80111600</v>
      </c>
      <c r="F497" s="1349" t="s">
        <v>1132</v>
      </c>
      <c r="G497" s="1343">
        <v>44562</v>
      </c>
      <c r="H497" s="1343">
        <v>44592</v>
      </c>
      <c r="I497" s="1173">
        <v>11.5</v>
      </c>
      <c r="J497" s="1173" t="s">
        <v>677</v>
      </c>
      <c r="K497" s="1174" t="s">
        <v>678</v>
      </c>
      <c r="L497" s="1175" t="s">
        <v>951</v>
      </c>
      <c r="M497" s="1176">
        <f>38525000-1675000</f>
        <v>36850000</v>
      </c>
      <c r="N497" s="1344" t="s">
        <v>775</v>
      </c>
      <c r="O497" s="1171" t="s">
        <v>915</v>
      </c>
      <c r="P497" s="1218" t="s">
        <v>682</v>
      </c>
      <c r="Q497" s="1160"/>
      <c r="R497" s="1327">
        <v>36850000</v>
      </c>
      <c r="S497" s="1327">
        <v>36850000</v>
      </c>
      <c r="T497" s="1327">
        <f>+'PAA V30'!$R497-'PAA V30'!$S497</f>
        <v>0</v>
      </c>
      <c r="U497" s="1327">
        <v>36850000</v>
      </c>
      <c r="V497" s="1327">
        <v>14293333</v>
      </c>
      <c r="W497" s="1327"/>
    </row>
    <row r="498" spans="1:23" s="1204" customFormat="1" ht="120" hidden="1" x14ac:dyDescent="0.2">
      <c r="A498" s="1169">
        <v>2022536</v>
      </c>
      <c r="B498" s="1169">
        <v>7658</v>
      </c>
      <c r="C498" s="1326" t="s">
        <v>673</v>
      </c>
      <c r="D498" s="1187" t="s">
        <v>699</v>
      </c>
      <c r="E498" s="1171">
        <v>80111600</v>
      </c>
      <c r="F498" s="1349" t="s">
        <v>1133</v>
      </c>
      <c r="G498" s="1343">
        <v>44562</v>
      </c>
      <c r="H498" s="1343">
        <v>44592</v>
      </c>
      <c r="I498" s="1173">
        <v>11.5</v>
      </c>
      <c r="J498" s="1173" t="s">
        <v>677</v>
      </c>
      <c r="K498" s="1174" t="s">
        <v>678</v>
      </c>
      <c r="L498" s="1175" t="s">
        <v>951</v>
      </c>
      <c r="M498" s="1176">
        <f>38525000-1125000</f>
        <v>37400000</v>
      </c>
      <c r="N498" s="1344" t="s">
        <v>775</v>
      </c>
      <c r="O498" s="1171" t="s">
        <v>915</v>
      </c>
      <c r="P498" s="1218" t="s">
        <v>682</v>
      </c>
      <c r="Q498" s="1160"/>
      <c r="R498" s="1327">
        <v>37400000</v>
      </c>
      <c r="S498" s="1327">
        <v>37400000</v>
      </c>
      <c r="T498" s="1327">
        <f>+'PAA V30'!$R498-'PAA V30'!$S498</f>
        <v>0</v>
      </c>
      <c r="U498" s="1327">
        <v>37400000</v>
      </c>
      <c r="V498" s="1327">
        <v>13713333</v>
      </c>
      <c r="W498" s="1327"/>
    </row>
    <row r="499" spans="1:23" s="1204" customFormat="1" ht="120" hidden="1" x14ac:dyDescent="0.2">
      <c r="A499" s="1169">
        <v>2022537</v>
      </c>
      <c r="B499" s="1169">
        <v>7658</v>
      </c>
      <c r="C499" s="1326" t="s">
        <v>673</v>
      </c>
      <c r="D499" s="1187" t="s">
        <v>699</v>
      </c>
      <c r="E499" s="1171">
        <v>80111600</v>
      </c>
      <c r="F499" s="1349" t="s">
        <v>1134</v>
      </c>
      <c r="G499" s="1343">
        <v>44562</v>
      </c>
      <c r="H499" s="1343">
        <v>44592</v>
      </c>
      <c r="I499" s="1173">
        <v>11.5</v>
      </c>
      <c r="J499" s="1173" t="s">
        <v>677</v>
      </c>
      <c r="K499" s="1174" t="s">
        <v>678</v>
      </c>
      <c r="L499" s="1175" t="s">
        <v>951</v>
      </c>
      <c r="M499" s="1176">
        <f>48300000+13225000+7475000-3000000-30148267-9651733</f>
        <v>26200000</v>
      </c>
      <c r="N499" s="1344" t="s">
        <v>772</v>
      </c>
      <c r="O499" s="1171" t="s">
        <v>915</v>
      </c>
      <c r="P499" s="1218" t="s">
        <v>682</v>
      </c>
      <c r="Q499" s="1160"/>
      <c r="R499" s="1327">
        <v>66000000</v>
      </c>
      <c r="S499" s="1327">
        <v>66000000</v>
      </c>
      <c r="T499" s="1327">
        <f>+'PAA V30'!$R499-'PAA V30'!$S499</f>
        <v>0</v>
      </c>
      <c r="U499" s="1327">
        <v>66000000</v>
      </c>
      <c r="V499" s="1327">
        <v>18000000</v>
      </c>
      <c r="W499" s="1327"/>
    </row>
    <row r="500" spans="1:23" s="1204" customFormat="1" ht="120" hidden="1" x14ac:dyDescent="0.2">
      <c r="A500" s="1169">
        <v>2022538</v>
      </c>
      <c r="B500" s="1169">
        <v>7658</v>
      </c>
      <c r="C500" s="1326" t="s">
        <v>673</v>
      </c>
      <c r="D500" s="1187" t="s">
        <v>699</v>
      </c>
      <c r="E500" s="1171">
        <v>80111600</v>
      </c>
      <c r="F500" s="1349" t="s">
        <v>1135</v>
      </c>
      <c r="G500" s="1343">
        <v>44562</v>
      </c>
      <c r="H500" s="1343">
        <v>44592</v>
      </c>
      <c r="I500" s="1173">
        <v>11.5</v>
      </c>
      <c r="J500" s="1173" t="s">
        <v>677</v>
      </c>
      <c r="K500" s="1174" t="s">
        <v>678</v>
      </c>
      <c r="L500" s="1175" t="s">
        <v>951</v>
      </c>
      <c r="M500" s="1176">
        <f>65550000-23200000</f>
        <v>42350000</v>
      </c>
      <c r="N500" s="1344" t="s">
        <v>775</v>
      </c>
      <c r="O500" s="1171" t="s">
        <v>915</v>
      </c>
      <c r="P500" s="1218" t="s">
        <v>682</v>
      </c>
      <c r="Q500" s="1160"/>
      <c r="R500" s="1327">
        <v>42350000</v>
      </c>
      <c r="S500" s="1327">
        <v>42350000</v>
      </c>
      <c r="T500" s="1327">
        <f>+'PAA V30'!$R500-'PAA V30'!$S500</f>
        <v>0</v>
      </c>
      <c r="U500" s="1327">
        <v>42350000</v>
      </c>
      <c r="V500" s="1327">
        <v>15143333</v>
      </c>
      <c r="W500" s="1327"/>
    </row>
    <row r="501" spans="1:23" s="1204" customFormat="1" ht="120" hidden="1" x14ac:dyDescent="0.2">
      <c r="A501" s="1169">
        <v>2022539</v>
      </c>
      <c r="B501" s="1169">
        <v>7658</v>
      </c>
      <c r="C501" s="1326" t="s">
        <v>673</v>
      </c>
      <c r="D501" s="1187" t="s">
        <v>699</v>
      </c>
      <c r="E501" s="1171">
        <v>80111600</v>
      </c>
      <c r="F501" s="1349" t="s">
        <v>1136</v>
      </c>
      <c r="G501" s="1343">
        <v>44562</v>
      </c>
      <c r="H501" s="1343">
        <v>44592</v>
      </c>
      <c r="I501" s="1173">
        <v>11.5</v>
      </c>
      <c r="J501" s="1173" t="s">
        <v>677</v>
      </c>
      <c r="K501" s="1174" t="s">
        <v>678</v>
      </c>
      <c r="L501" s="1175" t="s">
        <v>951</v>
      </c>
      <c r="M501" s="1176">
        <f>69000000-3000000</f>
        <v>66000000</v>
      </c>
      <c r="N501" s="1344" t="s">
        <v>775</v>
      </c>
      <c r="O501" s="1171" t="s">
        <v>915</v>
      </c>
      <c r="P501" s="1218" t="s">
        <v>682</v>
      </c>
      <c r="Q501" s="1160"/>
      <c r="R501" s="1327">
        <v>66000000</v>
      </c>
      <c r="S501" s="1327">
        <v>66000000</v>
      </c>
      <c r="T501" s="1327">
        <f>+'PAA V30'!$R501-'PAA V30'!$S501</f>
        <v>0</v>
      </c>
      <c r="U501" s="1327">
        <v>66000000</v>
      </c>
      <c r="V501" s="1327">
        <v>25200000</v>
      </c>
      <c r="W501" s="1327"/>
    </row>
    <row r="502" spans="1:23" s="1204" customFormat="1" ht="120" hidden="1" x14ac:dyDescent="0.2">
      <c r="A502" s="1169">
        <v>2022540</v>
      </c>
      <c r="B502" s="1169">
        <v>7658</v>
      </c>
      <c r="C502" s="1326" t="s">
        <v>673</v>
      </c>
      <c r="D502" s="1187" t="s">
        <v>699</v>
      </c>
      <c r="E502" s="1171">
        <v>80111600</v>
      </c>
      <c r="F502" s="1349" t="s">
        <v>1137</v>
      </c>
      <c r="G502" s="1343">
        <v>44562</v>
      </c>
      <c r="H502" s="1343">
        <v>44592</v>
      </c>
      <c r="I502" s="1173">
        <v>11.5</v>
      </c>
      <c r="J502" s="1173" t="s">
        <v>677</v>
      </c>
      <c r="K502" s="1174" t="s">
        <v>678</v>
      </c>
      <c r="L502" s="1175" t="s">
        <v>951</v>
      </c>
      <c r="M502" s="1176">
        <f>39100000-3900000</f>
        <v>35200000</v>
      </c>
      <c r="N502" s="1344" t="s">
        <v>775</v>
      </c>
      <c r="O502" s="1171" t="s">
        <v>915</v>
      </c>
      <c r="P502" s="1218" t="s">
        <v>682</v>
      </c>
      <c r="Q502" s="1160"/>
      <c r="R502" s="1327">
        <v>35200000</v>
      </c>
      <c r="S502" s="1327">
        <v>35200000</v>
      </c>
      <c r="T502" s="1327">
        <f>+'PAA V30'!$R502-'PAA V30'!$S502</f>
        <v>0</v>
      </c>
      <c r="U502" s="1327">
        <v>35200000</v>
      </c>
      <c r="V502" s="1327">
        <v>12586667</v>
      </c>
      <c r="W502" s="1327"/>
    </row>
    <row r="503" spans="1:23" s="1204" customFormat="1" ht="120" hidden="1" x14ac:dyDescent="0.2">
      <c r="A503" s="1169">
        <v>2022541</v>
      </c>
      <c r="B503" s="1169">
        <v>7658</v>
      </c>
      <c r="C503" s="1326" t="s">
        <v>673</v>
      </c>
      <c r="D503" s="1187" t="s">
        <v>699</v>
      </c>
      <c r="E503" s="1171">
        <v>80111600</v>
      </c>
      <c r="F503" s="1349" t="s">
        <v>1138</v>
      </c>
      <c r="G503" s="1343">
        <v>44562</v>
      </c>
      <c r="H503" s="1343">
        <v>44592</v>
      </c>
      <c r="I503" s="1173">
        <v>11.5</v>
      </c>
      <c r="J503" s="1173" t="s">
        <v>677</v>
      </c>
      <c r="K503" s="1174" t="s">
        <v>678</v>
      </c>
      <c r="L503" s="1175" t="s">
        <v>951</v>
      </c>
      <c r="M503" s="1176">
        <f>36685000-1595000</f>
        <v>35090000</v>
      </c>
      <c r="N503" s="1344" t="s">
        <v>775</v>
      </c>
      <c r="O503" s="1171" t="s">
        <v>915</v>
      </c>
      <c r="P503" s="1218" t="s">
        <v>682</v>
      </c>
      <c r="Q503" s="1160"/>
      <c r="R503" s="1327">
        <v>35090000</v>
      </c>
      <c r="S503" s="1327">
        <v>35090000</v>
      </c>
      <c r="T503" s="1327">
        <f>+'PAA V30'!$R503-'PAA V30'!$S503</f>
        <v>0</v>
      </c>
      <c r="U503" s="1327">
        <v>35090000</v>
      </c>
      <c r="V503" s="1327">
        <v>12866333</v>
      </c>
      <c r="W503" s="1327"/>
    </row>
    <row r="504" spans="1:23" s="1204" customFormat="1" ht="60" hidden="1" x14ac:dyDescent="0.2">
      <c r="A504" s="1169">
        <v>2022542</v>
      </c>
      <c r="B504" s="1169" t="s">
        <v>459</v>
      </c>
      <c r="C504" s="1326"/>
      <c r="D504" s="1187" t="s">
        <v>690</v>
      </c>
      <c r="E504" s="1171" t="s">
        <v>1139</v>
      </c>
      <c r="F504" s="1349" t="s">
        <v>1140</v>
      </c>
      <c r="G504" s="1343">
        <v>44562</v>
      </c>
      <c r="H504" s="1343">
        <v>44592</v>
      </c>
      <c r="I504" s="1173">
        <v>3</v>
      </c>
      <c r="J504" s="1173" t="s">
        <v>700</v>
      </c>
      <c r="K504" s="1174" t="s">
        <v>678</v>
      </c>
      <c r="L504" s="1175" t="s">
        <v>951</v>
      </c>
      <c r="M504" s="1176">
        <v>4200000</v>
      </c>
      <c r="N504" s="1344"/>
      <c r="O504" s="1171"/>
      <c r="P504" s="1218" t="s">
        <v>751</v>
      </c>
      <c r="Q504" s="1160"/>
      <c r="R504" s="1327"/>
      <c r="S504" s="1327"/>
      <c r="T504" s="1327">
        <f>+'PAA V30'!$R504-'PAA V30'!$S504</f>
        <v>0</v>
      </c>
      <c r="U504" s="1327"/>
      <c r="V504" s="1327"/>
      <c r="W504" s="1327"/>
    </row>
    <row r="505" spans="1:23" s="1204" customFormat="1" ht="60" hidden="1" x14ac:dyDescent="0.2">
      <c r="A505" s="1169">
        <v>2022543</v>
      </c>
      <c r="B505" s="1169" t="s">
        <v>459</v>
      </c>
      <c r="C505" s="1326"/>
      <c r="D505" s="1187" t="s">
        <v>690</v>
      </c>
      <c r="E505" s="1171" t="s">
        <v>1139</v>
      </c>
      <c r="F505" s="1349" t="s">
        <v>1141</v>
      </c>
      <c r="G505" s="1343">
        <v>44621</v>
      </c>
      <c r="H505" s="1343">
        <v>44651</v>
      </c>
      <c r="I505" s="1173">
        <v>6</v>
      </c>
      <c r="J505" s="1173" t="s">
        <v>700</v>
      </c>
      <c r="K505" s="1174" t="s">
        <v>678</v>
      </c>
      <c r="L505" s="1175" t="s">
        <v>951</v>
      </c>
      <c r="M505" s="1176">
        <v>6799000</v>
      </c>
      <c r="N505" s="1344"/>
      <c r="O505" s="1171"/>
      <c r="P505" s="1218" t="s">
        <v>682</v>
      </c>
      <c r="Q505" s="1160"/>
      <c r="R505" s="1327"/>
      <c r="S505" s="1327"/>
      <c r="T505" s="1327">
        <f>+'PAA V30'!$R505-'PAA V30'!$S505</f>
        <v>0</v>
      </c>
      <c r="U505" s="1327"/>
      <c r="V505" s="1327"/>
      <c r="W505" s="1327"/>
    </row>
    <row r="506" spans="1:23" s="1204" customFormat="1" ht="60" hidden="1" x14ac:dyDescent="0.2">
      <c r="A506" s="1169">
        <v>2022544</v>
      </c>
      <c r="B506" s="1169" t="s">
        <v>459</v>
      </c>
      <c r="C506" s="1326"/>
      <c r="D506" s="1187" t="s">
        <v>690</v>
      </c>
      <c r="E506" s="1171" t="s">
        <v>1139</v>
      </c>
      <c r="F506" s="1349" t="s">
        <v>1142</v>
      </c>
      <c r="G506" s="1343">
        <v>44562</v>
      </c>
      <c r="H506" s="1343">
        <v>44592</v>
      </c>
      <c r="I506" s="1173">
        <v>1</v>
      </c>
      <c r="J506" s="1173" t="s">
        <v>721</v>
      </c>
      <c r="K506" s="1174" t="s">
        <v>678</v>
      </c>
      <c r="L506" s="1175" t="s">
        <v>951</v>
      </c>
      <c r="M506" s="1176">
        <f>10000000-9237765</f>
        <v>762235</v>
      </c>
      <c r="N506" s="1344"/>
      <c r="O506" s="1171"/>
      <c r="P506" s="1218" t="s">
        <v>751</v>
      </c>
      <c r="Q506" s="1160"/>
      <c r="R506" s="1327"/>
      <c r="S506" s="1327"/>
      <c r="T506" s="1327">
        <f>+'PAA V30'!$R506-'PAA V30'!$S506</f>
        <v>0</v>
      </c>
      <c r="U506" s="1327"/>
      <c r="V506" s="1327"/>
      <c r="W506" s="1327"/>
    </row>
    <row r="507" spans="1:23" s="1204" customFormat="1" ht="60" hidden="1" x14ac:dyDescent="0.2">
      <c r="A507" s="1169">
        <v>2022545</v>
      </c>
      <c r="B507" s="1169" t="s">
        <v>459</v>
      </c>
      <c r="C507" s="1326"/>
      <c r="D507" s="1187" t="s">
        <v>690</v>
      </c>
      <c r="E507" s="1171" t="s">
        <v>1139</v>
      </c>
      <c r="F507" s="1349" t="s">
        <v>1143</v>
      </c>
      <c r="G507" s="1343">
        <v>44562</v>
      </c>
      <c r="H507" s="1343">
        <v>44592</v>
      </c>
      <c r="I507" s="1173">
        <v>11</v>
      </c>
      <c r="J507" s="1173" t="s">
        <v>721</v>
      </c>
      <c r="K507" s="1174" t="s">
        <v>678</v>
      </c>
      <c r="L507" s="1175" t="s">
        <v>951</v>
      </c>
      <c r="M507" s="1176">
        <v>87000000</v>
      </c>
      <c r="N507" s="1344"/>
      <c r="O507" s="1171"/>
      <c r="P507" s="1218" t="s">
        <v>682</v>
      </c>
      <c r="Q507" s="1160"/>
      <c r="R507" s="1327"/>
      <c r="S507" s="1327"/>
      <c r="T507" s="1327">
        <f>+'PAA V30'!$R507-'PAA V30'!$S507</f>
        <v>0</v>
      </c>
      <c r="U507" s="1327"/>
      <c r="V507" s="1327"/>
      <c r="W507" s="1327"/>
    </row>
    <row r="508" spans="1:23" s="1204" customFormat="1" ht="60" hidden="1" x14ac:dyDescent="0.2">
      <c r="A508" s="1169">
        <v>2022546</v>
      </c>
      <c r="B508" s="1169" t="s">
        <v>459</v>
      </c>
      <c r="C508" s="1326"/>
      <c r="D508" s="1187" t="s">
        <v>690</v>
      </c>
      <c r="E508" s="1171" t="s">
        <v>1139</v>
      </c>
      <c r="F508" s="1349" t="s">
        <v>1140</v>
      </c>
      <c r="G508" s="1343">
        <v>44562</v>
      </c>
      <c r="H508" s="1343">
        <v>44592</v>
      </c>
      <c r="I508" s="1173">
        <v>3</v>
      </c>
      <c r="J508" s="1173" t="s">
        <v>700</v>
      </c>
      <c r="K508" s="1174" t="s">
        <v>678</v>
      </c>
      <c r="L508" s="1175" t="s">
        <v>951</v>
      </c>
      <c r="M508" s="1176">
        <v>5600000</v>
      </c>
      <c r="N508" s="1344"/>
      <c r="O508" s="1171"/>
      <c r="P508" s="1218" t="s">
        <v>751</v>
      </c>
      <c r="Q508" s="1160"/>
      <c r="R508" s="1327"/>
      <c r="S508" s="1327"/>
      <c r="T508" s="1327">
        <f>+'PAA V30'!$R508-'PAA V30'!$S508</f>
        <v>0</v>
      </c>
      <c r="U508" s="1327"/>
      <c r="V508" s="1327"/>
      <c r="W508" s="1327"/>
    </row>
    <row r="509" spans="1:23" s="1204" customFormat="1" ht="60" hidden="1" x14ac:dyDescent="0.2">
      <c r="A509" s="1169">
        <v>2022547</v>
      </c>
      <c r="B509" s="1169" t="s">
        <v>459</v>
      </c>
      <c r="C509" s="1326"/>
      <c r="D509" s="1187" t="s">
        <v>690</v>
      </c>
      <c r="E509" s="1171" t="s">
        <v>1139</v>
      </c>
      <c r="F509" s="1349" t="s">
        <v>1144</v>
      </c>
      <c r="G509" s="1343">
        <v>44621</v>
      </c>
      <c r="H509" s="1343">
        <v>44651</v>
      </c>
      <c r="I509" s="1173">
        <v>6</v>
      </c>
      <c r="J509" s="1173" t="s">
        <v>700</v>
      </c>
      <c r="K509" s="1174" t="s">
        <v>678</v>
      </c>
      <c r="L509" s="1175" t="s">
        <v>951</v>
      </c>
      <c r="M509" s="1176">
        <v>28400000</v>
      </c>
      <c r="N509" s="1344"/>
      <c r="O509" s="1171"/>
      <c r="P509" s="1218" t="s">
        <v>682</v>
      </c>
      <c r="Q509" s="1160"/>
      <c r="R509" s="1327"/>
      <c r="S509" s="1327"/>
      <c r="T509" s="1327">
        <f>+'PAA V30'!$R509-'PAA V30'!$S509</f>
        <v>0</v>
      </c>
      <c r="U509" s="1327"/>
      <c r="V509" s="1327"/>
      <c r="W509" s="1327"/>
    </row>
    <row r="510" spans="1:23" s="1204" customFormat="1" ht="120" hidden="1" x14ac:dyDescent="0.2">
      <c r="A510" s="1169">
        <v>2022548</v>
      </c>
      <c r="B510" s="1169" t="s">
        <v>459</v>
      </c>
      <c r="C510" s="1326"/>
      <c r="D510" s="1187" t="s">
        <v>690</v>
      </c>
      <c r="E510" s="1171" t="s">
        <v>1145</v>
      </c>
      <c r="F510" s="1349" t="s">
        <v>1146</v>
      </c>
      <c r="G510" s="1343">
        <v>44562</v>
      </c>
      <c r="H510" s="1343">
        <v>44592</v>
      </c>
      <c r="I510" s="1173">
        <v>11</v>
      </c>
      <c r="J510" s="1173" t="s">
        <v>721</v>
      </c>
      <c r="K510" s="1174" t="s">
        <v>678</v>
      </c>
      <c r="L510" s="1175" t="s">
        <v>951</v>
      </c>
      <c r="M510" s="1176">
        <f>100000000-20000000-15000000</f>
        <v>65000000</v>
      </c>
      <c r="N510" s="1344"/>
      <c r="O510" s="1171"/>
      <c r="P510" s="1350" t="s">
        <v>682</v>
      </c>
      <c r="Q510" s="1160"/>
      <c r="R510" s="1327"/>
      <c r="S510" s="1327"/>
      <c r="T510" s="1327">
        <f>+'PAA V30'!$R510-'PAA V30'!$S510</f>
        <v>0</v>
      </c>
      <c r="U510" s="1327"/>
      <c r="V510" s="1327"/>
      <c r="W510" s="1327"/>
    </row>
    <row r="511" spans="1:23" s="1204" customFormat="1" ht="120" hidden="1" x14ac:dyDescent="0.2">
      <c r="A511" s="1169">
        <v>2022549</v>
      </c>
      <c r="B511" s="1169" t="s">
        <v>459</v>
      </c>
      <c r="C511" s="1326"/>
      <c r="D511" s="1187" t="s">
        <v>690</v>
      </c>
      <c r="E511" s="1171" t="s">
        <v>1145</v>
      </c>
      <c r="F511" s="1349" t="s">
        <v>1147</v>
      </c>
      <c r="G511" s="1343">
        <v>44621</v>
      </c>
      <c r="H511" s="1343">
        <v>44651</v>
      </c>
      <c r="I511" s="1173">
        <v>6</v>
      </c>
      <c r="J511" s="1173" t="s">
        <v>700</v>
      </c>
      <c r="K511" s="1174" t="s">
        <v>678</v>
      </c>
      <c r="L511" s="1175" t="s">
        <v>951</v>
      </c>
      <c r="M511" s="1176">
        <f>10000000+20000000</f>
        <v>30000000</v>
      </c>
      <c r="N511" s="1344"/>
      <c r="O511" s="1171"/>
      <c r="P511" s="1350" t="s">
        <v>682</v>
      </c>
      <c r="Q511" s="1160"/>
      <c r="R511" s="1327"/>
      <c r="S511" s="1327"/>
      <c r="T511" s="1327">
        <f>+'PAA V30'!$R511-'PAA V30'!$S511</f>
        <v>0</v>
      </c>
      <c r="U511" s="1327"/>
      <c r="V511" s="1327"/>
      <c r="W511" s="1327"/>
    </row>
    <row r="512" spans="1:23" s="1204" customFormat="1" ht="60" hidden="1" x14ac:dyDescent="0.2">
      <c r="A512" s="1169">
        <v>2022550</v>
      </c>
      <c r="B512" s="1169" t="s">
        <v>459</v>
      </c>
      <c r="C512" s="1326"/>
      <c r="D512" s="1187" t="s">
        <v>690</v>
      </c>
      <c r="E512" s="1171" t="s">
        <v>1139</v>
      </c>
      <c r="F512" s="1349" t="s">
        <v>970</v>
      </c>
      <c r="G512" s="1343">
        <v>44562</v>
      </c>
      <c r="H512" s="1343">
        <v>44592</v>
      </c>
      <c r="I512" s="1173">
        <v>11</v>
      </c>
      <c r="J512" s="1173" t="s">
        <v>721</v>
      </c>
      <c r="K512" s="1174" t="s">
        <v>678</v>
      </c>
      <c r="L512" s="1175" t="s">
        <v>951</v>
      </c>
      <c r="M512" s="1176">
        <v>42542000</v>
      </c>
      <c r="N512" s="1344"/>
      <c r="O512" s="1171"/>
      <c r="P512" s="1350" t="s">
        <v>682</v>
      </c>
      <c r="Q512" s="1160"/>
      <c r="R512" s="1327"/>
      <c r="S512" s="1327"/>
      <c r="T512" s="1327">
        <f>+'PAA V30'!$R512-'PAA V30'!$S512</f>
        <v>0</v>
      </c>
      <c r="U512" s="1327"/>
      <c r="V512" s="1327"/>
      <c r="W512" s="1327"/>
    </row>
    <row r="513" spans="1:23" s="1204" customFormat="1" ht="60" hidden="1" x14ac:dyDescent="0.2">
      <c r="A513" s="1169">
        <v>2022551</v>
      </c>
      <c r="B513" s="1169" t="s">
        <v>459</v>
      </c>
      <c r="C513" s="1326"/>
      <c r="D513" s="1187" t="s">
        <v>690</v>
      </c>
      <c r="E513" s="1171" t="s">
        <v>1139</v>
      </c>
      <c r="F513" s="1349" t="s">
        <v>1142</v>
      </c>
      <c r="G513" s="1343">
        <v>44562</v>
      </c>
      <c r="H513" s="1343">
        <v>44592</v>
      </c>
      <c r="I513" s="1173">
        <v>1</v>
      </c>
      <c r="J513" s="1173" t="s">
        <v>721</v>
      </c>
      <c r="K513" s="1174" t="s">
        <v>678</v>
      </c>
      <c r="L513" s="1175" t="s">
        <v>951</v>
      </c>
      <c r="M513" s="1176">
        <v>2345000</v>
      </c>
      <c r="N513" s="1344"/>
      <c r="O513" s="1171"/>
      <c r="P513" s="1350" t="s">
        <v>759</v>
      </c>
      <c r="Q513" s="1160"/>
      <c r="R513" s="1327"/>
      <c r="S513" s="1327"/>
      <c r="T513" s="1327">
        <f>+'PAA V30'!$R513-'PAA V30'!$S513</f>
        <v>0</v>
      </c>
      <c r="U513" s="1327"/>
      <c r="V513" s="1327"/>
      <c r="W513" s="1327"/>
    </row>
    <row r="514" spans="1:23" s="1204" customFormat="1" ht="60" hidden="1" x14ac:dyDescent="0.2">
      <c r="A514" s="1169">
        <v>2022552</v>
      </c>
      <c r="B514" s="1169" t="s">
        <v>459</v>
      </c>
      <c r="C514" s="1326"/>
      <c r="D514" s="1187" t="s">
        <v>690</v>
      </c>
      <c r="E514" s="1171" t="s">
        <v>1139</v>
      </c>
      <c r="F514" s="1349" t="s">
        <v>1142</v>
      </c>
      <c r="G514" s="1343">
        <v>44562</v>
      </c>
      <c r="H514" s="1343">
        <v>44592</v>
      </c>
      <c r="I514" s="1173">
        <v>1</v>
      </c>
      <c r="J514" s="1173" t="s">
        <v>721</v>
      </c>
      <c r="K514" s="1174" t="s">
        <v>678</v>
      </c>
      <c r="L514" s="1175" t="s">
        <v>951</v>
      </c>
      <c r="M514" s="1176">
        <v>1450000</v>
      </c>
      <c r="N514" s="1344"/>
      <c r="O514" s="1171"/>
      <c r="P514" s="1350" t="s">
        <v>759</v>
      </c>
      <c r="Q514" s="1160"/>
      <c r="R514" s="1327"/>
      <c r="S514" s="1327"/>
      <c r="T514" s="1327">
        <f>+'PAA V30'!$R514-'PAA V30'!$S514</f>
        <v>0</v>
      </c>
      <c r="U514" s="1327"/>
      <c r="V514" s="1327"/>
      <c r="W514" s="1327"/>
    </row>
    <row r="515" spans="1:23" s="1204" customFormat="1" ht="60" hidden="1" x14ac:dyDescent="0.2">
      <c r="A515" s="1169">
        <v>2022553</v>
      </c>
      <c r="B515" s="1169" t="s">
        <v>459</v>
      </c>
      <c r="C515" s="1326"/>
      <c r="D515" s="1187" t="s">
        <v>690</v>
      </c>
      <c r="E515" s="1171" t="s">
        <v>1139</v>
      </c>
      <c r="F515" s="1349" t="s">
        <v>970</v>
      </c>
      <c r="G515" s="1343">
        <v>44562</v>
      </c>
      <c r="H515" s="1343">
        <v>44592</v>
      </c>
      <c r="I515" s="1173">
        <v>11</v>
      </c>
      <c r="J515" s="1173" t="s">
        <v>721</v>
      </c>
      <c r="K515" s="1174" t="s">
        <v>678</v>
      </c>
      <c r="L515" s="1175" t="s">
        <v>951</v>
      </c>
      <c r="M515" s="1176">
        <v>11550000</v>
      </c>
      <c r="N515" s="1344"/>
      <c r="O515" s="1171"/>
      <c r="P515" s="1350" t="s">
        <v>682</v>
      </c>
      <c r="Q515" s="1160"/>
      <c r="R515" s="1327"/>
      <c r="S515" s="1327"/>
      <c r="T515" s="1327">
        <f>+'PAA V30'!$R515-'PAA V30'!$S515</f>
        <v>0</v>
      </c>
      <c r="U515" s="1327"/>
      <c r="V515" s="1327"/>
      <c r="W515" s="1327"/>
    </row>
    <row r="516" spans="1:23" s="1204" customFormat="1" ht="60" hidden="1" x14ac:dyDescent="0.2">
      <c r="A516" s="1169">
        <v>2022554</v>
      </c>
      <c r="B516" s="1169" t="s">
        <v>459</v>
      </c>
      <c r="C516" s="1326"/>
      <c r="D516" s="1187" t="s">
        <v>690</v>
      </c>
      <c r="E516" s="1171" t="s">
        <v>1139</v>
      </c>
      <c r="F516" s="1349" t="s">
        <v>1140</v>
      </c>
      <c r="G516" s="1343">
        <v>44562</v>
      </c>
      <c r="H516" s="1343">
        <v>44592</v>
      </c>
      <c r="I516" s="1173">
        <v>3</v>
      </c>
      <c r="J516" s="1173" t="s">
        <v>700</v>
      </c>
      <c r="K516" s="1174" t="s">
        <v>678</v>
      </c>
      <c r="L516" s="1175" t="s">
        <v>951</v>
      </c>
      <c r="M516" s="1176">
        <v>2800000</v>
      </c>
      <c r="N516" s="1344"/>
      <c r="O516" s="1171"/>
      <c r="P516" s="1350" t="s">
        <v>759</v>
      </c>
      <c r="Q516" s="1160"/>
      <c r="R516" s="1327"/>
      <c r="S516" s="1327"/>
      <c r="T516" s="1327">
        <f>+'PAA V30'!$R516-'PAA V30'!$S516</f>
        <v>0</v>
      </c>
      <c r="U516" s="1327"/>
      <c r="V516" s="1327"/>
      <c r="W516" s="1327"/>
    </row>
    <row r="517" spans="1:23" s="1204" customFormat="1" ht="60" hidden="1" x14ac:dyDescent="0.2">
      <c r="A517" s="1169">
        <v>2022555</v>
      </c>
      <c r="B517" s="1169" t="s">
        <v>459</v>
      </c>
      <c r="C517" s="1326"/>
      <c r="D517" s="1187" t="s">
        <v>690</v>
      </c>
      <c r="E517" s="1171" t="s">
        <v>1139</v>
      </c>
      <c r="F517" s="1349" t="s">
        <v>1148</v>
      </c>
      <c r="G517" s="1343">
        <v>44621</v>
      </c>
      <c r="H517" s="1343">
        <v>44651</v>
      </c>
      <c r="I517" s="1173">
        <v>6</v>
      </c>
      <c r="J517" s="1173" t="s">
        <v>700</v>
      </c>
      <c r="K517" s="1174" t="s">
        <v>678</v>
      </c>
      <c r="L517" s="1175" t="s">
        <v>951</v>
      </c>
      <c r="M517" s="1176">
        <v>5204000</v>
      </c>
      <c r="N517" s="1344"/>
      <c r="O517" s="1171"/>
      <c r="P517" s="1350" t="s">
        <v>682</v>
      </c>
      <c r="Q517" s="1160"/>
      <c r="R517" s="1327"/>
      <c r="S517" s="1327"/>
      <c r="T517" s="1327">
        <f>+'PAA V30'!$R517-'PAA V30'!$S517</f>
        <v>0</v>
      </c>
      <c r="U517" s="1327"/>
      <c r="V517" s="1327"/>
      <c r="W517" s="1327"/>
    </row>
    <row r="518" spans="1:23" s="1204" customFormat="1" ht="60" hidden="1" x14ac:dyDescent="0.2">
      <c r="A518" s="1169">
        <v>2022557</v>
      </c>
      <c r="B518" s="1169" t="s">
        <v>459</v>
      </c>
      <c r="C518" s="1326"/>
      <c r="D518" s="1187" t="s">
        <v>690</v>
      </c>
      <c r="E518" s="1171" t="s">
        <v>1139</v>
      </c>
      <c r="F518" s="1349" t="s">
        <v>970</v>
      </c>
      <c r="G518" s="1343">
        <v>44562</v>
      </c>
      <c r="H518" s="1343">
        <v>44592</v>
      </c>
      <c r="I518" s="1173">
        <v>11</v>
      </c>
      <c r="J518" s="1173" t="s">
        <v>721</v>
      </c>
      <c r="K518" s="1174" t="s">
        <v>678</v>
      </c>
      <c r="L518" s="1175" t="s">
        <v>951</v>
      </c>
      <c r="M518" s="1176">
        <v>14692000</v>
      </c>
      <c r="N518" s="1344"/>
      <c r="O518" s="1171"/>
      <c r="P518" s="1350" t="s">
        <v>682</v>
      </c>
      <c r="Q518" s="1160"/>
      <c r="R518" s="1327"/>
      <c r="S518" s="1327"/>
      <c r="T518" s="1327">
        <f>+'PAA V30'!$R518-'PAA V30'!$S518</f>
        <v>0</v>
      </c>
      <c r="U518" s="1327"/>
      <c r="V518" s="1327"/>
      <c r="W518" s="1327"/>
    </row>
    <row r="519" spans="1:23" s="1204" customFormat="1" ht="60" hidden="1" x14ac:dyDescent="0.2">
      <c r="A519" s="1169">
        <v>2022558</v>
      </c>
      <c r="B519" s="1169" t="s">
        <v>459</v>
      </c>
      <c r="C519" s="1326"/>
      <c r="D519" s="1187" t="s">
        <v>690</v>
      </c>
      <c r="E519" s="1171" t="s">
        <v>1139</v>
      </c>
      <c r="F519" s="1349" t="s">
        <v>1149</v>
      </c>
      <c r="G519" s="1343">
        <v>44562</v>
      </c>
      <c r="H519" s="1343">
        <v>44592</v>
      </c>
      <c r="I519" s="1173">
        <v>3</v>
      </c>
      <c r="J519" s="1173" t="s">
        <v>700</v>
      </c>
      <c r="K519" s="1174" t="s">
        <v>678</v>
      </c>
      <c r="L519" s="1175" t="s">
        <v>951</v>
      </c>
      <c r="M519" s="1176">
        <v>1400000</v>
      </c>
      <c r="N519" s="1344"/>
      <c r="O519" s="1171"/>
      <c r="P519" s="1350" t="s">
        <v>759</v>
      </c>
      <c r="Q519" s="1160"/>
      <c r="R519" s="1327"/>
      <c r="S519" s="1327"/>
      <c r="T519" s="1327">
        <f>+'PAA V30'!$R519-'PAA V30'!$S519</f>
        <v>0</v>
      </c>
      <c r="U519" s="1327"/>
      <c r="V519" s="1327"/>
      <c r="W519" s="1327"/>
    </row>
    <row r="520" spans="1:23" s="1204" customFormat="1" ht="60" hidden="1" x14ac:dyDescent="0.2">
      <c r="A520" s="1169">
        <v>2022559</v>
      </c>
      <c r="B520" s="1169" t="s">
        <v>459</v>
      </c>
      <c r="C520" s="1326"/>
      <c r="D520" s="1187" t="s">
        <v>690</v>
      </c>
      <c r="E520" s="1171" t="s">
        <v>1139</v>
      </c>
      <c r="F520" s="1349" t="s">
        <v>1148</v>
      </c>
      <c r="G520" s="1343">
        <v>44621</v>
      </c>
      <c r="H520" s="1343">
        <v>44651</v>
      </c>
      <c r="I520" s="1173">
        <v>6</v>
      </c>
      <c r="J520" s="1173" t="s">
        <v>700</v>
      </c>
      <c r="K520" s="1174" t="s">
        <v>678</v>
      </c>
      <c r="L520" s="1175" t="s">
        <v>951</v>
      </c>
      <c r="M520" s="1176">
        <v>9600000</v>
      </c>
      <c r="N520" s="1344"/>
      <c r="O520" s="1171"/>
      <c r="P520" s="1350" t="s">
        <v>682</v>
      </c>
      <c r="Q520" s="1160"/>
      <c r="R520" s="1327"/>
      <c r="S520" s="1327"/>
      <c r="T520" s="1327">
        <f>+'PAA V30'!$R520-'PAA V30'!$S520</f>
        <v>0</v>
      </c>
      <c r="U520" s="1327"/>
      <c r="V520" s="1327"/>
      <c r="W520" s="1327"/>
    </row>
    <row r="521" spans="1:23" s="1204" customFormat="1" ht="135" hidden="1" x14ac:dyDescent="0.2">
      <c r="A521" s="1169">
        <v>2022560</v>
      </c>
      <c r="B521" s="1169" t="s">
        <v>459</v>
      </c>
      <c r="C521" s="1326"/>
      <c r="D521" s="1187" t="s">
        <v>690</v>
      </c>
      <c r="E521" s="1171" t="s">
        <v>1150</v>
      </c>
      <c r="F521" s="1349" t="s">
        <v>1151</v>
      </c>
      <c r="G521" s="1343">
        <v>44682</v>
      </c>
      <c r="H521" s="1343">
        <v>44712</v>
      </c>
      <c r="I521" s="1173">
        <v>7</v>
      </c>
      <c r="J521" s="1173" t="s">
        <v>677</v>
      </c>
      <c r="K521" s="1174" t="s">
        <v>678</v>
      </c>
      <c r="L521" s="1175" t="s">
        <v>951</v>
      </c>
      <c r="M521" s="1176">
        <v>79500000</v>
      </c>
      <c r="N521" s="1344"/>
      <c r="O521" s="1171"/>
      <c r="P521" s="1350" t="s">
        <v>682</v>
      </c>
      <c r="Q521" s="1160"/>
      <c r="R521" s="1327"/>
      <c r="S521" s="1327"/>
      <c r="T521" s="1327">
        <f>+'PAA V30'!$R521-'PAA V30'!$S521</f>
        <v>0</v>
      </c>
      <c r="U521" s="1327"/>
      <c r="V521" s="1327"/>
      <c r="W521" s="1327"/>
    </row>
    <row r="522" spans="1:23" s="1204" customFormat="1" ht="165" hidden="1" x14ac:dyDescent="0.2">
      <c r="A522" s="1169">
        <v>2022561</v>
      </c>
      <c r="B522" s="1169" t="s">
        <v>459</v>
      </c>
      <c r="C522" s="1326"/>
      <c r="D522" s="1187" t="s">
        <v>690</v>
      </c>
      <c r="E522" s="1171" t="s">
        <v>1150</v>
      </c>
      <c r="F522" s="1349" t="s">
        <v>1152</v>
      </c>
      <c r="G522" s="1343">
        <v>44593</v>
      </c>
      <c r="H522" s="1343">
        <v>44620</v>
      </c>
      <c r="I522" s="1173">
        <v>3.21</v>
      </c>
      <c r="J522" s="1173" t="s">
        <v>677</v>
      </c>
      <c r="K522" s="1174" t="s">
        <v>678</v>
      </c>
      <c r="L522" s="1175" t="s">
        <v>951</v>
      </c>
      <c r="M522" s="1176">
        <v>41500000</v>
      </c>
      <c r="N522" s="1344"/>
      <c r="O522" s="1171"/>
      <c r="P522" s="1350" t="s">
        <v>759</v>
      </c>
      <c r="Q522" s="1160"/>
      <c r="R522" s="1327"/>
      <c r="S522" s="1327"/>
      <c r="T522" s="1327">
        <f>+'PAA V30'!$R522-'PAA V30'!$S522</f>
        <v>0</v>
      </c>
      <c r="U522" s="1327"/>
      <c r="V522" s="1327"/>
      <c r="W522" s="1327"/>
    </row>
    <row r="523" spans="1:23" s="1204" customFormat="1" ht="45" hidden="1" x14ac:dyDescent="0.2">
      <c r="A523" s="1169">
        <v>2022562</v>
      </c>
      <c r="B523" s="1169" t="s">
        <v>459</v>
      </c>
      <c r="C523" s="1326"/>
      <c r="D523" s="1187" t="s">
        <v>690</v>
      </c>
      <c r="E523" s="1171" t="s">
        <v>1153</v>
      </c>
      <c r="F523" s="1349" t="s">
        <v>1154</v>
      </c>
      <c r="G523" s="1343">
        <v>44593</v>
      </c>
      <c r="H523" s="1343">
        <v>44620</v>
      </c>
      <c r="I523" s="1173">
        <v>12</v>
      </c>
      <c r="J523" s="1173" t="s">
        <v>647</v>
      </c>
      <c r="K523" s="1174" t="s">
        <v>678</v>
      </c>
      <c r="L523" s="1175" t="s">
        <v>951</v>
      </c>
      <c r="M523" s="1176">
        <f>1500000000-225179326-158379938</f>
        <v>1116440736</v>
      </c>
      <c r="N523" s="1344"/>
      <c r="O523" s="1171"/>
      <c r="P523" s="1350" t="s">
        <v>682</v>
      </c>
      <c r="Q523" s="1160"/>
      <c r="R523" s="1327"/>
      <c r="S523" s="1327"/>
      <c r="T523" s="1327">
        <f>+'PAA V30'!$R523-'PAA V30'!$S523</f>
        <v>0</v>
      </c>
      <c r="U523" s="1327"/>
      <c r="V523" s="1327"/>
      <c r="W523" s="1327"/>
    </row>
    <row r="524" spans="1:23" s="1204" customFormat="1" ht="45" hidden="1" x14ac:dyDescent="0.2">
      <c r="A524" s="1169">
        <v>2022563</v>
      </c>
      <c r="B524" s="1169" t="s">
        <v>459</v>
      </c>
      <c r="C524" s="1326"/>
      <c r="D524" s="1187" t="s">
        <v>690</v>
      </c>
      <c r="E524" s="1171" t="s">
        <v>1153</v>
      </c>
      <c r="F524" s="1349" t="s">
        <v>1154</v>
      </c>
      <c r="G524" s="1343">
        <v>44593</v>
      </c>
      <c r="H524" s="1343">
        <v>44620</v>
      </c>
      <c r="I524" s="1173">
        <v>12</v>
      </c>
      <c r="J524" s="1173" t="s">
        <v>647</v>
      </c>
      <c r="K524" s="1174" t="s">
        <v>678</v>
      </c>
      <c r="L524" s="1175" t="s">
        <v>951</v>
      </c>
      <c r="M524" s="1176">
        <f>550000000-82565753-58072645</f>
        <v>409361602</v>
      </c>
      <c r="N524" s="1344"/>
      <c r="O524" s="1171"/>
      <c r="P524" s="1350" t="s">
        <v>682</v>
      </c>
      <c r="Q524" s="1160"/>
      <c r="R524" s="1327"/>
      <c r="S524" s="1327"/>
      <c r="T524" s="1327">
        <f>+'PAA V30'!$R524-'PAA V30'!$S524</f>
        <v>0</v>
      </c>
      <c r="U524" s="1327"/>
      <c r="V524" s="1327"/>
      <c r="W524" s="1327"/>
    </row>
    <row r="525" spans="1:23" s="1204" customFormat="1" ht="45" hidden="1" x14ac:dyDescent="0.2">
      <c r="A525" s="1169">
        <v>2022564</v>
      </c>
      <c r="B525" s="1169" t="s">
        <v>459</v>
      </c>
      <c r="C525" s="1326"/>
      <c r="D525" s="1187" t="s">
        <v>690</v>
      </c>
      <c r="E525" s="1171" t="s">
        <v>1153</v>
      </c>
      <c r="F525" s="1349" t="s">
        <v>1154</v>
      </c>
      <c r="G525" s="1343">
        <v>44593</v>
      </c>
      <c r="H525" s="1343">
        <v>44620</v>
      </c>
      <c r="I525" s="1173">
        <v>12</v>
      </c>
      <c r="J525" s="1173" t="s">
        <v>647</v>
      </c>
      <c r="K525" s="1174" t="s">
        <v>678</v>
      </c>
      <c r="L525" s="1175" t="s">
        <v>951</v>
      </c>
      <c r="M525" s="1176">
        <f>733000000-110037631-77394997</f>
        <v>545567372</v>
      </c>
      <c r="N525" s="1344"/>
      <c r="O525" s="1171"/>
      <c r="P525" s="1350" t="s">
        <v>682</v>
      </c>
      <c r="Q525" s="1160"/>
      <c r="R525" s="1327"/>
      <c r="S525" s="1327"/>
      <c r="T525" s="1327">
        <f>+'PAA V30'!$R525-'PAA V30'!$S525</f>
        <v>0</v>
      </c>
      <c r="U525" s="1327"/>
      <c r="V525" s="1327"/>
      <c r="W525" s="1327"/>
    </row>
    <row r="526" spans="1:23" s="1204" customFormat="1" ht="45" hidden="1" x14ac:dyDescent="0.2">
      <c r="A526" s="1169">
        <v>2022565</v>
      </c>
      <c r="B526" s="1169" t="s">
        <v>459</v>
      </c>
      <c r="C526" s="1326"/>
      <c r="D526" s="1187" t="s">
        <v>690</v>
      </c>
      <c r="E526" s="1171" t="s">
        <v>1153</v>
      </c>
      <c r="F526" s="1349" t="s">
        <v>1154</v>
      </c>
      <c r="G526" s="1343">
        <v>44593</v>
      </c>
      <c r="H526" s="1343">
        <v>44620</v>
      </c>
      <c r="I526" s="1173">
        <v>12</v>
      </c>
      <c r="J526" s="1173" t="s">
        <v>647</v>
      </c>
      <c r="K526" s="1174" t="s">
        <v>678</v>
      </c>
      <c r="L526" s="1175" t="s">
        <v>951</v>
      </c>
      <c r="M526" s="1176">
        <f>150000000-22517933-15837994</f>
        <v>111644073</v>
      </c>
      <c r="N526" s="1344"/>
      <c r="O526" s="1171"/>
      <c r="P526" s="1350" t="s">
        <v>682</v>
      </c>
      <c r="Q526" s="1160"/>
      <c r="R526" s="1327"/>
      <c r="S526" s="1327"/>
      <c r="T526" s="1327">
        <f>+'PAA V30'!$R526-'PAA V30'!$S526</f>
        <v>0</v>
      </c>
      <c r="U526" s="1327"/>
      <c r="V526" s="1327"/>
      <c r="W526" s="1327"/>
    </row>
    <row r="527" spans="1:23" s="1204" customFormat="1" ht="45" hidden="1" x14ac:dyDescent="0.2">
      <c r="A527" s="1169">
        <v>2022566</v>
      </c>
      <c r="B527" s="1169" t="s">
        <v>459</v>
      </c>
      <c r="C527" s="1326"/>
      <c r="D527" s="1187" t="s">
        <v>690</v>
      </c>
      <c r="E527" s="1171" t="s">
        <v>1153</v>
      </c>
      <c r="F527" s="1349" t="s">
        <v>1154</v>
      </c>
      <c r="G527" s="1343">
        <v>44593</v>
      </c>
      <c r="H527" s="1343">
        <v>44620</v>
      </c>
      <c r="I527" s="1173">
        <v>12</v>
      </c>
      <c r="J527" s="1173" t="s">
        <v>647</v>
      </c>
      <c r="K527" s="1174" t="s">
        <v>678</v>
      </c>
      <c r="L527" s="1175" t="s">
        <v>951</v>
      </c>
      <c r="M527" s="1176">
        <f>300000000-45035865-31675987</f>
        <v>223288148</v>
      </c>
      <c r="N527" s="1344"/>
      <c r="O527" s="1171"/>
      <c r="P527" s="1350" t="s">
        <v>682</v>
      </c>
      <c r="Q527" s="1160"/>
      <c r="R527" s="1327"/>
      <c r="S527" s="1327"/>
      <c r="T527" s="1327">
        <f>+'PAA V30'!$R527-'PAA V30'!$S527</f>
        <v>0</v>
      </c>
      <c r="U527" s="1327"/>
      <c r="V527" s="1327"/>
      <c r="W527" s="1327"/>
    </row>
    <row r="528" spans="1:23" s="1204" customFormat="1" ht="45" hidden="1" x14ac:dyDescent="0.2">
      <c r="A528" s="1169">
        <v>2022567</v>
      </c>
      <c r="B528" s="1169" t="s">
        <v>459</v>
      </c>
      <c r="C528" s="1326"/>
      <c r="D528" s="1187" t="s">
        <v>690</v>
      </c>
      <c r="E528" s="1171" t="s">
        <v>1153</v>
      </c>
      <c r="F528" s="1349" t="s">
        <v>1154</v>
      </c>
      <c r="G528" s="1343">
        <v>44593</v>
      </c>
      <c r="H528" s="1343">
        <v>44620</v>
      </c>
      <c r="I528" s="1173">
        <v>12</v>
      </c>
      <c r="J528" s="1173" t="s">
        <v>647</v>
      </c>
      <c r="K528" s="1174" t="s">
        <v>678</v>
      </c>
      <c r="L528" s="1175" t="s">
        <v>951</v>
      </c>
      <c r="M528" s="1176">
        <f>67000000-10058010-7074304</f>
        <v>49867686</v>
      </c>
      <c r="N528" s="1344"/>
      <c r="O528" s="1171"/>
      <c r="P528" s="1350" t="s">
        <v>682</v>
      </c>
      <c r="Q528" s="1160"/>
      <c r="R528" s="1327"/>
      <c r="S528" s="1327"/>
      <c r="T528" s="1327">
        <f>+'PAA V30'!$R528-'PAA V30'!$S528</f>
        <v>0</v>
      </c>
      <c r="U528" s="1327"/>
      <c r="V528" s="1327"/>
      <c r="W528" s="1327"/>
    </row>
    <row r="529" spans="1:23" s="1204" customFormat="1" ht="45" hidden="1" x14ac:dyDescent="0.2">
      <c r="A529" s="1169">
        <v>2022568</v>
      </c>
      <c r="B529" s="1169" t="s">
        <v>459</v>
      </c>
      <c r="C529" s="1326"/>
      <c r="D529" s="1187" t="s">
        <v>690</v>
      </c>
      <c r="E529" s="1171" t="s">
        <v>1155</v>
      </c>
      <c r="F529" s="1349" t="s">
        <v>1156</v>
      </c>
      <c r="G529" s="1343">
        <v>44713</v>
      </c>
      <c r="H529" s="1343">
        <v>44742</v>
      </c>
      <c r="I529" s="1173">
        <v>7</v>
      </c>
      <c r="J529" s="1173" t="s">
        <v>677</v>
      </c>
      <c r="K529" s="1174" t="s">
        <v>678</v>
      </c>
      <c r="L529" s="1175" t="s">
        <v>951</v>
      </c>
      <c r="M529" s="1176">
        <f>124000000-40053322-13946678</f>
        <v>70000000</v>
      </c>
      <c r="N529" s="1344"/>
      <c r="O529" s="1171"/>
      <c r="P529" s="1350" t="s">
        <v>682</v>
      </c>
      <c r="Q529" s="1160"/>
      <c r="R529" s="1327"/>
      <c r="S529" s="1327"/>
      <c r="T529" s="1327">
        <f>+'PAA V30'!$R529-'PAA V30'!$S529</f>
        <v>0</v>
      </c>
      <c r="U529" s="1327"/>
      <c r="V529" s="1327"/>
      <c r="W529" s="1327"/>
    </row>
    <row r="530" spans="1:23" s="1204" customFormat="1" ht="45" hidden="1" x14ac:dyDescent="0.2">
      <c r="A530" s="1169">
        <v>2022569</v>
      </c>
      <c r="B530" s="1169" t="s">
        <v>459</v>
      </c>
      <c r="C530" s="1326"/>
      <c r="D530" s="1187" t="s">
        <v>690</v>
      </c>
      <c r="E530" s="1171" t="s">
        <v>1155</v>
      </c>
      <c r="F530" s="1349" t="s">
        <v>1157</v>
      </c>
      <c r="G530" s="1343">
        <v>44562</v>
      </c>
      <c r="H530" s="1343">
        <v>44592</v>
      </c>
      <c r="I530" s="1173">
        <v>12</v>
      </c>
      <c r="J530" s="1173" t="s">
        <v>677</v>
      </c>
      <c r="K530" s="1174" t="s">
        <v>678</v>
      </c>
      <c r="L530" s="1175" t="s">
        <v>951</v>
      </c>
      <c r="M530" s="1176">
        <f>109000000-16204920</f>
        <v>92795080</v>
      </c>
      <c r="N530" s="1344"/>
      <c r="O530" s="1171"/>
      <c r="P530" s="1350" t="s">
        <v>682</v>
      </c>
      <c r="Q530" s="1160"/>
      <c r="R530" s="1327"/>
      <c r="S530" s="1327"/>
      <c r="T530" s="1327">
        <f>+'PAA V30'!$R530-'PAA V30'!$S530</f>
        <v>0</v>
      </c>
      <c r="U530" s="1327"/>
      <c r="V530" s="1327"/>
      <c r="W530" s="1327"/>
    </row>
    <row r="531" spans="1:23" s="1204" customFormat="1" ht="60" hidden="1" x14ac:dyDescent="0.2">
      <c r="A531" s="1169">
        <v>2022570</v>
      </c>
      <c r="B531" s="1169" t="s">
        <v>459</v>
      </c>
      <c r="C531" s="1326"/>
      <c r="D531" s="1187" t="s">
        <v>690</v>
      </c>
      <c r="E531" s="1171" t="s">
        <v>781</v>
      </c>
      <c r="F531" s="1349" t="s">
        <v>1158</v>
      </c>
      <c r="G531" s="1343">
        <v>44743</v>
      </c>
      <c r="H531" s="1343">
        <v>44772</v>
      </c>
      <c r="I531" s="1173">
        <v>11.5</v>
      </c>
      <c r="J531" s="1173" t="s">
        <v>677</v>
      </c>
      <c r="K531" s="1174" t="s">
        <v>678</v>
      </c>
      <c r="L531" s="1175" t="s">
        <v>951</v>
      </c>
      <c r="M531" s="1176">
        <f>350000000-68331200-21032248-125125000-12900756</f>
        <v>122610796</v>
      </c>
      <c r="N531" s="1344"/>
      <c r="O531" s="1171"/>
      <c r="P531" s="1350" t="s">
        <v>682</v>
      </c>
      <c r="Q531" s="1160"/>
      <c r="R531" s="1327"/>
      <c r="S531" s="1327"/>
      <c r="T531" s="1327">
        <f>+'PAA V30'!$R531-'PAA V30'!$S531</f>
        <v>0</v>
      </c>
      <c r="U531" s="1327"/>
      <c r="V531" s="1327"/>
      <c r="W531" s="1327"/>
    </row>
    <row r="532" spans="1:23" s="1204" customFormat="1" ht="60" hidden="1" x14ac:dyDescent="0.2">
      <c r="A532" s="1169">
        <v>2022571</v>
      </c>
      <c r="B532" s="1169" t="s">
        <v>459</v>
      </c>
      <c r="C532" s="1326"/>
      <c r="D532" s="1187" t="s">
        <v>690</v>
      </c>
      <c r="E532" s="1199" t="s">
        <v>964</v>
      </c>
      <c r="F532" s="1187" t="s">
        <v>1159</v>
      </c>
      <c r="G532" s="1345">
        <v>44652</v>
      </c>
      <c r="H532" s="1345">
        <v>44681</v>
      </c>
      <c r="I532" s="1173">
        <v>10</v>
      </c>
      <c r="J532" s="1173" t="s">
        <v>647</v>
      </c>
      <c r="K532" s="1174" t="s">
        <v>678</v>
      </c>
      <c r="L532" s="1175" t="s">
        <v>951</v>
      </c>
      <c r="M532" s="1176">
        <f>756263000-41115467-17000000-67208461-36967752</f>
        <v>593971320</v>
      </c>
      <c r="N532" s="1344"/>
      <c r="O532" s="1171"/>
      <c r="P532" s="1350" t="s">
        <v>682</v>
      </c>
      <c r="Q532" s="1160"/>
      <c r="R532" s="1327"/>
      <c r="S532" s="1327"/>
      <c r="T532" s="1327">
        <f>+'PAA V30'!$R532-'PAA V30'!$S532</f>
        <v>0</v>
      </c>
      <c r="U532" s="1327"/>
      <c r="V532" s="1327"/>
      <c r="W532" s="1327"/>
    </row>
    <row r="533" spans="1:23" s="1204" customFormat="1" ht="60" hidden="1" x14ac:dyDescent="0.2">
      <c r="A533" s="1169">
        <v>2022572</v>
      </c>
      <c r="B533" s="1169" t="s">
        <v>459</v>
      </c>
      <c r="C533" s="1326"/>
      <c r="D533" s="1187" t="s">
        <v>690</v>
      </c>
      <c r="E533" s="1171" t="s">
        <v>1139</v>
      </c>
      <c r="F533" s="1349" t="s">
        <v>968</v>
      </c>
      <c r="G533" s="1343">
        <v>44819</v>
      </c>
      <c r="H533" s="1343">
        <v>44822</v>
      </c>
      <c r="I533" s="1173">
        <v>2</v>
      </c>
      <c r="J533" s="1173" t="s">
        <v>721</v>
      </c>
      <c r="K533" s="1174" t="s">
        <v>678</v>
      </c>
      <c r="L533" s="1175" t="s">
        <v>951</v>
      </c>
      <c r="M533" s="1176">
        <f>37063000+9995387+1308000+9237765+58000000</f>
        <v>115604152</v>
      </c>
      <c r="N533" s="1344"/>
      <c r="O533" s="1171"/>
      <c r="P533" s="1350" t="s">
        <v>759</v>
      </c>
      <c r="Q533" s="1160"/>
      <c r="R533" s="1327"/>
      <c r="S533" s="1327"/>
      <c r="T533" s="1327">
        <f>+'PAA V30'!$R533-'PAA V30'!$S533</f>
        <v>0</v>
      </c>
      <c r="U533" s="1327"/>
      <c r="V533" s="1327"/>
      <c r="W533" s="1327"/>
    </row>
    <row r="534" spans="1:23" s="1204" customFormat="1" ht="60" hidden="1" x14ac:dyDescent="0.2">
      <c r="A534" s="1169">
        <v>2022573</v>
      </c>
      <c r="B534" s="1169" t="s">
        <v>459</v>
      </c>
      <c r="C534" s="1326"/>
      <c r="D534" s="1187" t="s">
        <v>690</v>
      </c>
      <c r="E534" s="1171" t="s">
        <v>1139</v>
      </c>
      <c r="F534" s="1349" t="s">
        <v>970</v>
      </c>
      <c r="G534" s="1343">
        <v>44562</v>
      </c>
      <c r="H534" s="1343">
        <v>44592</v>
      </c>
      <c r="I534" s="1173">
        <v>11</v>
      </c>
      <c r="J534" s="1173" t="s">
        <v>721</v>
      </c>
      <c r="K534" s="1174" t="s">
        <v>678</v>
      </c>
      <c r="L534" s="1175" t="s">
        <v>951</v>
      </c>
      <c r="M534" s="1176">
        <f>382937000-9995387</f>
        <v>372941613</v>
      </c>
      <c r="N534" s="1344"/>
      <c r="O534" s="1171"/>
      <c r="P534" s="1350" t="s">
        <v>682</v>
      </c>
      <c r="Q534" s="1160"/>
      <c r="R534" s="1327"/>
      <c r="S534" s="1327"/>
      <c r="T534" s="1327">
        <f>+'PAA V30'!$R534-'PAA V30'!$S534</f>
        <v>0</v>
      </c>
      <c r="U534" s="1327"/>
      <c r="V534" s="1327"/>
      <c r="W534" s="1327"/>
    </row>
    <row r="535" spans="1:23" s="1204" customFormat="1" ht="45" hidden="1" x14ac:dyDescent="0.2">
      <c r="A535" s="1169">
        <v>2022574</v>
      </c>
      <c r="B535" s="1169" t="s">
        <v>459</v>
      </c>
      <c r="C535" s="1326"/>
      <c r="D535" s="1187" t="s">
        <v>690</v>
      </c>
      <c r="E535" s="1171" t="s">
        <v>1160</v>
      </c>
      <c r="F535" s="1349" t="s">
        <v>1161</v>
      </c>
      <c r="G535" s="1343">
        <v>44713</v>
      </c>
      <c r="H535" s="1343">
        <v>44742</v>
      </c>
      <c r="I535" s="1173">
        <v>6</v>
      </c>
      <c r="J535" s="1173" t="s">
        <v>677</v>
      </c>
      <c r="K535" s="1174" t="s">
        <v>678</v>
      </c>
      <c r="L535" s="1175" t="s">
        <v>951</v>
      </c>
      <c r="M535" s="1176">
        <f>4019274+664250+524098+294046</f>
        <v>5501668</v>
      </c>
      <c r="N535" s="1344"/>
      <c r="O535" s="1171"/>
      <c r="P535" s="1350" t="s">
        <v>682</v>
      </c>
      <c r="Q535" s="1160"/>
      <c r="R535" s="1327"/>
      <c r="S535" s="1327"/>
      <c r="T535" s="1327">
        <f>+'PAA V30'!$R535-'PAA V30'!$S535</f>
        <v>0</v>
      </c>
      <c r="U535" s="1327"/>
      <c r="V535" s="1327"/>
      <c r="W535" s="1327"/>
    </row>
    <row r="536" spans="1:23" s="1204" customFormat="1" ht="60" hidden="1" x14ac:dyDescent="0.2">
      <c r="A536" s="1169">
        <v>2022575</v>
      </c>
      <c r="B536" s="1169" t="s">
        <v>459</v>
      </c>
      <c r="C536" s="1326"/>
      <c r="D536" s="1187" t="s">
        <v>690</v>
      </c>
      <c r="E536" s="1171" t="s">
        <v>1162</v>
      </c>
      <c r="F536" s="1349" t="s">
        <v>1163</v>
      </c>
      <c r="G536" s="1343">
        <v>44562</v>
      </c>
      <c r="H536" s="1343">
        <v>44592</v>
      </c>
      <c r="I536" s="1173">
        <v>5</v>
      </c>
      <c r="J536" s="1173" t="s">
        <v>677</v>
      </c>
      <c r="K536" s="1174" t="s">
        <v>678</v>
      </c>
      <c r="L536" s="1175" t="s">
        <v>951</v>
      </c>
      <c r="M536" s="1176">
        <f>8664250-664250</f>
        <v>8000000</v>
      </c>
      <c r="N536" s="1344"/>
      <c r="O536" s="1171"/>
      <c r="P536" s="1350" t="s">
        <v>759</v>
      </c>
      <c r="Q536" s="1160"/>
      <c r="R536" s="1327"/>
      <c r="S536" s="1327"/>
      <c r="T536" s="1327">
        <f>+'PAA V30'!$R536-'PAA V30'!$S536</f>
        <v>0</v>
      </c>
      <c r="U536" s="1327"/>
      <c r="V536" s="1327"/>
      <c r="W536" s="1327"/>
    </row>
    <row r="537" spans="1:23" s="1204" customFormat="1" ht="45" hidden="1" x14ac:dyDescent="0.2">
      <c r="A537" s="1169">
        <v>2022576</v>
      </c>
      <c r="B537" s="1169" t="s">
        <v>459</v>
      </c>
      <c r="C537" s="1326"/>
      <c r="D537" s="1187" t="s">
        <v>690</v>
      </c>
      <c r="E537" s="1171" t="s">
        <v>1160</v>
      </c>
      <c r="F537" s="1349" t="s">
        <v>1164</v>
      </c>
      <c r="G537" s="1343">
        <v>44713</v>
      </c>
      <c r="H537" s="1343">
        <v>44742</v>
      </c>
      <c r="I537" s="1173">
        <v>9</v>
      </c>
      <c r="J537" s="1173" t="s">
        <v>677</v>
      </c>
      <c r="K537" s="1174" t="s">
        <v>678</v>
      </c>
      <c r="L537" s="1175" t="s">
        <v>951</v>
      </c>
      <c r="M537" s="1176">
        <f>13335750-524098</f>
        <v>12811652</v>
      </c>
      <c r="N537" s="1344"/>
      <c r="O537" s="1171"/>
      <c r="P537" s="1350" t="s">
        <v>682</v>
      </c>
      <c r="Q537" s="1160"/>
      <c r="R537" s="1327"/>
      <c r="S537" s="1327"/>
      <c r="T537" s="1327">
        <f>+'PAA V30'!$R537-'PAA V30'!$S537</f>
        <v>0</v>
      </c>
      <c r="U537" s="1327"/>
      <c r="V537" s="1327"/>
      <c r="W537" s="1327"/>
    </row>
    <row r="538" spans="1:23" s="1204" customFormat="1" ht="45" hidden="1" x14ac:dyDescent="0.2">
      <c r="A538" s="1169">
        <v>2022577</v>
      </c>
      <c r="B538" s="1169" t="s">
        <v>459</v>
      </c>
      <c r="C538" s="1326"/>
      <c r="D538" s="1187" t="s">
        <v>690</v>
      </c>
      <c r="E538" s="1171" t="s">
        <v>1162</v>
      </c>
      <c r="F538" s="1349" t="s">
        <v>1161</v>
      </c>
      <c r="G538" s="1343">
        <v>44774</v>
      </c>
      <c r="H538" s="1343">
        <v>44804</v>
      </c>
      <c r="I538" s="1173">
        <v>6</v>
      </c>
      <c r="J538" s="1173" t="s">
        <v>677</v>
      </c>
      <c r="K538" s="1174" t="s">
        <v>678</v>
      </c>
      <c r="L538" s="1175" t="s">
        <v>951</v>
      </c>
      <c r="M538" s="1176">
        <f>3980726-294046</f>
        <v>3686680</v>
      </c>
      <c r="N538" s="1344"/>
      <c r="O538" s="1171"/>
      <c r="P538" s="1350" t="s">
        <v>682</v>
      </c>
      <c r="Q538" s="1160"/>
      <c r="R538" s="1327"/>
      <c r="S538" s="1327"/>
      <c r="T538" s="1327">
        <f>+'PAA V30'!$R538-'PAA V30'!$S538</f>
        <v>0</v>
      </c>
      <c r="U538" s="1327"/>
      <c r="V538" s="1327"/>
      <c r="W538" s="1327"/>
    </row>
    <row r="539" spans="1:23" s="1204" customFormat="1" ht="60" hidden="1" x14ac:dyDescent="0.2">
      <c r="A539" s="1169">
        <v>2022578</v>
      </c>
      <c r="B539" s="1169" t="s">
        <v>459</v>
      </c>
      <c r="C539" s="1326"/>
      <c r="D539" s="1187" t="s">
        <v>690</v>
      </c>
      <c r="E539" s="1171" t="s">
        <v>805</v>
      </c>
      <c r="F539" s="1349" t="s">
        <v>806</v>
      </c>
      <c r="G539" s="1343">
        <v>44562</v>
      </c>
      <c r="H539" s="1343">
        <v>44592</v>
      </c>
      <c r="I539" s="1173"/>
      <c r="J539" s="1173" t="s">
        <v>697</v>
      </c>
      <c r="K539" s="1174" t="s">
        <v>678</v>
      </c>
      <c r="L539" s="1175" t="s">
        <v>951</v>
      </c>
      <c r="M539" s="1176">
        <v>20000000</v>
      </c>
      <c r="N539" s="1344"/>
      <c r="O539" s="1171"/>
      <c r="P539" s="1350" t="s">
        <v>759</v>
      </c>
      <c r="Q539" s="1160"/>
      <c r="R539" s="1327"/>
      <c r="S539" s="1327"/>
      <c r="T539" s="1327">
        <f>+'PAA V30'!$R539-'PAA V30'!$S539</f>
        <v>0</v>
      </c>
      <c r="U539" s="1327"/>
      <c r="V539" s="1327"/>
      <c r="W539" s="1327"/>
    </row>
    <row r="540" spans="1:23" s="1204" customFormat="1" ht="45" hidden="1" x14ac:dyDescent="0.2">
      <c r="A540" s="1169">
        <v>2022579</v>
      </c>
      <c r="B540" s="1169" t="s">
        <v>459</v>
      </c>
      <c r="C540" s="1326"/>
      <c r="D540" s="1187" t="s">
        <v>690</v>
      </c>
      <c r="E540" s="1171" t="s">
        <v>805</v>
      </c>
      <c r="F540" s="1349" t="s">
        <v>1165</v>
      </c>
      <c r="G540" s="1343">
        <v>44562</v>
      </c>
      <c r="H540" s="1343">
        <v>44592</v>
      </c>
      <c r="I540" s="1173">
        <v>10</v>
      </c>
      <c r="J540" s="1173" t="s">
        <v>687</v>
      </c>
      <c r="K540" s="1174" t="s">
        <v>678</v>
      </c>
      <c r="L540" s="1175" t="s">
        <v>951</v>
      </c>
      <c r="M540" s="1176">
        <v>130000000</v>
      </c>
      <c r="N540" s="1344"/>
      <c r="O540" s="1171"/>
      <c r="P540" s="1350" t="s">
        <v>682</v>
      </c>
      <c r="Q540" s="1160"/>
      <c r="R540" s="1327"/>
      <c r="S540" s="1327"/>
      <c r="T540" s="1327">
        <f>+'PAA V30'!$R540-'PAA V30'!$S540</f>
        <v>0</v>
      </c>
      <c r="U540" s="1327"/>
      <c r="V540" s="1327"/>
      <c r="W540" s="1327"/>
    </row>
    <row r="541" spans="1:23" s="1204" customFormat="1" ht="45" hidden="1" x14ac:dyDescent="0.2">
      <c r="A541" s="1169">
        <v>2022580</v>
      </c>
      <c r="B541" s="1169" t="s">
        <v>459</v>
      </c>
      <c r="C541" s="1326"/>
      <c r="D541" s="1187" t="s">
        <v>683</v>
      </c>
      <c r="E541" s="1171" t="s">
        <v>781</v>
      </c>
      <c r="F541" s="1349" t="s">
        <v>1166</v>
      </c>
      <c r="G541" s="1343">
        <v>44562</v>
      </c>
      <c r="H541" s="1343">
        <v>44592</v>
      </c>
      <c r="I541" s="1173">
        <v>8</v>
      </c>
      <c r="J541" s="1173" t="s">
        <v>677</v>
      </c>
      <c r="K541" s="1174" t="s">
        <v>678</v>
      </c>
      <c r="L541" s="1175" t="s">
        <v>951</v>
      </c>
      <c r="M541" s="1176">
        <v>85650000</v>
      </c>
      <c r="N541" s="1344"/>
      <c r="O541" s="1171"/>
      <c r="P541" s="1350" t="s">
        <v>682</v>
      </c>
      <c r="Q541" s="1160"/>
      <c r="R541" s="1327"/>
      <c r="S541" s="1327"/>
      <c r="T541" s="1327">
        <f>+'PAA V30'!$R541-'PAA V30'!$S541</f>
        <v>0</v>
      </c>
      <c r="U541" s="1327"/>
      <c r="V541" s="1327"/>
      <c r="W541" s="1327"/>
    </row>
    <row r="542" spans="1:23" s="1204" customFormat="1" ht="45" hidden="1" x14ac:dyDescent="0.2">
      <c r="A542" s="1169">
        <v>2022581</v>
      </c>
      <c r="B542" s="1169" t="s">
        <v>459</v>
      </c>
      <c r="C542" s="1326"/>
      <c r="D542" s="1187" t="s">
        <v>683</v>
      </c>
      <c r="E542" s="1171" t="s">
        <v>781</v>
      </c>
      <c r="F542" s="1349" t="s">
        <v>1167</v>
      </c>
      <c r="G542" s="1343">
        <v>44562</v>
      </c>
      <c r="H542" s="1343">
        <v>44592</v>
      </c>
      <c r="I542" s="1173">
        <v>8</v>
      </c>
      <c r="J542" s="1173" t="s">
        <v>677</v>
      </c>
      <c r="K542" s="1174" t="s">
        <v>678</v>
      </c>
      <c r="L542" s="1175" t="s">
        <v>951</v>
      </c>
      <c r="M542" s="1176">
        <v>55350000</v>
      </c>
      <c r="N542" s="1344"/>
      <c r="O542" s="1171"/>
      <c r="P542" s="1350" t="s">
        <v>682</v>
      </c>
      <c r="Q542" s="1160"/>
      <c r="R542" s="1327"/>
      <c r="S542" s="1327"/>
      <c r="T542" s="1327">
        <f>+'PAA V30'!$R542-'PAA V30'!$S542</f>
        <v>0</v>
      </c>
      <c r="U542" s="1327"/>
      <c r="V542" s="1327"/>
      <c r="W542" s="1327"/>
    </row>
    <row r="543" spans="1:23" s="1204" customFormat="1" ht="60" hidden="1" x14ac:dyDescent="0.2">
      <c r="A543" s="1169">
        <v>2022582</v>
      </c>
      <c r="B543" s="1169" t="s">
        <v>459</v>
      </c>
      <c r="C543" s="1326"/>
      <c r="D543" s="1187" t="s">
        <v>683</v>
      </c>
      <c r="E543" s="1171" t="s">
        <v>781</v>
      </c>
      <c r="F543" s="1349" t="s">
        <v>1168</v>
      </c>
      <c r="G543" s="1343">
        <v>44562</v>
      </c>
      <c r="H543" s="1343">
        <v>44592</v>
      </c>
      <c r="I543" s="1173">
        <v>11</v>
      </c>
      <c r="J543" s="1173" t="s">
        <v>677</v>
      </c>
      <c r="K543" s="1174" t="s">
        <v>678</v>
      </c>
      <c r="L543" s="1175" t="s">
        <v>951</v>
      </c>
      <c r="M543" s="1176">
        <v>99000000</v>
      </c>
      <c r="N543" s="1344"/>
      <c r="O543" s="1171"/>
      <c r="P543" s="1350" t="s">
        <v>682</v>
      </c>
      <c r="Q543" s="1160"/>
      <c r="R543" s="1327"/>
      <c r="S543" s="1327"/>
      <c r="T543" s="1327">
        <f>+'PAA V30'!$R543-'PAA V30'!$S543</f>
        <v>0</v>
      </c>
      <c r="U543" s="1327"/>
      <c r="V543" s="1327"/>
      <c r="W543" s="1327"/>
    </row>
    <row r="544" spans="1:23" s="1204" customFormat="1" ht="90" hidden="1" x14ac:dyDescent="0.2">
      <c r="A544" s="1169">
        <v>2022583</v>
      </c>
      <c r="B544" s="1169" t="s">
        <v>459</v>
      </c>
      <c r="C544" s="1326"/>
      <c r="D544" s="1187" t="s">
        <v>699</v>
      </c>
      <c r="E544" s="1171" t="s">
        <v>1169</v>
      </c>
      <c r="F544" s="1349" t="s">
        <v>1170</v>
      </c>
      <c r="G544" s="1343">
        <v>44576</v>
      </c>
      <c r="H544" s="1343">
        <v>44592</v>
      </c>
      <c r="I544" s="1173">
        <v>11.5</v>
      </c>
      <c r="J544" s="1173" t="s">
        <v>700</v>
      </c>
      <c r="K544" s="1174" t="s">
        <v>678</v>
      </c>
      <c r="L544" s="1175" t="s">
        <v>951</v>
      </c>
      <c r="M544" s="1176">
        <v>22000000</v>
      </c>
      <c r="N544" s="1344"/>
      <c r="O544" s="1171"/>
      <c r="P544" s="1350" t="s">
        <v>682</v>
      </c>
      <c r="Q544" s="1160"/>
      <c r="R544" s="1327"/>
      <c r="S544" s="1327"/>
      <c r="T544" s="1327">
        <f>+'PAA V30'!$R544-'PAA V30'!$S544</f>
        <v>0</v>
      </c>
      <c r="U544" s="1327"/>
      <c r="V544" s="1327"/>
      <c r="W544" s="1327"/>
    </row>
    <row r="545" spans="1:23" s="1204" customFormat="1" ht="45" hidden="1" x14ac:dyDescent="0.2">
      <c r="A545" s="1169">
        <v>2022584</v>
      </c>
      <c r="B545" s="1169" t="s">
        <v>459</v>
      </c>
      <c r="C545" s="1326"/>
      <c r="D545" s="1187" t="s">
        <v>702</v>
      </c>
      <c r="E545" s="1171" t="s">
        <v>1171</v>
      </c>
      <c r="F545" s="1349" t="s">
        <v>1172</v>
      </c>
      <c r="G545" s="1343">
        <v>44813</v>
      </c>
      <c r="H545" s="1343">
        <v>44824</v>
      </c>
      <c r="I545" s="1173">
        <v>6</v>
      </c>
      <c r="J545" s="1173" t="s">
        <v>697</v>
      </c>
      <c r="K545" s="1174" t="s">
        <v>678</v>
      </c>
      <c r="L545" s="1175" t="s">
        <v>951</v>
      </c>
      <c r="M545" s="1176">
        <f>700102000-22950000-20400000-6600000-15400000</f>
        <v>634752000</v>
      </c>
      <c r="N545" s="1344"/>
      <c r="O545" s="1171"/>
      <c r="P545" s="1267" t="s">
        <v>682</v>
      </c>
      <c r="T545" s="1204">
        <f>+'PAA V30'!$R545-'PAA V30'!$S545</f>
        <v>0</v>
      </c>
    </row>
    <row r="546" spans="1:23" s="1204" customFormat="1" ht="60" hidden="1" x14ac:dyDescent="0.2">
      <c r="A546" s="1169">
        <v>2022586</v>
      </c>
      <c r="B546" s="1169" t="s">
        <v>459</v>
      </c>
      <c r="C546" s="1326"/>
      <c r="D546" s="1187" t="s">
        <v>696</v>
      </c>
      <c r="E546" s="1171" t="s">
        <v>1173</v>
      </c>
      <c r="F546" s="1349" t="s">
        <v>1174</v>
      </c>
      <c r="G546" s="1343">
        <v>44621</v>
      </c>
      <c r="H546" s="1343">
        <v>44651</v>
      </c>
      <c r="I546" s="1173">
        <v>9</v>
      </c>
      <c r="J546" s="1173" t="s">
        <v>647</v>
      </c>
      <c r="K546" s="1174" t="s">
        <v>678</v>
      </c>
      <c r="L546" s="1175" t="s">
        <v>951</v>
      </c>
      <c r="M546" s="1176">
        <v>870000000</v>
      </c>
      <c r="N546" s="1344"/>
      <c r="O546" s="1171"/>
      <c r="P546" s="1350" t="s">
        <v>682</v>
      </c>
      <c r="Q546" s="1160"/>
      <c r="R546" s="1327"/>
      <c r="S546" s="1327"/>
      <c r="T546" s="1327">
        <f>+'PAA V30'!$R546-'PAA V30'!$S546</f>
        <v>0</v>
      </c>
      <c r="U546" s="1327"/>
      <c r="V546" s="1327"/>
      <c r="W546" s="1327"/>
    </row>
    <row r="547" spans="1:23" s="1204" customFormat="1" ht="45" hidden="1" x14ac:dyDescent="0.2">
      <c r="A547" s="1169">
        <v>2022587</v>
      </c>
      <c r="B547" s="1169" t="s">
        <v>459</v>
      </c>
      <c r="C547" s="1326"/>
      <c r="D547" s="1187" t="s">
        <v>696</v>
      </c>
      <c r="E547" s="1171" t="s">
        <v>1175</v>
      </c>
      <c r="F547" s="1349" t="s">
        <v>1176</v>
      </c>
      <c r="G547" s="1343">
        <v>44835</v>
      </c>
      <c r="H547" s="1343">
        <v>44865</v>
      </c>
      <c r="I547" s="1173" t="s">
        <v>1177</v>
      </c>
      <c r="J547" s="1173" t="s">
        <v>97</v>
      </c>
      <c r="K547" s="1174" t="s">
        <v>678</v>
      </c>
      <c r="L547" s="1175" t="s">
        <v>951</v>
      </c>
      <c r="M547" s="1176">
        <f>150000000-5134132</f>
        <v>144865868</v>
      </c>
      <c r="N547" s="1344"/>
      <c r="O547" s="1171"/>
      <c r="P547" s="1350" t="s">
        <v>682</v>
      </c>
      <c r="Q547" s="1160"/>
      <c r="R547" s="1327"/>
      <c r="S547" s="1327"/>
      <c r="T547" s="1327">
        <f>+'PAA V30'!$R547-'PAA V30'!$S547</f>
        <v>0</v>
      </c>
      <c r="U547" s="1327"/>
      <c r="V547" s="1327"/>
      <c r="W547" s="1327"/>
    </row>
    <row r="548" spans="1:23" s="1204" customFormat="1" ht="135" hidden="1" x14ac:dyDescent="0.2">
      <c r="A548" s="1169">
        <v>2022588</v>
      </c>
      <c r="B548" s="1169" t="s">
        <v>459</v>
      </c>
      <c r="C548" s="1326"/>
      <c r="D548" s="1187" t="s">
        <v>696</v>
      </c>
      <c r="E548" s="1171" t="s">
        <v>1178</v>
      </c>
      <c r="F548" s="1349" t="s">
        <v>1179</v>
      </c>
      <c r="G548" s="1343">
        <v>44682</v>
      </c>
      <c r="H548" s="1343">
        <v>44712</v>
      </c>
      <c r="I548" s="1173">
        <v>7</v>
      </c>
      <c r="J548" s="1173" t="s">
        <v>687</v>
      </c>
      <c r="K548" s="1174" t="s">
        <v>678</v>
      </c>
      <c r="L548" s="1175" t="s">
        <v>951</v>
      </c>
      <c r="M548" s="1176">
        <v>250000000</v>
      </c>
      <c r="N548" s="1344"/>
      <c r="O548" s="1171"/>
      <c r="P548" s="1350" t="s">
        <v>682</v>
      </c>
      <c r="Q548" s="1160"/>
      <c r="R548" s="1327"/>
      <c r="S548" s="1327"/>
      <c r="T548" s="1327">
        <f>+'PAA V30'!$R548-'PAA V30'!$S548</f>
        <v>0</v>
      </c>
      <c r="U548" s="1327"/>
      <c r="V548" s="1327"/>
      <c r="W548" s="1327"/>
    </row>
    <row r="549" spans="1:23" s="1204" customFormat="1" ht="90" hidden="1" x14ac:dyDescent="0.2">
      <c r="A549" s="1169">
        <v>2022589</v>
      </c>
      <c r="B549" s="1169" t="s">
        <v>459</v>
      </c>
      <c r="C549" s="1326"/>
      <c r="D549" s="1187" t="s">
        <v>696</v>
      </c>
      <c r="E549" s="1358" t="s">
        <v>1180</v>
      </c>
      <c r="F549" s="1349" t="s">
        <v>1181</v>
      </c>
      <c r="G549" s="1343">
        <v>44621</v>
      </c>
      <c r="H549" s="1343">
        <v>44651</v>
      </c>
      <c r="I549" s="1173">
        <v>9</v>
      </c>
      <c r="J549" s="1173" t="s">
        <v>700</v>
      </c>
      <c r="K549" s="1174" t="s">
        <v>678</v>
      </c>
      <c r="L549" s="1175" t="s">
        <v>951</v>
      </c>
      <c r="M549" s="1176">
        <f>50000000-29250000-12597939-5417437-2734624</f>
        <v>0</v>
      </c>
      <c r="N549" s="1344"/>
      <c r="O549" s="1171"/>
      <c r="P549" s="1350" t="s">
        <v>682</v>
      </c>
      <c r="Q549" s="1160"/>
      <c r="R549" s="1327"/>
      <c r="S549" s="1327"/>
      <c r="T549" s="1327">
        <f>+'PAA V30'!$R549-'PAA V30'!$S549</f>
        <v>0</v>
      </c>
      <c r="U549" s="1327"/>
      <c r="V549" s="1327"/>
      <c r="W549" s="1327"/>
    </row>
    <row r="550" spans="1:23" s="1204" customFormat="1" ht="75" hidden="1" x14ac:dyDescent="0.2">
      <c r="A550" s="1169">
        <v>2022590</v>
      </c>
      <c r="B550" s="1169" t="s">
        <v>459</v>
      </c>
      <c r="C550" s="1326"/>
      <c r="D550" s="1187" t="s">
        <v>696</v>
      </c>
      <c r="E550" s="1171" t="s">
        <v>1177</v>
      </c>
      <c r="F550" s="1349" t="s">
        <v>1182</v>
      </c>
      <c r="G550" s="1343">
        <v>44593</v>
      </c>
      <c r="H550" s="1343">
        <v>44620</v>
      </c>
      <c r="I550" s="1173">
        <v>12</v>
      </c>
      <c r="J550" s="1173" t="s">
        <v>675</v>
      </c>
      <c r="K550" s="1174" t="s">
        <v>678</v>
      </c>
      <c r="L550" s="1175" t="s">
        <v>951</v>
      </c>
      <c r="M550" s="1176">
        <f>2476000000-210554286-125041620+10000000</f>
        <v>2150404094</v>
      </c>
      <c r="N550" s="1344"/>
      <c r="O550" s="1171"/>
      <c r="P550" s="1350" t="s">
        <v>682</v>
      </c>
      <c r="Q550" s="1160"/>
      <c r="R550" s="1327"/>
      <c r="S550" s="1327"/>
      <c r="T550" s="1327">
        <f>+'PAA V30'!$R550-'PAA V30'!$S550</f>
        <v>0</v>
      </c>
      <c r="U550" s="1327"/>
      <c r="V550" s="1327"/>
      <c r="W550" s="1327"/>
    </row>
    <row r="551" spans="1:23" s="1204" customFormat="1" ht="45" hidden="1" x14ac:dyDescent="0.2">
      <c r="A551" s="1169">
        <v>2022591</v>
      </c>
      <c r="B551" s="1169" t="s">
        <v>459</v>
      </c>
      <c r="C551" s="1326"/>
      <c r="D551" s="1187" t="s">
        <v>674</v>
      </c>
      <c r="E551" s="1171" t="s">
        <v>1183</v>
      </c>
      <c r="F551" s="1349" t="s">
        <v>1184</v>
      </c>
      <c r="G551" s="1343">
        <v>44562</v>
      </c>
      <c r="H551" s="1343">
        <v>44592</v>
      </c>
      <c r="I551" s="1173">
        <v>2</v>
      </c>
      <c r="J551" s="1173" t="s">
        <v>700</v>
      </c>
      <c r="K551" s="1174" t="s">
        <v>678</v>
      </c>
      <c r="L551" s="1175" t="s">
        <v>951</v>
      </c>
      <c r="M551" s="1176">
        <f>35000000-5000000</f>
        <v>30000000</v>
      </c>
      <c r="N551" s="1344"/>
      <c r="O551" s="1171"/>
      <c r="P551" s="1267" t="s">
        <v>682</v>
      </c>
      <c r="Q551" s="1160"/>
      <c r="R551" s="1327"/>
      <c r="S551" s="1327"/>
      <c r="T551" s="1327">
        <f>+'PAA V30'!$R551-'PAA V30'!$S551</f>
        <v>0</v>
      </c>
      <c r="U551" s="1327"/>
      <c r="V551" s="1327"/>
      <c r="W551" s="1327"/>
    </row>
    <row r="552" spans="1:23" s="1204" customFormat="1" ht="45" hidden="1" x14ac:dyDescent="0.2">
      <c r="A552" s="1169">
        <v>2022592</v>
      </c>
      <c r="B552" s="1169" t="s">
        <v>459</v>
      </c>
      <c r="C552" s="1326"/>
      <c r="D552" s="1187" t="s">
        <v>674</v>
      </c>
      <c r="E552" s="1171" t="s">
        <v>1183</v>
      </c>
      <c r="F552" s="1349" t="s">
        <v>1185</v>
      </c>
      <c r="G552" s="1343">
        <v>44562</v>
      </c>
      <c r="H552" s="1343">
        <v>44592</v>
      </c>
      <c r="I552" s="1173">
        <v>2</v>
      </c>
      <c r="J552" s="1173" t="s">
        <v>700</v>
      </c>
      <c r="K552" s="1174" t="s">
        <v>678</v>
      </c>
      <c r="L552" s="1175" t="s">
        <v>951</v>
      </c>
      <c r="M552" s="1176">
        <f>19810000-18257050</f>
        <v>1552950</v>
      </c>
      <c r="N552" s="1344"/>
      <c r="O552" s="1171"/>
      <c r="P552" s="1350" t="s">
        <v>682</v>
      </c>
      <c r="Q552" s="1160"/>
      <c r="R552" s="1327"/>
      <c r="S552" s="1327"/>
      <c r="T552" s="1327">
        <f>+'PAA V30'!$R552-'PAA V30'!$S552</f>
        <v>0</v>
      </c>
      <c r="U552" s="1327"/>
      <c r="V552" s="1327"/>
      <c r="W552" s="1327"/>
    </row>
    <row r="553" spans="1:23" s="1204" customFormat="1" ht="60" hidden="1" x14ac:dyDescent="0.2">
      <c r="A553" s="1169">
        <v>2022593</v>
      </c>
      <c r="B553" s="1169" t="s">
        <v>459</v>
      </c>
      <c r="C553" s="1326"/>
      <c r="D553" s="1187" t="s">
        <v>674</v>
      </c>
      <c r="E553" s="1171" t="s">
        <v>1186</v>
      </c>
      <c r="F553" s="1349" t="s">
        <v>1187</v>
      </c>
      <c r="G553" s="1343">
        <v>44562</v>
      </c>
      <c r="H553" s="1343">
        <v>44592</v>
      </c>
      <c r="I553" s="1173">
        <v>3.5</v>
      </c>
      <c r="J553" s="1173" t="s">
        <v>677</v>
      </c>
      <c r="K553" s="1174" t="s">
        <v>678</v>
      </c>
      <c r="L553" s="1175" t="s">
        <v>951</v>
      </c>
      <c r="M553" s="1176">
        <f>10000000-1505780</f>
        <v>8494220</v>
      </c>
      <c r="N553" s="1344"/>
      <c r="O553" s="1171"/>
      <c r="P553" s="1350" t="s">
        <v>759</v>
      </c>
      <c r="Q553" s="1160"/>
      <c r="R553" s="1327"/>
      <c r="S553" s="1327"/>
      <c r="T553" s="1327">
        <f>+'PAA V30'!$R553-'PAA V30'!$S553</f>
        <v>0</v>
      </c>
      <c r="U553" s="1327"/>
      <c r="V553" s="1327"/>
      <c r="W553" s="1327"/>
    </row>
    <row r="554" spans="1:23" s="1204" customFormat="1" ht="45" hidden="1" x14ac:dyDescent="0.2">
      <c r="A554" s="1169">
        <v>2022594</v>
      </c>
      <c r="B554" s="1169" t="s">
        <v>459</v>
      </c>
      <c r="C554" s="1326"/>
      <c r="D554" s="1187" t="s">
        <v>674</v>
      </c>
      <c r="E554" s="1171" t="s">
        <v>1188</v>
      </c>
      <c r="F554" s="1349" t="s">
        <v>1189</v>
      </c>
      <c r="G554" s="1343">
        <v>44774</v>
      </c>
      <c r="H554" s="1343">
        <v>44793</v>
      </c>
      <c r="I554" s="1173">
        <v>6</v>
      </c>
      <c r="J554" s="1173" t="s">
        <v>677</v>
      </c>
      <c r="K554" s="1174" t="s">
        <v>678</v>
      </c>
      <c r="L554" s="1175" t="s">
        <v>951</v>
      </c>
      <c r="M554" s="1176">
        <f>8386190-5586190</f>
        <v>2800000</v>
      </c>
      <c r="N554" s="1344"/>
      <c r="O554" s="1171"/>
      <c r="P554" s="1359" t="s">
        <v>682</v>
      </c>
      <c r="Q554" s="1160"/>
      <c r="R554" s="1327"/>
      <c r="S554" s="1327"/>
      <c r="T554" s="1327">
        <f>+'PAA V30'!$R554-'PAA V30'!$S554</f>
        <v>0</v>
      </c>
      <c r="U554" s="1327"/>
      <c r="V554" s="1327"/>
      <c r="W554" s="1327"/>
    </row>
    <row r="555" spans="1:23" s="1204" customFormat="1" ht="45" hidden="1" x14ac:dyDescent="0.2">
      <c r="A555" s="1169">
        <v>2022595</v>
      </c>
      <c r="B555" s="1169" t="s">
        <v>459</v>
      </c>
      <c r="C555" s="1326"/>
      <c r="D555" s="1187" t="s">
        <v>674</v>
      </c>
      <c r="E555" s="1171" t="s">
        <v>1190</v>
      </c>
      <c r="F555" s="1349" t="s">
        <v>1191</v>
      </c>
      <c r="G555" s="1343">
        <v>44743</v>
      </c>
      <c r="H555" s="1343">
        <v>44773</v>
      </c>
      <c r="I555" s="1173">
        <v>12</v>
      </c>
      <c r="J555" s="1173" t="s">
        <v>677</v>
      </c>
      <c r="K555" s="1174" t="s">
        <v>678</v>
      </c>
      <c r="L555" s="1175" t="s">
        <v>951</v>
      </c>
      <c r="M555" s="1176">
        <v>35000000</v>
      </c>
      <c r="N555" s="1344"/>
      <c r="O555" s="1171"/>
      <c r="P555" s="1350" t="s">
        <v>682</v>
      </c>
      <c r="Q555" s="1160"/>
      <c r="R555" s="1327"/>
      <c r="S555" s="1327"/>
      <c r="T555" s="1327">
        <f>+'PAA V30'!$R555-'PAA V30'!$S555</f>
        <v>0</v>
      </c>
      <c r="U555" s="1327"/>
      <c r="V555" s="1327"/>
      <c r="W555" s="1327"/>
    </row>
    <row r="556" spans="1:23" s="1204" customFormat="1" ht="60" hidden="1" x14ac:dyDescent="0.2">
      <c r="A556" s="1169">
        <v>2022596</v>
      </c>
      <c r="B556" s="1169" t="s">
        <v>459</v>
      </c>
      <c r="C556" s="1326"/>
      <c r="D556" s="1187" t="s">
        <v>674</v>
      </c>
      <c r="E556" s="1171" t="s">
        <v>1192</v>
      </c>
      <c r="F556" s="1349" t="s">
        <v>1193</v>
      </c>
      <c r="G556" s="1343">
        <v>44743</v>
      </c>
      <c r="H556" s="1343">
        <v>44762</v>
      </c>
      <c r="I556" s="1173">
        <v>2</v>
      </c>
      <c r="J556" s="1173" t="s">
        <v>721</v>
      </c>
      <c r="K556" s="1174" t="s">
        <v>678</v>
      </c>
      <c r="L556" s="1175" t="s">
        <v>951</v>
      </c>
      <c r="M556" s="1176">
        <v>35000000</v>
      </c>
      <c r="N556" s="1344"/>
      <c r="O556" s="1171"/>
      <c r="P556" s="1350" t="s">
        <v>682</v>
      </c>
      <c r="Q556" s="1160"/>
      <c r="R556" s="1327"/>
      <c r="S556" s="1327"/>
      <c r="T556" s="1327">
        <f>+'PAA V30'!$R556-'PAA V30'!$S556</f>
        <v>0</v>
      </c>
      <c r="U556" s="1327"/>
      <c r="V556" s="1327"/>
      <c r="W556" s="1327" t="s">
        <v>1050</v>
      </c>
    </row>
    <row r="557" spans="1:23" s="1204" customFormat="1" ht="90" hidden="1" x14ac:dyDescent="0.2">
      <c r="A557" s="1169">
        <v>2022597</v>
      </c>
      <c r="B557" s="1169" t="s">
        <v>459</v>
      </c>
      <c r="C557" s="1326"/>
      <c r="D557" s="1187" t="s">
        <v>674</v>
      </c>
      <c r="E557" s="1171" t="s">
        <v>1194</v>
      </c>
      <c r="F557" s="1349" t="s">
        <v>1195</v>
      </c>
      <c r="G557" s="1343">
        <v>44621</v>
      </c>
      <c r="H557" s="1343">
        <v>44651</v>
      </c>
      <c r="I557" s="1173">
        <v>6</v>
      </c>
      <c r="J557" s="1173" t="s">
        <v>721</v>
      </c>
      <c r="K557" s="1174" t="s">
        <v>678</v>
      </c>
      <c r="L557" s="1175" t="s">
        <v>951</v>
      </c>
      <c r="M557" s="1176">
        <f>300000000-81890487-68645289-2221891-3466553</f>
        <v>143775780</v>
      </c>
      <c r="N557" s="1344"/>
      <c r="O557" s="1171"/>
      <c r="P557" s="1350" t="s">
        <v>682</v>
      </c>
      <c r="Q557" s="1160"/>
      <c r="R557" s="1327"/>
      <c r="S557" s="1327"/>
      <c r="T557" s="1327">
        <f>+'PAA V30'!$R557-'PAA V30'!$S557</f>
        <v>0</v>
      </c>
      <c r="U557" s="1327"/>
      <c r="V557" s="1327"/>
      <c r="W557" s="1327"/>
    </row>
    <row r="558" spans="1:23" s="1204" customFormat="1" ht="60" hidden="1" x14ac:dyDescent="0.2">
      <c r="A558" s="1169">
        <v>2022598</v>
      </c>
      <c r="B558" s="1169" t="s">
        <v>459</v>
      </c>
      <c r="C558" s="1326"/>
      <c r="D558" s="1187" t="s">
        <v>674</v>
      </c>
      <c r="E558" s="1171" t="s">
        <v>1196</v>
      </c>
      <c r="F558" s="1349" t="s">
        <v>1197</v>
      </c>
      <c r="G558" s="1343">
        <v>44562</v>
      </c>
      <c r="H558" s="1343">
        <v>44592</v>
      </c>
      <c r="I558" s="1173">
        <v>5.5</v>
      </c>
      <c r="J558" s="1173" t="s">
        <v>677</v>
      </c>
      <c r="K558" s="1174" t="s">
        <v>678</v>
      </c>
      <c r="L558" s="1175" t="s">
        <v>951</v>
      </c>
      <c r="M558" s="1176">
        <f>120473160-558080</f>
        <v>119915080</v>
      </c>
      <c r="N558" s="1344"/>
      <c r="O558" s="1171"/>
      <c r="P558" s="1350" t="s">
        <v>759</v>
      </c>
      <c r="Q558" s="1160"/>
      <c r="R558" s="1327"/>
      <c r="S558" s="1327"/>
      <c r="T558" s="1327">
        <f>+'PAA V30'!$R558-'PAA V30'!$S558</f>
        <v>0</v>
      </c>
      <c r="U558" s="1327"/>
      <c r="V558" s="1327"/>
      <c r="W558" s="1327"/>
    </row>
    <row r="559" spans="1:23" s="1204" customFormat="1" ht="45" hidden="1" x14ac:dyDescent="0.2">
      <c r="A559" s="1169">
        <v>2022599</v>
      </c>
      <c r="B559" s="1169" t="s">
        <v>459</v>
      </c>
      <c r="C559" s="1326"/>
      <c r="D559" s="1187" t="s">
        <v>674</v>
      </c>
      <c r="E559" s="1171" t="s">
        <v>1198</v>
      </c>
      <c r="F559" s="1349" t="s">
        <v>1199</v>
      </c>
      <c r="G559" s="1343">
        <v>44713</v>
      </c>
      <c r="H559" s="1343">
        <v>44742</v>
      </c>
      <c r="I559" s="1173">
        <v>12</v>
      </c>
      <c r="J559" s="1173" t="s">
        <v>677</v>
      </c>
      <c r="K559" s="1174" t="s">
        <v>678</v>
      </c>
      <c r="L559" s="1175" t="s">
        <v>951</v>
      </c>
      <c r="M559" s="1176">
        <f>171518585+68645289-68645289</f>
        <v>171518585</v>
      </c>
      <c r="N559" s="1344"/>
      <c r="O559" s="1171"/>
      <c r="P559" s="1350" t="s">
        <v>682</v>
      </c>
      <c r="Q559" s="1160"/>
      <c r="R559" s="1327"/>
      <c r="S559" s="1327"/>
      <c r="T559" s="1327">
        <f>+'PAA V30'!$R559-'PAA V30'!$S559</f>
        <v>0</v>
      </c>
      <c r="U559" s="1327"/>
      <c r="V559" s="1327"/>
      <c r="W559" s="1327"/>
    </row>
    <row r="560" spans="1:23" s="1204" customFormat="1" ht="45" hidden="1" x14ac:dyDescent="0.2">
      <c r="A560" s="1169">
        <v>2022600</v>
      </c>
      <c r="B560" s="1169" t="s">
        <v>459</v>
      </c>
      <c r="C560" s="1326"/>
      <c r="D560" s="1187" t="s">
        <v>674</v>
      </c>
      <c r="E560" s="1171" t="s">
        <v>1177</v>
      </c>
      <c r="F560" s="1349" t="s">
        <v>1200</v>
      </c>
      <c r="G560" s="1343" t="s">
        <v>1177</v>
      </c>
      <c r="H560" s="1343" t="s">
        <v>1177</v>
      </c>
      <c r="I560" s="1173" t="s">
        <v>1177</v>
      </c>
      <c r="J560" s="1173" t="s">
        <v>97</v>
      </c>
      <c r="K560" s="1174"/>
      <c r="L560" s="1175" t="s">
        <v>951</v>
      </c>
      <c r="M560" s="1176">
        <v>1613810</v>
      </c>
      <c r="N560" s="1344"/>
      <c r="O560" s="1171"/>
      <c r="P560" s="1350" t="s">
        <v>759</v>
      </c>
      <c r="Q560" s="1160"/>
      <c r="R560" s="1327"/>
      <c r="S560" s="1327"/>
      <c r="T560" s="1327">
        <f>+'PAA V30'!$R560-'PAA V30'!$S560</f>
        <v>0</v>
      </c>
      <c r="U560" s="1327"/>
      <c r="V560" s="1327"/>
      <c r="W560" s="1327"/>
    </row>
    <row r="561" spans="1:23" s="1204" customFormat="1" ht="45" hidden="1" x14ac:dyDescent="0.2">
      <c r="A561" s="1169">
        <v>2022601</v>
      </c>
      <c r="B561" s="1169" t="s">
        <v>459</v>
      </c>
      <c r="C561" s="1326"/>
      <c r="D561" s="1187" t="s">
        <v>674</v>
      </c>
      <c r="E561" s="1171" t="s">
        <v>1177</v>
      </c>
      <c r="F561" s="1349" t="s">
        <v>1201</v>
      </c>
      <c r="G561" s="1343" t="s">
        <v>1177</v>
      </c>
      <c r="H561" s="1343" t="s">
        <v>1177</v>
      </c>
      <c r="I561" s="1173" t="s">
        <v>1177</v>
      </c>
      <c r="J561" s="1173" t="s">
        <v>97</v>
      </c>
      <c r="K561" s="1174"/>
      <c r="L561" s="1175" t="s">
        <v>951</v>
      </c>
      <c r="M561" s="1176">
        <v>8008255</v>
      </c>
      <c r="N561" s="1344"/>
      <c r="O561" s="1171"/>
      <c r="P561" s="1350" t="s">
        <v>759</v>
      </c>
      <c r="Q561" s="1160"/>
      <c r="R561" s="1327"/>
      <c r="S561" s="1327"/>
      <c r="T561" s="1327">
        <f>+'PAA V30'!$R561-'PAA V30'!$S561</f>
        <v>0</v>
      </c>
      <c r="U561" s="1327"/>
      <c r="V561" s="1327"/>
      <c r="W561" s="1327"/>
    </row>
    <row r="562" spans="1:23" s="1204" customFormat="1" ht="135" hidden="1" x14ac:dyDescent="0.2">
      <c r="A562" s="1169">
        <v>2022602</v>
      </c>
      <c r="B562" s="1169">
        <v>7637</v>
      </c>
      <c r="C562" s="1326" t="s">
        <v>645</v>
      </c>
      <c r="D562" s="1187" t="s">
        <v>674</v>
      </c>
      <c r="E562" s="1171">
        <v>80111600</v>
      </c>
      <c r="F562" s="1349" t="s">
        <v>1202</v>
      </c>
      <c r="G562" s="1343">
        <v>44562</v>
      </c>
      <c r="H562" s="1343">
        <v>44592</v>
      </c>
      <c r="I562" s="1173">
        <v>0.5</v>
      </c>
      <c r="J562" s="1173" t="s">
        <v>677</v>
      </c>
      <c r="K562" s="1174" t="s">
        <v>678</v>
      </c>
      <c r="L562" s="1175" t="s">
        <v>951</v>
      </c>
      <c r="M562" s="1176">
        <f>3500000-3500000</f>
        <v>0</v>
      </c>
      <c r="N562" s="1186" t="s">
        <v>680</v>
      </c>
      <c r="O562" s="1171" t="s">
        <v>681</v>
      </c>
      <c r="P562" s="1350" t="s">
        <v>759</v>
      </c>
      <c r="Q562" s="1160"/>
      <c r="R562" s="1266">
        <v>0</v>
      </c>
      <c r="S562" s="1327"/>
      <c r="T562" s="1327">
        <f>+'PAA V30'!$R562-'PAA V30'!$S562</f>
        <v>0</v>
      </c>
      <c r="U562" s="1327"/>
      <c r="V562" s="1327"/>
      <c r="W562" s="1327"/>
    </row>
    <row r="563" spans="1:23" s="1204" customFormat="1" ht="105" x14ac:dyDescent="0.2">
      <c r="A563" s="1169">
        <v>2022603</v>
      </c>
      <c r="B563" s="1169">
        <v>7655</v>
      </c>
      <c r="C563" s="1326" t="s">
        <v>648</v>
      </c>
      <c r="D563" s="1187" t="s">
        <v>674</v>
      </c>
      <c r="E563" s="1171">
        <v>80111600</v>
      </c>
      <c r="F563" s="1349" t="s">
        <v>1203</v>
      </c>
      <c r="G563" s="1343">
        <v>44562</v>
      </c>
      <c r="H563" s="1343">
        <v>44592</v>
      </c>
      <c r="I563" s="1173">
        <v>6</v>
      </c>
      <c r="J563" s="1173" t="s">
        <v>677</v>
      </c>
      <c r="K563" s="1174" t="s">
        <v>678</v>
      </c>
      <c r="L563" s="1175" t="s">
        <v>951</v>
      </c>
      <c r="M563" s="1176">
        <v>42000000</v>
      </c>
      <c r="N563" s="1344" t="s">
        <v>785</v>
      </c>
      <c r="O563" s="1171" t="s">
        <v>771</v>
      </c>
      <c r="P563" s="1350" t="s">
        <v>682</v>
      </c>
      <c r="Q563" s="1160"/>
      <c r="R563" s="1266">
        <v>42000000</v>
      </c>
      <c r="S563" s="1327">
        <v>42000000</v>
      </c>
      <c r="T563" s="1327">
        <f>+'PAA V30'!$R563-'PAA V30'!$S563</f>
        <v>0</v>
      </c>
      <c r="U563" s="1327">
        <v>42000000</v>
      </c>
      <c r="V563" s="1327">
        <v>14000000</v>
      </c>
      <c r="W563" s="1327"/>
    </row>
    <row r="564" spans="1:23" s="1204" customFormat="1" ht="75" hidden="1" x14ac:dyDescent="0.2">
      <c r="A564" s="1169">
        <v>2022604</v>
      </c>
      <c r="B564" s="1169">
        <v>7655</v>
      </c>
      <c r="C564" s="1326" t="s">
        <v>648</v>
      </c>
      <c r="D564" s="1187" t="s">
        <v>683</v>
      </c>
      <c r="E564" s="1171">
        <v>80111600</v>
      </c>
      <c r="F564" s="1349" t="s">
        <v>1204</v>
      </c>
      <c r="G564" s="1343">
        <v>44578</v>
      </c>
      <c r="H564" s="1343">
        <v>44578</v>
      </c>
      <c r="I564" s="1173">
        <v>11.5</v>
      </c>
      <c r="J564" s="1173" t="s">
        <v>677</v>
      </c>
      <c r="K564" s="1174" t="s">
        <v>678</v>
      </c>
      <c r="L564" s="1175" t="s">
        <v>951</v>
      </c>
      <c r="M564" s="1176">
        <v>28175000</v>
      </c>
      <c r="N564" s="1344" t="s">
        <v>784</v>
      </c>
      <c r="O564" s="1171" t="s">
        <v>771</v>
      </c>
      <c r="P564" s="1350" t="s">
        <v>682</v>
      </c>
      <c r="Q564" s="1160"/>
      <c r="R564" s="1266">
        <v>28175000</v>
      </c>
      <c r="S564" s="1327">
        <v>28175000</v>
      </c>
      <c r="T564" s="1327">
        <f>+'PAA V30'!$R564-'PAA V30'!$S564</f>
        <v>0</v>
      </c>
      <c r="U564" s="1327">
        <v>28175000</v>
      </c>
      <c r="V564" s="1327">
        <v>10126667</v>
      </c>
      <c r="W564" s="1327"/>
    </row>
    <row r="565" spans="1:23" s="1204" customFormat="1" ht="75" hidden="1" x14ac:dyDescent="0.2">
      <c r="A565" s="1169">
        <v>2022605</v>
      </c>
      <c r="B565" s="1169">
        <v>7655</v>
      </c>
      <c r="C565" s="1326" t="s">
        <v>648</v>
      </c>
      <c r="D565" s="1187" t="s">
        <v>674</v>
      </c>
      <c r="E565" s="1171">
        <v>80111600</v>
      </c>
      <c r="F565" s="1349" t="s">
        <v>1205</v>
      </c>
      <c r="G565" s="1343">
        <v>44562</v>
      </c>
      <c r="H565" s="1343">
        <v>44592</v>
      </c>
      <c r="I565" s="1173">
        <v>10</v>
      </c>
      <c r="J565" s="1173" t="s">
        <v>677</v>
      </c>
      <c r="K565" s="1174" t="s">
        <v>678</v>
      </c>
      <c r="L565" s="1175" t="s">
        <v>951</v>
      </c>
      <c r="M565" s="1176">
        <f>(10*4500000)-9000000</f>
        <v>36000000</v>
      </c>
      <c r="N565" s="1344" t="s">
        <v>784</v>
      </c>
      <c r="O565" s="1171" t="s">
        <v>771</v>
      </c>
      <c r="P565" s="1350" t="s">
        <v>682</v>
      </c>
      <c r="Q565" s="1160"/>
      <c r="R565" s="1266">
        <v>36000000</v>
      </c>
      <c r="S565" s="1327">
        <v>36000000</v>
      </c>
      <c r="T565" s="1327">
        <f>+'PAA V30'!$R565-'PAA V30'!$S565</f>
        <v>0</v>
      </c>
      <c r="U565" s="1327">
        <v>36000000</v>
      </c>
      <c r="V565" s="1327">
        <v>18450000</v>
      </c>
      <c r="W565" s="1327"/>
    </row>
    <row r="566" spans="1:23" s="1204" customFormat="1" ht="75" hidden="1" x14ac:dyDescent="0.2">
      <c r="A566" s="1169">
        <v>2022606</v>
      </c>
      <c r="B566" s="1169">
        <v>7655</v>
      </c>
      <c r="C566" s="1326" t="s">
        <v>648</v>
      </c>
      <c r="D566" s="1187" t="s">
        <v>683</v>
      </c>
      <c r="E566" s="1171">
        <v>80111600</v>
      </c>
      <c r="F566" s="1349" t="s">
        <v>1206</v>
      </c>
      <c r="G566" s="1343">
        <v>44582</v>
      </c>
      <c r="H566" s="1343">
        <v>44582</v>
      </c>
      <c r="I566" s="1173">
        <v>6</v>
      </c>
      <c r="J566" s="1173" t="s">
        <v>677</v>
      </c>
      <c r="K566" s="1174" t="s">
        <v>678</v>
      </c>
      <c r="L566" s="1175" t="s">
        <v>951</v>
      </c>
      <c r="M566" s="1176">
        <v>19200000</v>
      </c>
      <c r="N566" s="1344" t="s">
        <v>784</v>
      </c>
      <c r="O566" s="1171" t="s">
        <v>771</v>
      </c>
      <c r="P566" s="1350" t="s">
        <v>682</v>
      </c>
      <c r="Q566" s="1160"/>
      <c r="R566" s="1266">
        <v>19200000</v>
      </c>
      <c r="S566" s="1327">
        <v>19200000</v>
      </c>
      <c r="T566" s="1327">
        <f>+'PAA V30'!$R566-'PAA V30'!$S566</f>
        <v>0</v>
      </c>
      <c r="U566" s="1327">
        <v>19200000</v>
      </c>
      <c r="V566" s="1327">
        <v>12800000</v>
      </c>
      <c r="W566" s="1327"/>
    </row>
    <row r="567" spans="1:23" s="1204" customFormat="1" ht="120" hidden="1" x14ac:dyDescent="0.2">
      <c r="A567" s="1169">
        <v>2022607</v>
      </c>
      <c r="B567" s="1169" t="s">
        <v>97</v>
      </c>
      <c r="C567" s="1326" t="s">
        <v>97</v>
      </c>
      <c r="D567" s="1187" t="s">
        <v>690</v>
      </c>
      <c r="E567" s="1171" t="s">
        <v>1207</v>
      </c>
      <c r="F567" s="1349" t="s">
        <v>1208</v>
      </c>
      <c r="G567" s="1343">
        <v>44606</v>
      </c>
      <c r="H567" s="1343"/>
      <c r="I567" s="1173">
        <v>17</v>
      </c>
      <c r="J567" s="1173" t="s">
        <v>675</v>
      </c>
      <c r="K567" s="1174" t="s">
        <v>97</v>
      </c>
      <c r="L567" s="1175" t="s">
        <v>951</v>
      </c>
      <c r="M567" s="1176">
        <v>0</v>
      </c>
      <c r="N567" s="1344" t="s">
        <v>97</v>
      </c>
      <c r="O567" s="1171" t="s">
        <v>97</v>
      </c>
      <c r="P567" s="1350" t="s">
        <v>682</v>
      </c>
      <c r="Q567" s="1160"/>
      <c r="R567" s="1327"/>
      <c r="S567" s="1327"/>
      <c r="T567" s="1327">
        <f>+'PAA V30'!$R567-'PAA V30'!$S567</f>
        <v>0</v>
      </c>
      <c r="U567" s="1327"/>
      <c r="V567" s="1327"/>
      <c r="W567" s="1327"/>
    </row>
    <row r="568" spans="1:23" s="1204" customFormat="1" ht="105" hidden="1" x14ac:dyDescent="0.2">
      <c r="A568" s="1169">
        <v>2022608</v>
      </c>
      <c r="B568" s="1169">
        <v>7637</v>
      </c>
      <c r="C568" s="1326" t="s">
        <v>645</v>
      </c>
      <c r="D568" s="1187" t="s">
        <v>674</v>
      </c>
      <c r="E568" s="1171">
        <v>80111600</v>
      </c>
      <c r="F568" s="1349" t="s">
        <v>1209</v>
      </c>
      <c r="G568" s="1343">
        <v>44562</v>
      </c>
      <c r="H568" s="1343">
        <v>44592</v>
      </c>
      <c r="I568" s="1173">
        <v>10</v>
      </c>
      <c r="J568" s="1173" t="s">
        <v>677</v>
      </c>
      <c r="K568" s="1174" t="s">
        <v>678</v>
      </c>
      <c r="L568" s="1175" t="s">
        <v>951</v>
      </c>
      <c r="M568" s="1176">
        <v>23400000</v>
      </c>
      <c r="N568" s="1186" t="s">
        <v>680</v>
      </c>
      <c r="O568" s="1171" t="s">
        <v>681</v>
      </c>
      <c r="P568" s="1170" t="s">
        <v>682</v>
      </c>
      <c r="Q568" s="1160"/>
      <c r="R568" s="1266">
        <v>23400000</v>
      </c>
      <c r="S568" s="1327">
        <v>23400000</v>
      </c>
      <c r="T568" s="1327">
        <f>+'PAA V30'!$R568-'PAA V30'!$S568</f>
        <v>0</v>
      </c>
      <c r="U568" s="1327">
        <v>23400000</v>
      </c>
      <c r="V568" s="1327">
        <v>15600000</v>
      </c>
      <c r="W568" s="1327"/>
    </row>
    <row r="569" spans="1:23" s="1204" customFormat="1" ht="120" hidden="1" x14ac:dyDescent="0.2">
      <c r="A569" s="1169">
        <v>2022609</v>
      </c>
      <c r="B569" s="1169">
        <v>7658</v>
      </c>
      <c r="C569" s="1326" t="s">
        <v>673</v>
      </c>
      <c r="D569" s="1187" t="s">
        <v>693</v>
      </c>
      <c r="E569" s="1171" t="s">
        <v>1210</v>
      </c>
      <c r="F569" s="1349" t="s">
        <v>1211</v>
      </c>
      <c r="G569" s="1228">
        <v>44621</v>
      </c>
      <c r="H569" s="1228">
        <v>44712</v>
      </c>
      <c r="I569" s="1173">
        <v>12</v>
      </c>
      <c r="J569" s="1173" t="s">
        <v>687</v>
      </c>
      <c r="K569" s="1174" t="s">
        <v>678</v>
      </c>
      <c r="L569" s="1175" t="s">
        <v>951</v>
      </c>
      <c r="M569" s="1176">
        <f>181080376-104794000-14822449</f>
        <v>61463927</v>
      </c>
      <c r="N569" s="1344" t="s">
        <v>1032</v>
      </c>
      <c r="O569" s="1171" t="s">
        <v>1033</v>
      </c>
      <c r="P569" s="1350" t="s">
        <v>682</v>
      </c>
      <c r="Q569" s="1160"/>
      <c r="R569" s="1327">
        <v>61463927</v>
      </c>
      <c r="S569" s="1327">
        <v>61463927</v>
      </c>
      <c r="T569" s="1327">
        <f>+'PAA V30'!$R569-'PAA V30'!$S569</f>
        <v>0</v>
      </c>
      <c r="U569" s="1327">
        <v>61463927</v>
      </c>
      <c r="V569" s="1327">
        <v>11545689</v>
      </c>
      <c r="W569" s="1327"/>
    </row>
    <row r="570" spans="1:23" s="1204" customFormat="1" ht="120" hidden="1" x14ac:dyDescent="0.2">
      <c r="A570" s="1169">
        <v>2022610</v>
      </c>
      <c r="B570" s="1169" t="s">
        <v>459</v>
      </c>
      <c r="C570" s="1326"/>
      <c r="D570" s="1187" t="s">
        <v>674</v>
      </c>
      <c r="E570" s="1171" t="s">
        <v>1194</v>
      </c>
      <c r="F570" s="1349" t="s">
        <v>1212</v>
      </c>
      <c r="G570" s="1343">
        <v>44593</v>
      </c>
      <c r="H570" s="1343">
        <v>44620</v>
      </c>
      <c r="I570" s="1173">
        <v>2.1</v>
      </c>
      <c r="J570" s="1173" t="s">
        <v>721</v>
      </c>
      <c r="K570" s="1174" t="s">
        <v>678</v>
      </c>
      <c r="L570" s="1175" t="s">
        <v>951</v>
      </c>
      <c r="M570" s="1176">
        <v>81890487</v>
      </c>
      <c r="N570" s="1344"/>
      <c r="O570" s="1171"/>
      <c r="P570" s="1350" t="s">
        <v>759</v>
      </c>
      <c r="Q570" s="1160"/>
      <c r="R570" s="1327"/>
      <c r="S570" s="1327"/>
      <c r="T570" s="1327">
        <f>+'PAA V30'!$R570-'PAA V30'!$S570</f>
        <v>0</v>
      </c>
      <c r="U570" s="1327"/>
      <c r="V570" s="1327"/>
      <c r="W570" s="1327"/>
    </row>
    <row r="571" spans="1:23" s="1204" customFormat="1" ht="120" hidden="1" x14ac:dyDescent="0.2">
      <c r="A571" s="1169">
        <v>2022613</v>
      </c>
      <c r="B571" s="1169">
        <v>7658</v>
      </c>
      <c r="C571" s="1326" t="s">
        <v>673</v>
      </c>
      <c r="D571" s="1187" t="s">
        <v>699</v>
      </c>
      <c r="E571" s="1171"/>
      <c r="F571" s="1349" t="s">
        <v>1213</v>
      </c>
      <c r="G571" s="1343">
        <v>44621</v>
      </c>
      <c r="H571" s="1343">
        <v>44651</v>
      </c>
      <c r="I571" s="1173" t="s">
        <v>97</v>
      </c>
      <c r="J571" s="1173" t="s">
        <v>97</v>
      </c>
      <c r="K571" s="1174" t="s">
        <v>516</v>
      </c>
      <c r="L571" s="1175" t="s">
        <v>951</v>
      </c>
      <c r="M571" s="1176">
        <f>35781881+5918528-4008488</f>
        <v>37691921</v>
      </c>
      <c r="N571" s="1344" t="s">
        <v>772</v>
      </c>
      <c r="O571" s="1171" t="s">
        <v>915</v>
      </c>
      <c r="P571" s="1218" t="s">
        <v>751</v>
      </c>
      <c r="Q571" s="1160"/>
      <c r="R571" s="1327">
        <v>37691921</v>
      </c>
      <c r="S571" s="1327">
        <v>37691921</v>
      </c>
      <c r="T571" s="1327">
        <f>+'PAA V30'!$R571-'PAA V30'!$S571</f>
        <v>0</v>
      </c>
      <c r="U571" s="1327">
        <v>37691921</v>
      </c>
      <c r="V571" s="1327">
        <v>37691921</v>
      </c>
      <c r="W571" s="1327"/>
    </row>
    <row r="572" spans="1:23" s="1204" customFormat="1" ht="120" hidden="1" x14ac:dyDescent="0.2">
      <c r="A572" s="1169">
        <v>2022614</v>
      </c>
      <c r="B572" s="1169">
        <v>7658</v>
      </c>
      <c r="C572" s="1326" t="s">
        <v>673</v>
      </c>
      <c r="D572" s="1187" t="s">
        <v>699</v>
      </c>
      <c r="E572" s="1171"/>
      <c r="F572" s="1349" t="s">
        <v>1214</v>
      </c>
      <c r="G572" s="1343">
        <v>44621</v>
      </c>
      <c r="H572" s="1343">
        <v>44651</v>
      </c>
      <c r="I572" s="1173" t="s">
        <v>97</v>
      </c>
      <c r="J572" s="1173" t="s">
        <v>97</v>
      </c>
      <c r="K572" s="1174" t="s">
        <v>516</v>
      </c>
      <c r="L572" s="1175" t="s">
        <v>951</v>
      </c>
      <c r="M572" s="1176">
        <f>27886255+576000-60579</f>
        <v>28401676</v>
      </c>
      <c r="N572" s="1344" t="s">
        <v>772</v>
      </c>
      <c r="O572" s="1171" t="s">
        <v>915</v>
      </c>
      <c r="P572" s="1218" t="s">
        <v>751</v>
      </c>
      <c r="Q572" s="1160"/>
      <c r="R572" s="1327">
        <v>28401676</v>
      </c>
      <c r="S572" s="1327">
        <v>28401676</v>
      </c>
      <c r="T572" s="1327">
        <f>+'PAA V30'!$R572-'PAA V30'!$S572</f>
        <v>0</v>
      </c>
      <c r="U572" s="1327">
        <v>28401676</v>
      </c>
      <c r="V572" s="1327">
        <v>28401676</v>
      </c>
      <c r="W572" s="1327"/>
    </row>
    <row r="573" spans="1:23" s="1204" customFormat="1" ht="120" hidden="1" x14ac:dyDescent="0.2">
      <c r="A573" s="1169">
        <v>2022615</v>
      </c>
      <c r="B573" s="1169">
        <v>7658</v>
      </c>
      <c r="C573" s="1326" t="s">
        <v>673</v>
      </c>
      <c r="D573" s="1187" t="s">
        <v>699</v>
      </c>
      <c r="E573" s="1171"/>
      <c r="F573" s="1349" t="s">
        <v>1215</v>
      </c>
      <c r="G573" s="1343">
        <v>44621</v>
      </c>
      <c r="H573" s="1343">
        <v>44651</v>
      </c>
      <c r="I573" s="1173" t="s">
        <v>97</v>
      </c>
      <c r="J573" s="1173" t="s">
        <v>97</v>
      </c>
      <c r="K573" s="1174" t="s">
        <v>516</v>
      </c>
      <c r="L573" s="1175" t="s">
        <v>951</v>
      </c>
      <c r="M573" s="1176">
        <v>46885058</v>
      </c>
      <c r="N573" s="1344" t="s">
        <v>775</v>
      </c>
      <c r="O573" s="1171" t="s">
        <v>915</v>
      </c>
      <c r="P573" s="1218" t="s">
        <v>751</v>
      </c>
      <c r="Q573" s="1160"/>
      <c r="R573" s="1327">
        <v>46885058</v>
      </c>
      <c r="S573" s="1327">
        <v>46885058</v>
      </c>
      <c r="T573" s="1327">
        <f>+'PAA V30'!$R573-'PAA V30'!$S573</f>
        <v>0</v>
      </c>
      <c r="U573" s="1327">
        <v>46885058</v>
      </c>
      <c r="V573" s="1327">
        <v>46885058</v>
      </c>
      <c r="W573" s="1327"/>
    </row>
    <row r="574" spans="1:23" s="1204" customFormat="1" ht="120" hidden="1" x14ac:dyDescent="0.2">
      <c r="A574" s="1169">
        <v>2022616</v>
      </c>
      <c r="B574" s="1169">
        <v>7658</v>
      </c>
      <c r="C574" s="1326" t="s">
        <v>673</v>
      </c>
      <c r="D574" s="1187" t="s">
        <v>699</v>
      </c>
      <c r="E574" s="1171"/>
      <c r="F574" s="1349" t="s">
        <v>1216</v>
      </c>
      <c r="G574" s="1343">
        <v>44621</v>
      </c>
      <c r="H574" s="1343">
        <v>44651</v>
      </c>
      <c r="I574" s="1173" t="s">
        <v>97</v>
      </c>
      <c r="J574" s="1173" t="s">
        <v>97</v>
      </c>
      <c r="K574" s="1174" t="s">
        <v>516</v>
      </c>
      <c r="L574" s="1175" t="s">
        <v>951</v>
      </c>
      <c r="M574" s="1176">
        <v>432800</v>
      </c>
      <c r="N574" s="1344" t="s">
        <v>772</v>
      </c>
      <c r="O574" s="1171" t="s">
        <v>915</v>
      </c>
      <c r="P574" s="1218" t="s">
        <v>751</v>
      </c>
      <c r="Q574" s="1160"/>
      <c r="R574" s="1327">
        <v>432800</v>
      </c>
      <c r="S574" s="1327">
        <v>432800</v>
      </c>
      <c r="T574" s="1327">
        <f>+'PAA V30'!$R574-'PAA V30'!$S574</f>
        <v>0</v>
      </c>
      <c r="U574" s="1327">
        <v>432800</v>
      </c>
      <c r="V574" s="1327">
        <v>432800</v>
      </c>
      <c r="W574" s="1327"/>
    </row>
    <row r="575" spans="1:23" s="1204" customFormat="1" ht="120" hidden="1" x14ac:dyDescent="0.2">
      <c r="A575" s="1169">
        <v>2022617</v>
      </c>
      <c r="B575" s="1169">
        <v>7658</v>
      </c>
      <c r="C575" s="1326" t="s">
        <v>673</v>
      </c>
      <c r="D575" s="1187" t="s">
        <v>699</v>
      </c>
      <c r="E575" s="1171" t="s">
        <v>1093</v>
      </c>
      <c r="F575" s="1349" t="s">
        <v>1217</v>
      </c>
      <c r="G575" s="1343">
        <v>44593</v>
      </c>
      <c r="H575" s="1343">
        <v>44620</v>
      </c>
      <c r="I575" s="1173">
        <v>12</v>
      </c>
      <c r="J575" s="1173" t="s">
        <v>697</v>
      </c>
      <c r="K575" s="1174" t="s">
        <v>678</v>
      </c>
      <c r="L575" s="1175" t="s">
        <v>951</v>
      </c>
      <c r="M575" s="1176">
        <v>175000000</v>
      </c>
      <c r="N575" s="1344" t="s">
        <v>775</v>
      </c>
      <c r="O575" s="1171" t="s">
        <v>915</v>
      </c>
      <c r="P575" s="1218" t="s">
        <v>751</v>
      </c>
      <c r="Q575" s="1160"/>
      <c r="R575" s="1327">
        <v>175000000</v>
      </c>
      <c r="S575" s="1327">
        <v>175000000</v>
      </c>
      <c r="T575" s="1327">
        <f>+'PAA V30'!$R575-'PAA V30'!$S575</f>
        <v>0</v>
      </c>
      <c r="U575" s="1327">
        <v>175000000</v>
      </c>
      <c r="V575" s="1327">
        <v>19650698</v>
      </c>
      <c r="W575" s="1327"/>
    </row>
    <row r="576" spans="1:23" s="1204" customFormat="1" ht="60" hidden="1" x14ac:dyDescent="0.2">
      <c r="A576" s="1169">
        <v>2022618</v>
      </c>
      <c r="B576" s="1169" t="s">
        <v>459</v>
      </c>
      <c r="C576" s="1326" t="s">
        <v>459</v>
      </c>
      <c r="D576" s="1187" t="s">
        <v>696</v>
      </c>
      <c r="E576" s="1171">
        <v>86111604</v>
      </c>
      <c r="F576" s="1349" t="s">
        <v>1218</v>
      </c>
      <c r="G576" s="1343">
        <v>44682</v>
      </c>
      <c r="H576" s="1343">
        <v>44681</v>
      </c>
      <c r="I576" s="1173">
        <v>5</v>
      </c>
      <c r="J576" s="1173" t="s">
        <v>700</v>
      </c>
      <c r="K576" s="1174" t="s">
        <v>774</v>
      </c>
      <c r="L576" s="1175" t="s">
        <v>951</v>
      </c>
      <c r="M576" s="1176">
        <v>29250000</v>
      </c>
      <c r="N576" s="1344"/>
      <c r="O576" s="1171"/>
      <c r="P576" s="1218" t="s">
        <v>682</v>
      </c>
      <c r="Q576" s="1160"/>
      <c r="R576" s="1327"/>
      <c r="S576" s="1327"/>
      <c r="T576" s="1327">
        <f>+'PAA V30'!$R576-'PAA V30'!$S576</f>
        <v>0</v>
      </c>
      <c r="U576" s="1327"/>
      <c r="V576" s="1327"/>
      <c r="W576" s="1327"/>
    </row>
    <row r="577" spans="1:23" s="1204" customFormat="1" ht="105" hidden="1" x14ac:dyDescent="0.2">
      <c r="A577" s="1169">
        <v>2022619</v>
      </c>
      <c r="B577" s="1169">
        <v>7637</v>
      </c>
      <c r="C577" s="1326" t="s">
        <v>645</v>
      </c>
      <c r="D577" s="1187" t="s">
        <v>674</v>
      </c>
      <c r="E577" s="1171" t="s">
        <v>1219</v>
      </c>
      <c r="F577" s="1349" t="s">
        <v>1220</v>
      </c>
      <c r="G577" s="1343">
        <v>44652</v>
      </c>
      <c r="H577" s="1343">
        <v>44712</v>
      </c>
      <c r="I577" s="1173">
        <v>12</v>
      </c>
      <c r="J577" s="1173" t="s">
        <v>700</v>
      </c>
      <c r="K577" s="1174" t="s">
        <v>678</v>
      </c>
      <c r="L577" s="1175" t="s">
        <v>951</v>
      </c>
      <c r="M577" s="1176">
        <f>8000000-848867-600000</f>
        <v>6551133</v>
      </c>
      <c r="N577" s="1186" t="s">
        <v>680</v>
      </c>
      <c r="O577" s="1171" t="s">
        <v>681</v>
      </c>
      <c r="P577" s="1350" t="s">
        <v>682</v>
      </c>
      <c r="Q577" s="1160"/>
      <c r="R577" s="1266">
        <v>8000000</v>
      </c>
      <c r="S577" s="1327">
        <v>8000000</v>
      </c>
      <c r="T577" s="1327">
        <f>+'PAA V30'!$R577-'PAA V30'!$S577</f>
        <v>0</v>
      </c>
      <c r="U577" s="1327"/>
      <c r="V577" s="1327"/>
      <c r="W577" s="1327"/>
    </row>
    <row r="578" spans="1:23" s="1204" customFormat="1" ht="120" hidden="1" x14ac:dyDescent="0.2">
      <c r="A578" s="1169">
        <v>2022620</v>
      </c>
      <c r="B578" s="1169">
        <v>7658</v>
      </c>
      <c r="C578" s="1326" t="s">
        <v>673</v>
      </c>
      <c r="D578" s="1187" t="s">
        <v>699</v>
      </c>
      <c r="E578" s="1171" t="s">
        <v>1221</v>
      </c>
      <c r="F578" s="1349" t="s">
        <v>1222</v>
      </c>
      <c r="G578" s="1343">
        <v>44621</v>
      </c>
      <c r="H578" s="1343">
        <v>44630</v>
      </c>
      <c r="I578" s="1173">
        <v>1</v>
      </c>
      <c r="J578" s="1173" t="s">
        <v>697</v>
      </c>
      <c r="K578" s="1174" t="s">
        <v>678</v>
      </c>
      <c r="L578" s="1175" t="s">
        <v>951</v>
      </c>
      <c r="M578" s="1176">
        <f>8000000-313321</f>
        <v>7686679</v>
      </c>
      <c r="N578" s="1344" t="s">
        <v>775</v>
      </c>
      <c r="O578" s="1171" t="s">
        <v>915</v>
      </c>
      <c r="P578" s="1218" t="s">
        <v>751</v>
      </c>
      <c r="Q578" s="1160"/>
      <c r="R578" s="1327">
        <v>7686679</v>
      </c>
      <c r="S578" s="1327">
        <v>7686679</v>
      </c>
      <c r="T578" s="1327">
        <f>+'PAA V30'!$R578-'PAA V30'!$S578</f>
        <v>0</v>
      </c>
      <c r="U578" s="1327">
        <v>7686679</v>
      </c>
      <c r="V578" s="1327">
        <v>7686499</v>
      </c>
      <c r="W578" s="1327"/>
    </row>
    <row r="579" spans="1:23" s="1204" customFormat="1" ht="60" hidden="1" x14ac:dyDescent="0.2">
      <c r="A579" s="1169">
        <v>2022621</v>
      </c>
      <c r="B579" s="1169" t="s">
        <v>459</v>
      </c>
      <c r="C579" s="1326"/>
      <c r="D579" s="1187" t="s">
        <v>696</v>
      </c>
      <c r="E579" s="1358" t="s">
        <v>1223</v>
      </c>
      <c r="F579" s="1349" t="s">
        <v>1224</v>
      </c>
      <c r="G579" s="1343">
        <v>44621</v>
      </c>
      <c r="H579" s="1343">
        <v>44681</v>
      </c>
      <c r="I579" s="1173">
        <v>4</v>
      </c>
      <c r="J579" s="1173" t="s">
        <v>700</v>
      </c>
      <c r="K579" s="1174" t="s">
        <v>774</v>
      </c>
      <c r="L579" s="1175" t="s">
        <v>951</v>
      </c>
      <c r="M579" s="1176">
        <f>12597939-2582563</f>
        <v>10015376</v>
      </c>
      <c r="N579" s="1344"/>
      <c r="O579" s="1171"/>
      <c r="P579" s="1350" t="s">
        <v>682</v>
      </c>
      <c r="Q579" s="1160"/>
      <c r="R579" s="1327"/>
      <c r="S579" s="1327"/>
      <c r="T579" s="1327">
        <f>+'PAA V30'!$R579-'PAA V30'!$S579</f>
        <v>0</v>
      </c>
      <c r="U579" s="1327"/>
      <c r="V579" s="1327"/>
      <c r="W579" s="1327"/>
    </row>
    <row r="580" spans="1:23" s="1204" customFormat="1" ht="120" hidden="1" x14ac:dyDescent="0.2">
      <c r="A580" s="1328">
        <v>2022622</v>
      </c>
      <c r="B580" s="1328">
        <v>7658</v>
      </c>
      <c r="C580" s="1329" t="s">
        <v>673</v>
      </c>
      <c r="D580" s="1352" t="s">
        <v>690</v>
      </c>
      <c r="E580" s="1353" t="s">
        <v>1225</v>
      </c>
      <c r="F580" s="1354" t="s">
        <v>1226</v>
      </c>
      <c r="G580" s="1274">
        <v>44795</v>
      </c>
      <c r="H580" s="1274">
        <v>44770</v>
      </c>
      <c r="I580" s="1201">
        <v>4</v>
      </c>
      <c r="J580" s="1173" t="s">
        <v>697</v>
      </c>
      <c r="K580" s="1174" t="s">
        <v>678</v>
      </c>
      <c r="L580" s="1175" t="s">
        <v>951</v>
      </c>
      <c r="M580" s="1176">
        <f>416500000+105559750-17500000-120000000-115336294</f>
        <v>269223456</v>
      </c>
      <c r="N580" s="1344" t="s">
        <v>931</v>
      </c>
      <c r="O580" s="1353" t="s">
        <v>915</v>
      </c>
      <c r="P580" s="1218" t="s">
        <v>682</v>
      </c>
      <c r="Q580" s="1160"/>
      <c r="R580" s="1266">
        <v>0</v>
      </c>
      <c r="S580" s="1327"/>
      <c r="T580" s="1327">
        <f>+'PAA V30'!$R580-'PAA V30'!$S580</f>
        <v>0</v>
      </c>
      <c r="U580" s="1327"/>
      <c r="V580" s="1327"/>
      <c r="W580" s="1327"/>
    </row>
    <row r="581" spans="1:23" s="1204" customFormat="1" ht="120" hidden="1" x14ac:dyDescent="0.2">
      <c r="A581" s="1328">
        <v>2022623</v>
      </c>
      <c r="B581" s="1328">
        <v>7658</v>
      </c>
      <c r="C581" s="1329" t="s">
        <v>673</v>
      </c>
      <c r="D581" s="1352" t="s">
        <v>690</v>
      </c>
      <c r="E581" s="1328" t="s">
        <v>1227</v>
      </c>
      <c r="F581" s="1354" t="s">
        <v>1228</v>
      </c>
      <c r="G581" s="1274">
        <v>44666</v>
      </c>
      <c r="H581" s="1274">
        <v>44686</v>
      </c>
      <c r="I581" s="1201">
        <v>4</v>
      </c>
      <c r="J581" s="1173" t="s">
        <v>697</v>
      </c>
      <c r="K581" s="1174" t="s">
        <v>678</v>
      </c>
      <c r="L581" s="1175" t="s">
        <v>951</v>
      </c>
      <c r="M581" s="1176">
        <f>123500000+80000000+50000000+1500000</f>
        <v>255000000</v>
      </c>
      <c r="N581" s="1344" t="s">
        <v>931</v>
      </c>
      <c r="O581" s="1353" t="s">
        <v>915</v>
      </c>
      <c r="P581" s="1218" t="s">
        <v>682</v>
      </c>
      <c r="Q581" s="1160"/>
      <c r="R581" s="1327">
        <v>255000000</v>
      </c>
      <c r="S581" s="1327">
        <v>255000000</v>
      </c>
      <c r="T581" s="1327">
        <f>+'PAA V30'!$R581-'PAA V30'!$S581</f>
        <v>0</v>
      </c>
      <c r="U581" s="1327">
        <v>255000000</v>
      </c>
      <c r="V581" s="1327"/>
      <c r="W581" s="1327"/>
    </row>
    <row r="582" spans="1:23" s="1204" customFormat="1" ht="105" hidden="1" x14ac:dyDescent="0.2">
      <c r="A582" s="1169">
        <v>2022624</v>
      </c>
      <c r="B582" s="1169">
        <v>7637</v>
      </c>
      <c r="C582" s="1326" t="s">
        <v>645</v>
      </c>
      <c r="D582" s="1187" t="s">
        <v>674</v>
      </c>
      <c r="E582" s="1171">
        <v>81111700</v>
      </c>
      <c r="F582" s="1349" t="s">
        <v>1229</v>
      </c>
      <c r="G582" s="1343">
        <v>44819</v>
      </c>
      <c r="H582" s="1343">
        <v>44849</v>
      </c>
      <c r="I582" s="1173">
        <v>2</v>
      </c>
      <c r="J582" s="1173" t="s">
        <v>700</v>
      </c>
      <c r="K582" s="1174" t="s">
        <v>678</v>
      </c>
      <c r="L582" s="1175" t="s">
        <v>951</v>
      </c>
      <c r="M582" s="1176">
        <f>5000000+600000-1107750</f>
        <v>4492250</v>
      </c>
      <c r="N582" s="1186" t="s">
        <v>680</v>
      </c>
      <c r="O582" s="1171" t="s">
        <v>681</v>
      </c>
      <c r="P582" s="1267" t="s">
        <v>682</v>
      </c>
      <c r="Q582" s="1160"/>
      <c r="R582" s="1266">
        <v>0</v>
      </c>
      <c r="S582" s="1327"/>
      <c r="T582" s="1327">
        <f>+'PAA V30'!$R582-'PAA V30'!$S582</f>
        <v>0</v>
      </c>
      <c r="U582" s="1327"/>
      <c r="V582" s="1327"/>
      <c r="W582" s="1327"/>
    </row>
    <row r="583" spans="1:23" s="1204" customFormat="1" ht="120" hidden="1" x14ac:dyDescent="0.2">
      <c r="A583" s="1328">
        <v>2022626</v>
      </c>
      <c r="B583" s="1328">
        <v>7658</v>
      </c>
      <c r="C583" s="1329" t="s">
        <v>673</v>
      </c>
      <c r="D583" s="1352" t="s">
        <v>690</v>
      </c>
      <c r="E583" s="1353">
        <v>24101602</v>
      </c>
      <c r="F583" s="1354" t="s">
        <v>1230</v>
      </c>
      <c r="G583" s="1355">
        <v>44650</v>
      </c>
      <c r="H583" s="1355">
        <v>44713</v>
      </c>
      <c r="I583" s="1265">
        <v>4</v>
      </c>
      <c r="J583" s="1173" t="s">
        <v>697</v>
      </c>
      <c r="K583" s="1356" t="s">
        <v>774</v>
      </c>
      <c r="L583" s="1175" t="s">
        <v>951</v>
      </c>
      <c r="M583" s="1176">
        <f>180000000-1600000</f>
        <v>178400000</v>
      </c>
      <c r="N583" s="1344" t="s">
        <v>931</v>
      </c>
      <c r="O583" s="1353" t="s">
        <v>915</v>
      </c>
      <c r="P583" s="1218" t="s">
        <v>682</v>
      </c>
      <c r="Q583" s="1160"/>
      <c r="R583" s="1327">
        <v>178400000</v>
      </c>
      <c r="S583" s="1327">
        <v>178400000</v>
      </c>
      <c r="T583" s="1327">
        <f>+'PAA V30'!$R583-'PAA V30'!$S583</f>
        <v>0</v>
      </c>
      <c r="U583" s="1327">
        <v>178400000</v>
      </c>
      <c r="V583" s="1327"/>
      <c r="W583" s="1327"/>
    </row>
    <row r="584" spans="1:23" s="1204" customFormat="1" ht="105" hidden="1" x14ac:dyDescent="0.2">
      <c r="A584" s="1169">
        <v>2022631</v>
      </c>
      <c r="B584" s="1169">
        <v>7637</v>
      </c>
      <c r="C584" s="1326" t="s">
        <v>645</v>
      </c>
      <c r="D584" s="1187" t="s">
        <v>674</v>
      </c>
      <c r="E584" s="1199">
        <v>81112401</v>
      </c>
      <c r="F584" s="1199" t="s">
        <v>1231</v>
      </c>
      <c r="G584" s="1345">
        <v>44672</v>
      </c>
      <c r="H584" s="1345">
        <v>44680</v>
      </c>
      <c r="I584" s="1173">
        <v>2</v>
      </c>
      <c r="J584" s="1173" t="s">
        <v>721</v>
      </c>
      <c r="K584" s="1174" t="s">
        <v>678</v>
      </c>
      <c r="L584" s="1175" t="s">
        <v>951</v>
      </c>
      <c r="M584" s="1176">
        <v>26723240</v>
      </c>
      <c r="N584" s="1186" t="s">
        <v>680</v>
      </c>
      <c r="O584" s="1171" t="s">
        <v>681</v>
      </c>
      <c r="P584" s="1350" t="s">
        <v>759</v>
      </c>
      <c r="Q584" s="1160" t="s">
        <v>1232</v>
      </c>
      <c r="R584" s="1266">
        <v>26723240</v>
      </c>
      <c r="S584" s="1327">
        <v>26723240</v>
      </c>
      <c r="T584" s="1327">
        <f>+'PAA V30'!$R584-'PAA V30'!$S584</f>
        <v>0</v>
      </c>
      <c r="U584" s="1327">
        <v>26723240</v>
      </c>
      <c r="V584" s="1327"/>
      <c r="W584" s="1327"/>
    </row>
    <row r="585" spans="1:23" s="1204" customFormat="1" ht="105" hidden="1" x14ac:dyDescent="0.2">
      <c r="A585" s="1169">
        <v>2022632</v>
      </c>
      <c r="B585" s="1169">
        <v>7637</v>
      </c>
      <c r="C585" s="1326" t="s">
        <v>645</v>
      </c>
      <c r="D585" s="1187" t="s">
        <v>674</v>
      </c>
      <c r="E585" s="1199">
        <v>81112401</v>
      </c>
      <c r="F585" s="1199" t="s">
        <v>1233</v>
      </c>
      <c r="G585" s="1345">
        <v>44672</v>
      </c>
      <c r="H585" s="1345">
        <v>44680</v>
      </c>
      <c r="I585" s="1173">
        <v>2</v>
      </c>
      <c r="J585" s="1173" t="s">
        <v>721</v>
      </c>
      <c r="K585" s="1174" t="s">
        <v>678</v>
      </c>
      <c r="L585" s="1175" t="s">
        <v>951</v>
      </c>
      <c r="M585" s="1176">
        <v>1891777</v>
      </c>
      <c r="N585" s="1186" t="s">
        <v>680</v>
      </c>
      <c r="O585" s="1171" t="s">
        <v>681</v>
      </c>
      <c r="P585" s="1350" t="s">
        <v>759</v>
      </c>
      <c r="Q585" s="1160" t="s">
        <v>1232</v>
      </c>
      <c r="R585" s="1266">
        <v>1891776</v>
      </c>
      <c r="S585" s="1327">
        <v>1891776</v>
      </c>
      <c r="T585" s="1327">
        <f>+'PAA V30'!$R585-'PAA V30'!$S585</f>
        <v>0</v>
      </c>
      <c r="U585" s="1327">
        <v>1891776</v>
      </c>
      <c r="V585" s="1327"/>
      <c r="W585" s="1327"/>
    </row>
    <row r="586" spans="1:23" s="1204" customFormat="1" ht="120" hidden="1" x14ac:dyDescent="0.2">
      <c r="A586" s="1169">
        <v>2022633</v>
      </c>
      <c r="B586" s="1169">
        <v>7658</v>
      </c>
      <c r="C586" s="1326" t="s">
        <v>673</v>
      </c>
      <c r="D586" s="1187" t="s">
        <v>702</v>
      </c>
      <c r="E586" s="1199" t="s">
        <v>998</v>
      </c>
      <c r="F586" s="1351" t="s">
        <v>999</v>
      </c>
      <c r="G586" s="1345">
        <v>44652</v>
      </c>
      <c r="H586" s="1345">
        <v>44742</v>
      </c>
      <c r="I586" s="1173">
        <v>12</v>
      </c>
      <c r="J586" s="1173" t="s">
        <v>647</v>
      </c>
      <c r="K586" s="1174" t="s">
        <v>678</v>
      </c>
      <c r="L586" s="1175" t="s">
        <v>951</v>
      </c>
      <c r="M586" s="1176">
        <f>252916670+95000000+40000000-76999-2100000-2100000-1540000-5550000</f>
        <v>376549671</v>
      </c>
      <c r="N586" s="1344" t="s">
        <v>769</v>
      </c>
      <c r="O586" s="1171" t="s">
        <v>915</v>
      </c>
      <c r="P586" s="1267" t="s">
        <v>682</v>
      </c>
      <c r="Q586" s="1160" t="s">
        <v>1234</v>
      </c>
      <c r="R586" s="1327">
        <v>363521602</v>
      </c>
      <c r="S586" s="1327">
        <v>363521602</v>
      </c>
      <c r="T586" s="1327">
        <f>+'PAA V30'!$R586-'PAA V30'!$S586</f>
        <v>0</v>
      </c>
      <c r="U586" s="1327"/>
      <c r="V586" s="1327"/>
      <c r="W586" s="1327"/>
    </row>
    <row r="587" spans="1:23" s="1204" customFormat="1" ht="165" hidden="1" x14ac:dyDescent="0.2">
      <c r="A587" s="1169">
        <v>2022634</v>
      </c>
      <c r="B587" s="1169" t="s">
        <v>97</v>
      </c>
      <c r="C587" s="1326" t="s">
        <v>97</v>
      </c>
      <c r="D587" s="1187" t="s">
        <v>690</v>
      </c>
      <c r="E587" s="1171" t="s">
        <v>97</v>
      </c>
      <c r="F587" s="1349" t="s">
        <v>1235</v>
      </c>
      <c r="G587" s="1343">
        <v>44662</v>
      </c>
      <c r="H587" s="1343" t="s">
        <v>97</v>
      </c>
      <c r="I587" s="1173">
        <v>0.5</v>
      </c>
      <c r="J587" s="1173" t="s">
        <v>677</v>
      </c>
      <c r="K587" s="1174" t="s">
        <v>97</v>
      </c>
      <c r="L587" s="1175" t="s">
        <v>951</v>
      </c>
      <c r="M587" s="1176" t="s">
        <v>97</v>
      </c>
      <c r="N587" s="1344" t="s">
        <v>97</v>
      </c>
      <c r="O587" s="1171" t="s">
        <v>97</v>
      </c>
      <c r="P587" s="1350" t="s">
        <v>682</v>
      </c>
      <c r="R587" s="1327"/>
      <c r="S587" s="1327"/>
      <c r="T587" s="1327">
        <f>+'PAA V30'!$R587-'PAA V30'!$S587</f>
        <v>0</v>
      </c>
      <c r="U587" s="1327"/>
      <c r="V587" s="1327"/>
      <c r="W587" s="1327"/>
    </row>
    <row r="588" spans="1:23" s="1204" customFormat="1" ht="180" hidden="1" x14ac:dyDescent="0.2">
      <c r="A588" s="1169">
        <v>2022635</v>
      </c>
      <c r="B588" s="1169" t="s">
        <v>97</v>
      </c>
      <c r="C588" s="1326" t="s">
        <v>97</v>
      </c>
      <c r="D588" s="1187" t="s">
        <v>690</v>
      </c>
      <c r="E588" s="1171" t="s">
        <v>97</v>
      </c>
      <c r="F588" s="1349" t="s">
        <v>1236</v>
      </c>
      <c r="G588" s="1343">
        <v>44662</v>
      </c>
      <c r="H588" s="1343" t="s">
        <v>97</v>
      </c>
      <c r="I588" s="1173">
        <v>1</v>
      </c>
      <c r="J588" s="1173" t="s">
        <v>677</v>
      </c>
      <c r="K588" s="1174" t="s">
        <v>97</v>
      </c>
      <c r="L588" s="1175" t="s">
        <v>951</v>
      </c>
      <c r="M588" s="1176" t="s">
        <v>97</v>
      </c>
      <c r="N588" s="1344" t="s">
        <v>97</v>
      </c>
      <c r="O588" s="1171" t="s">
        <v>97</v>
      </c>
      <c r="P588" s="1350" t="s">
        <v>682</v>
      </c>
      <c r="R588" s="1327"/>
      <c r="S588" s="1327"/>
      <c r="T588" s="1327">
        <f>+'PAA V30'!$R588-'PAA V30'!$S588</f>
        <v>0</v>
      </c>
      <c r="U588" s="1327"/>
      <c r="V588" s="1327"/>
      <c r="W588" s="1327"/>
    </row>
    <row r="589" spans="1:23" s="1204" customFormat="1" ht="120" hidden="1" x14ac:dyDescent="0.2">
      <c r="A589" s="1169">
        <v>2022637</v>
      </c>
      <c r="B589" s="1169">
        <v>7658</v>
      </c>
      <c r="C589" s="1326" t="s">
        <v>673</v>
      </c>
      <c r="D589" s="1187" t="s">
        <v>699</v>
      </c>
      <c r="E589" s="1199" t="s">
        <v>1237</v>
      </c>
      <c r="F589" s="1351" t="s">
        <v>1238</v>
      </c>
      <c r="G589" s="1360">
        <v>44676</v>
      </c>
      <c r="H589" s="1360">
        <v>44683</v>
      </c>
      <c r="I589" s="1173">
        <v>9</v>
      </c>
      <c r="J589" s="1173" t="s">
        <v>700</v>
      </c>
      <c r="K589" s="1174" t="s">
        <v>678</v>
      </c>
      <c r="L589" s="1175" t="s">
        <v>951</v>
      </c>
      <c r="M589" s="1176">
        <v>10000000</v>
      </c>
      <c r="N589" s="1344" t="s">
        <v>772</v>
      </c>
      <c r="O589" s="1171" t="s">
        <v>915</v>
      </c>
      <c r="P589" s="1218" t="s">
        <v>682</v>
      </c>
      <c r="R589" s="1327">
        <v>10000000</v>
      </c>
      <c r="S589" s="1327">
        <v>10000000</v>
      </c>
      <c r="T589" s="1327">
        <f>+'PAA V30'!$R589-'PAA V30'!$S589</f>
        <v>0</v>
      </c>
      <c r="U589" s="1327"/>
      <c r="V589" s="1327"/>
      <c r="W589" s="1327"/>
    </row>
    <row r="590" spans="1:23" s="1204" customFormat="1" ht="75" hidden="1" x14ac:dyDescent="0.2">
      <c r="A590" s="1169">
        <v>2022638</v>
      </c>
      <c r="B590" s="1169">
        <v>7658</v>
      </c>
      <c r="C590" s="1326" t="s">
        <v>673</v>
      </c>
      <c r="D590" s="1187" t="s">
        <v>696</v>
      </c>
      <c r="E590" s="1199">
        <v>80111600</v>
      </c>
      <c r="F590" s="1199" t="s">
        <v>1239</v>
      </c>
      <c r="G590" s="1345">
        <v>44688</v>
      </c>
      <c r="H590" s="1345">
        <v>44688</v>
      </c>
      <c r="I590" s="1173">
        <v>2.5</v>
      </c>
      <c r="J590" s="1173" t="s">
        <v>677</v>
      </c>
      <c r="K590" s="1174" t="s">
        <v>678</v>
      </c>
      <c r="L590" s="1175" t="s">
        <v>951</v>
      </c>
      <c r="M590" s="1176">
        <v>10500000</v>
      </c>
      <c r="N590" s="1344" t="s">
        <v>765</v>
      </c>
      <c r="O590" s="1171" t="s">
        <v>764</v>
      </c>
      <c r="P590" s="1218" t="s">
        <v>751</v>
      </c>
      <c r="R590" s="1327">
        <v>10500000</v>
      </c>
      <c r="S590" s="1327">
        <v>10500000</v>
      </c>
      <c r="T590" s="1327">
        <f>+'PAA V30'!$R590-'PAA V30'!$S590</f>
        <v>0</v>
      </c>
      <c r="U590" s="1327">
        <v>10500000</v>
      </c>
      <c r="V590" s="1327">
        <v>4200000</v>
      </c>
      <c r="W590" s="1327"/>
    </row>
    <row r="591" spans="1:23" s="1204" customFormat="1" ht="105" hidden="1" x14ac:dyDescent="0.2">
      <c r="A591" s="1169">
        <v>2022639</v>
      </c>
      <c r="B591" s="1169">
        <v>7658</v>
      </c>
      <c r="C591" s="1326" t="s">
        <v>673</v>
      </c>
      <c r="D591" s="1187" t="s">
        <v>693</v>
      </c>
      <c r="E591" s="1171" t="s">
        <v>1030</v>
      </c>
      <c r="F591" s="1349" t="s">
        <v>1240</v>
      </c>
      <c r="G591" s="1343">
        <v>44682</v>
      </c>
      <c r="H591" s="1343">
        <v>44711</v>
      </c>
      <c r="I591" s="1173">
        <v>1</v>
      </c>
      <c r="J591" s="1173" t="s">
        <v>647</v>
      </c>
      <c r="K591" s="1174" t="s">
        <v>678</v>
      </c>
      <c r="L591" s="1175" t="s">
        <v>951</v>
      </c>
      <c r="M591" s="1176">
        <v>66036232</v>
      </c>
      <c r="N591" s="1344" t="s">
        <v>1032</v>
      </c>
      <c r="O591" s="1171" t="s">
        <v>1033</v>
      </c>
      <c r="P591" s="1350" t="s">
        <v>751</v>
      </c>
      <c r="R591" s="1327">
        <v>66036232</v>
      </c>
      <c r="S591" s="1327">
        <v>66036232</v>
      </c>
      <c r="T591" s="1327">
        <f>+'PAA V30'!$R591-'PAA V30'!$S591</f>
        <v>0</v>
      </c>
      <c r="U591" s="1327">
        <v>66036232</v>
      </c>
      <c r="V591" s="1327">
        <v>65695743</v>
      </c>
      <c r="W591" s="1327"/>
    </row>
    <row r="592" spans="1:23" s="1204" customFormat="1" ht="105" hidden="1" x14ac:dyDescent="0.2">
      <c r="A592" s="1169">
        <v>2022640</v>
      </c>
      <c r="B592" s="1169">
        <v>7637</v>
      </c>
      <c r="C592" s="1326" t="s">
        <v>645</v>
      </c>
      <c r="D592" s="1187" t="s">
        <v>674</v>
      </c>
      <c r="E592" s="1171">
        <v>43222600</v>
      </c>
      <c r="F592" s="1349" t="s">
        <v>1241</v>
      </c>
      <c r="G592" s="1343">
        <v>44682</v>
      </c>
      <c r="H592" s="1343">
        <v>44712</v>
      </c>
      <c r="I592" s="1173">
        <v>6</v>
      </c>
      <c r="J592" s="1173" t="s">
        <v>697</v>
      </c>
      <c r="K592" s="1174" t="s">
        <v>774</v>
      </c>
      <c r="L592" s="1175" t="s">
        <v>951</v>
      </c>
      <c r="M592" s="1176">
        <v>278282277</v>
      </c>
      <c r="N592" s="1186" t="s">
        <v>680</v>
      </c>
      <c r="O592" s="1171" t="s">
        <v>681</v>
      </c>
      <c r="P592" s="1350" t="s">
        <v>682</v>
      </c>
      <c r="Q592" s="1160" t="s">
        <v>1242</v>
      </c>
      <c r="R592" s="1327">
        <v>556564554</v>
      </c>
      <c r="S592" s="1327">
        <v>556564554</v>
      </c>
      <c r="T592" s="1327">
        <f>+'PAA V30'!$R592-'PAA V30'!$S592</f>
        <v>0</v>
      </c>
      <c r="U592" s="1327"/>
      <c r="V592" s="1327"/>
      <c r="W592" s="1327"/>
    </row>
    <row r="593" spans="1:23" s="1204" customFormat="1" ht="90" hidden="1" x14ac:dyDescent="0.2">
      <c r="A593" s="1169">
        <v>2022641</v>
      </c>
      <c r="B593" s="1169">
        <v>7658</v>
      </c>
      <c r="C593" s="1326" t="s">
        <v>673</v>
      </c>
      <c r="D593" s="1187" t="s">
        <v>693</v>
      </c>
      <c r="E593" s="1199">
        <v>80111600</v>
      </c>
      <c r="F593" s="1199" t="s">
        <v>1243</v>
      </c>
      <c r="G593" s="1343">
        <v>44682</v>
      </c>
      <c r="H593" s="1343">
        <v>44712</v>
      </c>
      <c r="I593" s="1173">
        <v>2</v>
      </c>
      <c r="J593" s="1173" t="s">
        <v>677</v>
      </c>
      <c r="K593" s="1174" t="s">
        <v>678</v>
      </c>
      <c r="L593" s="1175" t="s">
        <v>951</v>
      </c>
      <c r="M593" s="1176">
        <v>10300000</v>
      </c>
      <c r="N593" s="1344" t="s">
        <v>1032</v>
      </c>
      <c r="O593" s="1171" t="s">
        <v>1033</v>
      </c>
      <c r="P593" s="1350" t="s">
        <v>751</v>
      </c>
      <c r="Q593" s="1160" t="s">
        <v>1244</v>
      </c>
      <c r="R593" s="1327">
        <v>10300000</v>
      </c>
      <c r="S593" s="1327">
        <v>10300000</v>
      </c>
      <c r="T593" s="1327">
        <f>+'PAA V30'!$R593-'PAA V30'!$S593</f>
        <v>0</v>
      </c>
      <c r="U593" s="1327">
        <v>10300000</v>
      </c>
      <c r="V593" s="1327">
        <v>3948333</v>
      </c>
      <c r="W593" s="1327"/>
    </row>
    <row r="594" spans="1:23" s="1204" customFormat="1" ht="90" hidden="1" x14ac:dyDescent="0.2">
      <c r="A594" s="1169">
        <v>2022642</v>
      </c>
      <c r="B594" s="1169">
        <v>7658</v>
      </c>
      <c r="C594" s="1326" t="s">
        <v>673</v>
      </c>
      <c r="D594" s="1187" t="s">
        <v>693</v>
      </c>
      <c r="E594" s="1199">
        <v>80111600</v>
      </c>
      <c r="F594" s="1199" t="s">
        <v>1245</v>
      </c>
      <c r="G594" s="1343">
        <v>44819</v>
      </c>
      <c r="H594" s="1343">
        <v>44819</v>
      </c>
      <c r="I594" s="1173">
        <v>4</v>
      </c>
      <c r="J594" s="1173" t="s">
        <v>677</v>
      </c>
      <c r="K594" s="1174" t="s">
        <v>678</v>
      </c>
      <c r="L594" s="1175" t="s">
        <v>951</v>
      </c>
      <c r="M594" s="1176">
        <f>(6*4500000)-8950000-4550000</f>
        <v>13500000</v>
      </c>
      <c r="N594" s="1344" t="s">
        <v>1032</v>
      </c>
      <c r="O594" s="1171" t="s">
        <v>1033</v>
      </c>
      <c r="P594" s="1350" t="s">
        <v>682</v>
      </c>
      <c r="Q594" s="1160"/>
      <c r="R594" s="1327">
        <v>27000000</v>
      </c>
      <c r="S594" s="1327">
        <v>27000000</v>
      </c>
      <c r="T594" s="1327">
        <f>+'PAA V30'!$R594-'PAA V30'!$S594</f>
        <v>0</v>
      </c>
      <c r="U594" s="1327"/>
      <c r="V594" s="1327"/>
      <c r="W594" s="1327"/>
    </row>
    <row r="595" spans="1:23" s="1204" customFormat="1" ht="90" hidden="1" x14ac:dyDescent="0.2">
      <c r="A595" s="1169">
        <v>2022643</v>
      </c>
      <c r="B595" s="1169">
        <v>7658</v>
      </c>
      <c r="C595" s="1326" t="s">
        <v>673</v>
      </c>
      <c r="D595" s="1187" t="s">
        <v>693</v>
      </c>
      <c r="E595" s="1199">
        <v>80111600</v>
      </c>
      <c r="F595" s="1199" t="s">
        <v>1246</v>
      </c>
      <c r="G595" s="1343">
        <v>44743</v>
      </c>
      <c r="H595" s="1343">
        <v>44773</v>
      </c>
      <c r="I595" s="1173">
        <v>6</v>
      </c>
      <c r="J595" s="1173" t="s">
        <v>677</v>
      </c>
      <c r="K595" s="1174" t="s">
        <v>678</v>
      </c>
      <c r="L595" s="1175" t="s">
        <v>951</v>
      </c>
      <c r="M595" s="1176">
        <f>2750000*6</f>
        <v>16500000</v>
      </c>
      <c r="N595" s="1344" t="s">
        <v>1032</v>
      </c>
      <c r="O595" s="1171" t="s">
        <v>1033</v>
      </c>
      <c r="P595" s="1350" t="s">
        <v>682</v>
      </c>
      <c r="Q595" s="1160"/>
      <c r="R595" s="1327">
        <v>16500000</v>
      </c>
      <c r="S595" s="1327">
        <v>16500000</v>
      </c>
      <c r="T595" s="1327">
        <f>+'PAA V30'!$R595-'PAA V30'!$S595</f>
        <v>0</v>
      </c>
      <c r="U595" s="1327"/>
      <c r="V595" s="1327"/>
      <c r="W595" s="1327"/>
    </row>
    <row r="596" spans="1:23" s="1204" customFormat="1" ht="90" hidden="1" x14ac:dyDescent="0.2">
      <c r="A596" s="1169">
        <v>2022644</v>
      </c>
      <c r="B596" s="1169">
        <v>7658</v>
      </c>
      <c r="C596" s="1326" t="s">
        <v>673</v>
      </c>
      <c r="D596" s="1187" t="s">
        <v>693</v>
      </c>
      <c r="E596" s="1199">
        <v>80111600</v>
      </c>
      <c r="F596" s="1199" t="s">
        <v>1246</v>
      </c>
      <c r="G596" s="1343">
        <v>44743</v>
      </c>
      <c r="H596" s="1343">
        <v>44773</v>
      </c>
      <c r="I596" s="1173">
        <v>6</v>
      </c>
      <c r="J596" s="1173" t="s">
        <v>677</v>
      </c>
      <c r="K596" s="1174" t="s">
        <v>678</v>
      </c>
      <c r="L596" s="1175" t="s">
        <v>951</v>
      </c>
      <c r="M596" s="1176">
        <f>(2750000*6)-2750000</f>
        <v>13750000</v>
      </c>
      <c r="N596" s="1344" t="s">
        <v>1032</v>
      </c>
      <c r="O596" s="1171" t="s">
        <v>1033</v>
      </c>
      <c r="P596" s="1350" t="s">
        <v>682</v>
      </c>
      <c r="Q596" s="1160"/>
      <c r="R596" s="1327">
        <v>16500000</v>
      </c>
      <c r="S596" s="1327">
        <v>16500000</v>
      </c>
      <c r="T596" s="1327">
        <f>+'PAA V30'!$R596-'PAA V30'!$S596</f>
        <v>0</v>
      </c>
      <c r="U596" s="1327"/>
      <c r="V596" s="1327"/>
      <c r="W596" s="1327"/>
    </row>
    <row r="597" spans="1:23" s="1204" customFormat="1" ht="90" hidden="1" x14ac:dyDescent="0.2">
      <c r="A597" s="1169">
        <v>2022645</v>
      </c>
      <c r="B597" s="1169">
        <v>7658</v>
      </c>
      <c r="C597" s="1326" t="s">
        <v>673</v>
      </c>
      <c r="D597" s="1187" t="s">
        <v>693</v>
      </c>
      <c r="E597" s="1199">
        <v>80111600</v>
      </c>
      <c r="F597" s="1199" t="s">
        <v>1246</v>
      </c>
      <c r="G597" s="1343">
        <v>44743</v>
      </c>
      <c r="H597" s="1343">
        <v>44773</v>
      </c>
      <c r="I597" s="1173">
        <v>6</v>
      </c>
      <c r="J597" s="1173" t="s">
        <v>677</v>
      </c>
      <c r="K597" s="1174" t="s">
        <v>678</v>
      </c>
      <c r="L597" s="1175" t="s">
        <v>951</v>
      </c>
      <c r="M597" s="1176">
        <f>(2750000*6)-2750000</f>
        <v>13750000</v>
      </c>
      <c r="N597" s="1344" t="s">
        <v>1032</v>
      </c>
      <c r="O597" s="1171" t="s">
        <v>1033</v>
      </c>
      <c r="P597" s="1350" t="s">
        <v>682</v>
      </c>
      <c r="Q597" s="1160"/>
      <c r="R597" s="1327">
        <v>16500000</v>
      </c>
      <c r="S597" s="1327">
        <v>16500000</v>
      </c>
      <c r="T597" s="1327">
        <f>+'PAA V30'!$R597-'PAA V30'!$S597</f>
        <v>0</v>
      </c>
      <c r="U597" s="1327"/>
      <c r="V597" s="1327"/>
      <c r="W597" s="1327"/>
    </row>
    <row r="598" spans="1:23" s="1204" customFormat="1" ht="90" hidden="1" x14ac:dyDescent="0.2">
      <c r="A598" s="1169">
        <v>2022646</v>
      </c>
      <c r="B598" s="1169">
        <v>7658</v>
      </c>
      <c r="C598" s="1326" t="s">
        <v>673</v>
      </c>
      <c r="D598" s="1187" t="s">
        <v>693</v>
      </c>
      <c r="E598" s="1199">
        <v>80111600</v>
      </c>
      <c r="F598" s="1199" t="s">
        <v>1246</v>
      </c>
      <c r="G598" s="1343">
        <v>44743</v>
      </c>
      <c r="H598" s="1343">
        <v>44773</v>
      </c>
      <c r="I598" s="1173">
        <v>6</v>
      </c>
      <c r="J598" s="1173" t="s">
        <v>677</v>
      </c>
      <c r="K598" s="1174" t="s">
        <v>678</v>
      </c>
      <c r="L598" s="1175" t="s">
        <v>951</v>
      </c>
      <c r="M598" s="1176">
        <f>(2750000*6)-5500000</f>
        <v>11000000</v>
      </c>
      <c r="N598" s="1344" t="s">
        <v>1032</v>
      </c>
      <c r="O598" s="1171" t="s">
        <v>1033</v>
      </c>
      <c r="P598" s="1350" t="s">
        <v>682</v>
      </c>
      <c r="Q598" s="1160"/>
      <c r="R598" s="1327">
        <v>16500000</v>
      </c>
      <c r="S598" s="1327">
        <v>16500000</v>
      </c>
      <c r="T598" s="1327">
        <f>+'PAA V30'!$R598-'PAA V30'!$S598</f>
        <v>0</v>
      </c>
      <c r="U598" s="1327"/>
      <c r="V598" s="1327"/>
      <c r="W598" s="1327"/>
    </row>
    <row r="599" spans="1:23" s="1204" customFormat="1" ht="90" hidden="1" x14ac:dyDescent="0.2">
      <c r="A599" s="1169">
        <v>2022647</v>
      </c>
      <c r="B599" s="1169">
        <v>7658</v>
      </c>
      <c r="C599" s="1326" t="s">
        <v>673</v>
      </c>
      <c r="D599" s="1187" t="s">
        <v>693</v>
      </c>
      <c r="E599" s="1199">
        <v>80111600</v>
      </c>
      <c r="F599" s="1199" t="s">
        <v>1246</v>
      </c>
      <c r="G599" s="1343">
        <v>44743</v>
      </c>
      <c r="H599" s="1343">
        <v>44773</v>
      </c>
      <c r="I599" s="1173">
        <v>6</v>
      </c>
      <c r="J599" s="1173" t="s">
        <v>677</v>
      </c>
      <c r="K599" s="1174" t="s">
        <v>678</v>
      </c>
      <c r="L599" s="1175" t="s">
        <v>951</v>
      </c>
      <c r="M599" s="1176">
        <f>2750000*6</f>
        <v>16500000</v>
      </c>
      <c r="N599" s="1344" t="s">
        <v>1032</v>
      </c>
      <c r="O599" s="1171" t="s">
        <v>1033</v>
      </c>
      <c r="P599" s="1350" t="s">
        <v>682</v>
      </c>
      <c r="Q599" s="1160"/>
      <c r="R599" s="1327">
        <v>16500000</v>
      </c>
      <c r="S599" s="1327">
        <v>16500000</v>
      </c>
      <c r="T599" s="1327">
        <f>+'PAA V30'!$R599-'PAA V30'!$S599</f>
        <v>0</v>
      </c>
      <c r="U599" s="1327"/>
      <c r="V599" s="1327"/>
      <c r="W599" s="1327"/>
    </row>
    <row r="600" spans="1:23" s="1204" customFormat="1" ht="90" hidden="1" x14ac:dyDescent="0.2">
      <c r="A600" s="1169">
        <v>2022650</v>
      </c>
      <c r="B600" s="1169">
        <v>7658</v>
      </c>
      <c r="C600" s="1326" t="s">
        <v>673</v>
      </c>
      <c r="D600" s="1187" t="s">
        <v>693</v>
      </c>
      <c r="E600" s="1199">
        <v>80111600</v>
      </c>
      <c r="F600" s="1199" t="s">
        <v>1246</v>
      </c>
      <c r="G600" s="1343">
        <v>44743</v>
      </c>
      <c r="H600" s="1343">
        <v>44773</v>
      </c>
      <c r="I600" s="1173">
        <v>6</v>
      </c>
      <c r="J600" s="1173" t="s">
        <v>677</v>
      </c>
      <c r="K600" s="1174" t="s">
        <v>678</v>
      </c>
      <c r="L600" s="1175" t="s">
        <v>951</v>
      </c>
      <c r="M600" s="1176">
        <f>(2750000*6)-5500000</f>
        <v>11000000</v>
      </c>
      <c r="N600" s="1344" t="s">
        <v>1032</v>
      </c>
      <c r="O600" s="1171" t="s">
        <v>1033</v>
      </c>
      <c r="P600" s="1350" t="s">
        <v>682</v>
      </c>
      <c r="Q600" s="1160"/>
      <c r="R600" s="1327">
        <v>16500000</v>
      </c>
      <c r="S600" s="1327">
        <v>16500000</v>
      </c>
      <c r="T600" s="1327">
        <f>+'PAA V30'!$R600-'PAA V30'!$S600</f>
        <v>0</v>
      </c>
      <c r="U600" s="1327"/>
      <c r="V600" s="1327"/>
      <c r="W600" s="1327"/>
    </row>
    <row r="601" spans="1:23" s="1204" customFormat="1" ht="90" hidden="1" x14ac:dyDescent="0.2">
      <c r="A601" s="1169">
        <v>2022651</v>
      </c>
      <c r="B601" s="1169">
        <v>7658</v>
      </c>
      <c r="C601" s="1326" t="s">
        <v>673</v>
      </c>
      <c r="D601" s="1187" t="s">
        <v>693</v>
      </c>
      <c r="E601" s="1199">
        <v>80111600</v>
      </c>
      <c r="F601" s="1199" t="s">
        <v>1246</v>
      </c>
      <c r="G601" s="1343">
        <v>44743</v>
      </c>
      <c r="H601" s="1343">
        <v>44773</v>
      </c>
      <c r="I601" s="1173">
        <v>6</v>
      </c>
      <c r="J601" s="1173" t="s">
        <v>677</v>
      </c>
      <c r="K601" s="1174" t="s">
        <v>678</v>
      </c>
      <c r="L601" s="1175" t="s">
        <v>951</v>
      </c>
      <c r="M601" s="1176">
        <f t="shared" ref="M601:M607" si="0">(2750000*6)-2750000</f>
        <v>13750000</v>
      </c>
      <c r="N601" s="1344" t="s">
        <v>1032</v>
      </c>
      <c r="O601" s="1171" t="s">
        <v>1033</v>
      </c>
      <c r="P601" s="1350" t="s">
        <v>682</v>
      </c>
      <c r="Q601" s="1160"/>
      <c r="R601" s="1327">
        <v>16500000</v>
      </c>
      <c r="S601" s="1327">
        <v>16500000</v>
      </c>
      <c r="T601" s="1327">
        <f>+'PAA V30'!$R601-'PAA V30'!$S601</f>
        <v>0</v>
      </c>
      <c r="U601" s="1327"/>
      <c r="V601" s="1327"/>
      <c r="W601" s="1327"/>
    </row>
    <row r="602" spans="1:23" s="1204" customFormat="1" ht="90" hidden="1" x14ac:dyDescent="0.2">
      <c r="A602" s="1169">
        <v>2022652</v>
      </c>
      <c r="B602" s="1169">
        <v>7658</v>
      </c>
      <c r="C602" s="1326" t="s">
        <v>673</v>
      </c>
      <c r="D602" s="1187" t="s">
        <v>693</v>
      </c>
      <c r="E602" s="1199">
        <v>80111600</v>
      </c>
      <c r="F602" s="1199" t="s">
        <v>1246</v>
      </c>
      <c r="G602" s="1343">
        <v>44743</v>
      </c>
      <c r="H602" s="1343">
        <v>44773</v>
      </c>
      <c r="I602" s="1173">
        <v>6</v>
      </c>
      <c r="J602" s="1173" t="s">
        <v>677</v>
      </c>
      <c r="K602" s="1174" t="s">
        <v>678</v>
      </c>
      <c r="L602" s="1175" t="s">
        <v>951</v>
      </c>
      <c r="M602" s="1176">
        <f t="shared" si="0"/>
        <v>13750000</v>
      </c>
      <c r="N602" s="1344" t="s">
        <v>1032</v>
      </c>
      <c r="O602" s="1171" t="s">
        <v>1033</v>
      </c>
      <c r="P602" s="1350" t="s">
        <v>682</v>
      </c>
      <c r="Q602" s="1160"/>
      <c r="R602" s="1327">
        <v>16500000</v>
      </c>
      <c r="S602" s="1327">
        <v>16500000</v>
      </c>
      <c r="T602" s="1327">
        <f>+'PAA V30'!$R602-'PAA V30'!$S602</f>
        <v>0</v>
      </c>
      <c r="U602" s="1327"/>
      <c r="V602" s="1327"/>
      <c r="W602" s="1327"/>
    </row>
    <row r="603" spans="1:23" s="1204" customFormat="1" ht="90" hidden="1" x14ac:dyDescent="0.2">
      <c r="A603" s="1169">
        <v>2022653</v>
      </c>
      <c r="B603" s="1169">
        <v>7658</v>
      </c>
      <c r="C603" s="1326" t="s">
        <v>673</v>
      </c>
      <c r="D603" s="1187" t="s">
        <v>693</v>
      </c>
      <c r="E603" s="1199">
        <v>80111600</v>
      </c>
      <c r="F603" s="1199" t="s">
        <v>1246</v>
      </c>
      <c r="G603" s="1343">
        <v>44743</v>
      </c>
      <c r="H603" s="1343">
        <v>44773</v>
      </c>
      <c r="I603" s="1173">
        <v>6</v>
      </c>
      <c r="J603" s="1173" t="s">
        <v>677</v>
      </c>
      <c r="K603" s="1174" t="s">
        <v>678</v>
      </c>
      <c r="L603" s="1175" t="s">
        <v>951</v>
      </c>
      <c r="M603" s="1176">
        <f t="shared" si="0"/>
        <v>13750000</v>
      </c>
      <c r="N603" s="1344" t="s">
        <v>1032</v>
      </c>
      <c r="O603" s="1171" t="s">
        <v>1033</v>
      </c>
      <c r="P603" s="1350" t="s">
        <v>682</v>
      </c>
      <c r="Q603" s="1160"/>
      <c r="R603" s="1327">
        <v>16500000</v>
      </c>
      <c r="S603" s="1327">
        <v>16500000</v>
      </c>
      <c r="T603" s="1327">
        <f>+'PAA V30'!$R603-'PAA V30'!$S603</f>
        <v>0</v>
      </c>
      <c r="U603" s="1327"/>
      <c r="V603" s="1327"/>
      <c r="W603" s="1327"/>
    </row>
    <row r="604" spans="1:23" s="1204" customFormat="1" ht="90" hidden="1" x14ac:dyDescent="0.2">
      <c r="A604" s="1169">
        <v>2022654</v>
      </c>
      <c r="B604" s="1169">
        <v>7658</v>
      </c>
      <c r="C604" s="1326" t="s">
        <v>673</v>
      </c>
      <c r="D604" s="1187" t="s">
        <v>693</v>
      </c>
      <c r="E604" s="1199">
        <v>80111600</v>
      </c>
      <c r="F604" s="1199" t="s">
        <v>1246</v>
      </c>
      <c r="G604" s="1343">
        <v>44743</v>
      </c>
      <c r="H604" s="1343">
        <v>44773</v>
      </c>
      <c r="I604" s="1173">
        <v>6</v>
      </c>
      <c r="J604" s="1173" t="s">
        <v>677</v>
      </c>
      <c r="K604" s="1174" t="s">
        <v>678</v>
      </c>
      <c r="L604" s="1175" t="s">
        <v>951</v>
      </c>
      <c r="M604" s="1176">
        <f t="shared" si="0"/>
        <v>13750000</v>
      </c>
      <c r="N604" s="1344" t="s">
        <v>1032</v>
      </c>
      <c r="O604" s="1171" t="s">
        <v>1033</v>
      </c>
      <c r="P604" s="1350" t="s">
        <v>682</v>
      </c>
      <c r="Q604" s="1160"/>
      <c r="R604" s="1327">
        <v>16500000</v>
      </c>
      <c r="S604" s="1327">
        <v>16500000</v>
      </c>
      <c r="T604" s="1327">
        <f>+'PAA V30'!$R604-'PAA V30'!$S604</f>
        <v>0</v>
      </c>
      <c r="U604" s="1327"/>
      <c r="V604" s="1327"/>
      <c r="W604" s="1327"/>
    </row>
    <row r="605" spans="1:23" s="1204" customFormat="1" ht="90" hidden="1" x14ac:dyDescent="0.2">
      <c r="A605" s="1169">
        <v>2022655</v>
      </c>
      <c r="B605" s="1169">
        <v>7658</v>
      </c>
      <c r="C605" s="1326" t="s">
        <v>673</v>
      </c>
      <c r="D605" s="1187" t="s">
        <v>693</v>
      </c>
      <c r="E605" s="1199">
        <v>80111600</v>
      </c>
      <c r="F605" s="1199" t="s">
        <v>1246</v>
      </c>
      <c r="G605" s="1343">
        <v>44743</v>
      </c>
      <c r="H605" s="1343">
        <v>44773</v>
      </c>
      <c r="I605" s="1173">
        <v>6</v>
      </c>
      <c r="J605" s="1173" t="s">
        <v>677</v>
      </c>
      <c r="K605" s="1174" t="s">
        <v>678</v>
      </c>
      <c r="L605" s="1175" t="s">
        <v>951</v>
      </c>
      <c r="M605" s="1176">
        <f t="shared" si="0"/>
        <v>13750000</v>
      </c>
      <c r="N605" s="1344" t="s">
        <v>1032</v>
      </c>
      <c r="O605" s="1171" t="s">
        <v>1033</v>
      </c>
      <c r="P605" s="1350" t="s">
        <v>682</v>
      </c>
      <c r="Q605" s="1160"/>
      <c r="R605" s="1327">
        <v>16500000</v>
      </c>
      <c r="S605" s="1327">
        <v>16500000</v>
      </c>
      <c r="T605" s="1327">
        <f>+'PAA V30'!$R605-'PAA V30'!$S605</f>
        <v>0</v>
      </c>
      <c r="U605" s="1327"/>
      <c r="V605" s="1327"/>
      <c r="W605" s="1327"/>
    </row>
    <row r="606" spans="1:23" s="1204" customFormat="1" ht="90" hidden="1" x14ac:dyDescent="0.2">
      <c r="A606" s="1169">
        <v>2022656</v>
      </c>
      <c r="B606" s="1169">
        <v>7658</v>
      </c>
      <c r="C606" s="1326" t="s">
        <v>673</v>
      </c>
      <c r="D606" s="1187" t="s">
        <v>693</v>
      </c>
      <c r="E606" s="1199">
        <v>80111600</v>
      </c>
      <c r="F606" s="1199" t="s">
        <v>1246</v>
      </c>
      <c r="G606" s="1343">
        <v>44743</v>
      </c>
      <c r="H606" s="1343">
        <v>44773</v>
      </c>
      <c r="I606" s="1173">
        <v>6</v>
      </c>
      <c r="J606" s="1173" t="s">
        <v>677</v>
      </c>
      <c r="K606" s="1174" t="s">
        <v>678</v>
      </c>
      <c r="L606" s="1175" t="s">
        <v>951</v>
      </c>
      <c r="M606" s="1176">
        <f t="shared" si="0"/>
        <v>13750000</v>
      </c>
      <c r="N606" s="1344" t="s">
        <v>1032</v>
      </c>
      <c r="O606" s="1171" t="s">
        <v>1033</v>
      </c>
      <c r="P606" s="1350" t="s">
        <v>682</v>
      </c>
      <c r="Q606" s="1160"/>
      <c r="R606" s="1327">
        <v>16500000</v>
      </c>
      <c r="S606" s="1327">
        <v>16500000</v>
      </c>
      <c r="T606" s="1327">
        <f>+'PAA V30'!$R606-'PAA V30'!$S606</f>
        <v>0</v>
      </c>
      <c r="U606" s="1327"/>
      <c r="V606" s="1327"/>
      <c r="W606" s="1327"/>
    </row>
    <row r="607" spans="1:23" s="1204" customFormat="1" ht="90" hidden="1" x14ac:dyDescent="0.2">
      <c r="A607" s="1169">
        <v>2022657</v>
      </c>
      <c r="B607" s="1169">
        <v>7658</v>
      </c>
      <c r="C607" s="1326" t="s">
        <v>673</v>
      </c>
      <c r="D607" s="1187" t="s">
        <v>693</v>
      </c>
      <c r="E607" s="1199">
        <v>80111600</v>
      </c>
      <c r="F607" s="1199" t="s">
        <v>1246</v>
      </c>
      <c r="G607" s="1343">
        <v>44743</v>
      </c>
      <c r="H607" s="1343">
        <v>44773</v>
      </c>
      <c r="I607" s="1173">
        <v>6</v>
      </c>
      <c r="J607" s="1173" t="s">
        <v>677</v>
      </c>
      <c r="K607" s="1174" t="s">
        <v>678</v>
      </c>
      <c r="L607" s="1175" t="s">
        <v>951</v>
      </c>
      <c r="M607" s="1176">
        <f t="shared" si="0"/>
        <v>13750000</v>
      </c>
      <c r="N607" s="1344" t="s">
        <v>1032</v>
      </c>
      <c r="O607" s="1171" t="s">
        <v>1033</v>
      </c>
      <c r="P607" s="1350" t="s">
        <v>682</v>
      </c>
      <c r="Q607" s="1160"/>
      <c r="R607" s="1327">
        <v>16500000</v>
      </c>
      <c r="S607" s="1327">
        <v>16500000</v>
      </c>
      <c r="T607" s="1327">
        <f>+'PAA V30'!$R607-'PAA V30'!$S607</f>
        <v>0</v>
      </c>
      <c r="U607" s="1327"/>
      <c r="V607" s="1327"/>
      <c r="W607" s="1327"/>
    </row>
    <row r="608" spans="1:23" s="1204" customFormat="1" ht="90" hidden="1" x14ac:dyDescent="0.2">
      <c r="A608" s="1169">
        <v>2022659</v>
      </c>
      <c r="B608" s="1169">
        <v>7658</v>
      </c>
      <c r="C608" s="1326" t="s">
        <v>673</v>
      </c>
      <c r="D608" s="1187" t="s">
        <v>693</v>
      </c>
      <c r="E608" s="1199">
        <v>80111600</v>
      </c>
      <c r="F608" s="1187" t="s">
        <v>1247</v>
      </c>
      <c r="G608" s="1343">
        <v>44682</v>
      </c>
      <c r="H608" s="1343">
        <v>44712</v>
      </c>
      <c r="I608" s="1173">
        <v>10</v>
      </c>
      <c r="J608" s="1173" t="s">
        <v>677</v>
      </c>
      <c r="K608" s="1174" t="s">
        <v>678</v>
      </c>
      <c r="L608" s="1175" t="s">
        <v>951</v>
      </c>
      <c r="M608" s="1176">
        <f>(4850000*2)-6305000</f>
        <v>3395000</v>
      </c>
      <c r="N608" s="1344" t="s">
        <v>1032</v>
      </c>
      <c r="O608" s="1171" t="s">
        <v>1033</v>
      </c>
      <c r="P608" s="1350" t="s">
        <v>751</v>
      </c>
      <c r="Q608" s="1160" t="s">
        <v>1248</v>
      </c>
      <c r="R608" s="1327">
        <v>9700000</v>
      </c>
      <c r="S608" s="1327">
        <v>9700000</v>
      </c>
      <c r="T608" s="1327">
        <f>+'PAA V30'!$R608-'PAA V30'!$S608</f>
        <v>0</v>
      </c>
      <c r="U608" s="1327">
        <v>9700000</v>
      </c>
      <c r="V608" s="1327"/>
      <c r="W608" s="1327"/>
    </row>
    <row r="609" spans="1:23" s="1204" customFormat="1" ht="45" hidden="1" x14ac:dyDescent="0.2">
      <c r="A609" s="1169">
        <v>2022661</v>
      </c>
      <c r="B609" s="1169" t="s">
        <v>459</v>
      </c>
      <c r="C609" s="1326"/>
      <c r="D609" s="1187" t="s">
        <v>690</v>
      </c>
      <c r="E609" s="1171" t="s">
        <v>97</v>
      </c>
      <c r="F609" s="1349" t="s">
        <v>1249</v>
      </c>
      <c r="G609" s="1343">
        <v>44722</v>
      </c>
      <c r="H609" s="1343">
        <v>44697</v>
      </c>
      <c r="I609" s="1173">
        <v>2</v>
      </c>
      <c r="J609" s="1173" t="s">
        <v>647</v>
      </c>
      <c r="K609" s="1174" t="s">
        <v>678</v>
      </c>
      <c r="L609" s="1175" t="s">
        <v>951</v>
      </c>
      <c r="M609" s="1176">
        <f>225179326+82565753+110037631+22517933+45035865+10058010</f>
        <v>495394518</v>
      </c>
      <c r="N609" s="1344"/>
      <c r="O609" s="1171"/>
      <c r="P609" s="1350" t="s">
        <v>759</v>
      </c>
      <c r="R609" s="1327"/>
      <c r="S609" s="1327"/>
      <c r="T609" s="1327">
        <f>+'PAA V30'!$R609-'PAA V30'!$S609</f>
        <v>0</v>
      </c>
      <c r="U609" s="1327"/>
      <c r="V609" s="1327"/>
      <c r="W609" s="1327"/>
    </row>
    <row r="610" spans="1:23" s="1204" customFormat="1" ht="105" hidden="1" x14ac:dyDescent="0.2">
      <c r="A610" s="1169">
        <v>2022662</v>
      </c>
      <c r="B610" s="1169" t="s">
        <v>459</v>
      </c>
      <c r="C610" s="1326"/>
      <c r="D610" s="1187" t="s">
        <v>690</v>
      </c>
      <c r="E610" s="1199" t="s">
        <v>1250</v>
      </c>
      <c r="F610" s="1187" t="s">
        <v>1251</v>
      </c>
      <c r="G610" s="1345">
        <v>44774</v>
      </c>
      <c r="H610" s="1345">
        <v>44742</v>
      </c>
      <c r="I610" s="1173">
        <v>8</v>
      </c>
      <c r="J610" s="1173" t="s">
        <v>700</v>
      </c>
      <c r="K610" s="1174" t="s">
        <v>678</v>
      </c>
      <c r="L610" s="1175" t="s">
        <v>951</v>
      </c>
      <c r="M610" s="1176">
        <v>41115467</v>
      </c>
      <c r="N610" s="1344"/>
      <c r="O610" s="1171"/>
      <c r="P610" s="1350" t="s">
        <v>682</v>
      </c>
      <c r="R610" s="1327"/>
      <c r="S610" s="1327"/>
      <c r="T610" s="1327">
        <f>+'PAA V30'!$R610-'PAA V30'!$S610</f>
        <v>0</v>
      </c>
      <c r="U610" s="1327"/>
      <c r="V610" s="1327"/>
      <c r="W610" s="1327"/>
    </row>
    <row r="611" spans="1:23" s="1204" customFormat="1" ht="150" hidden="1" x14ac:dyDescent="0.2">
      <c r="A611" s="1169">
        <v>2022663</v>
      </c>
      <c r="B611" s="1169">
        <v>7658</v>
      </c>
      <c r="C611" s="1326" t="s">
        <v>673</v>
      </c>
      <c r="D611" s="1187" t="s">
        <v>690</v>
      </c>
      <c r="E611" s="1199" t="s">
        <v>1252</v>
      </c>
      <c r="F611" s="1351" t="s">
        <v>1253</v>
      </c>
      <c r="G611" s="1345">
        <v>44795</v>
      </c>
      <c r="H611" s="1345">
        <v>44711</v>
      </c>
      <c r="I611" s="1173">
        <v>6</v>
      </c>
      <c r="J611" s="1173" t="s">
        <v>697</v>
      </c>
      <c r="K611" s="1174" t="s">
        <v>678</v>
      </c>
      <c r="L611" s="1175" t="s">
        <v>951</v>
      </c>
      <c r="M611" s="1176">
        <f>500000000-200000000-79859613</f>
        <v>220140387</v>
      </c>
      <c r="N611" s="1344" t="s">
        <v>931</v>
      </c>
      <c r="O611" s="1171" t="s">
        <v>915</v>
      </c>
      <c r="P611" s="1218" t="s">
        <v>682</v>
      </c>
      <c r="R611" s="1266">
        <v>0</v>
      </c>
      <c r="S611" s="1327"/>
      <c r="T611" s="1327">
        <f>+'PAA V30'!$R611-'PAA V30'!$S611</f>
        <v>0</v>
      </c>
      <c r="U611" s="1327"/>
      <c r="V611" s="1327"/>
      <c r="W611" s="1327"/>
    </row>
    <row r="612" spans="1:23" s="1204" customFormat="1" ht="120" hidden="1" x14ac:dyDescent="0.2">
      <c r="A612" s="1169">
        <v>2022664</v>
      </c>
      <c r="B612" s="1169">
        <v>7658</v>
      </c>
      <c r="C612" s="1326" t="s">
        <v>673</v>
      </c>
      <c r="D612" s="1187" t="s">
        <v>690</v>
      </c>
      <c r="E612" s="1199" t="s">
        <v>1254</v>
      </c>
      <c r="F612" s="1351" t="s">
        <v>1255</v>
      </c>
      <c r="G612" s="1345">
        <v>44732</v>
      </c>
      <c r="H612" s="1345">
        <v>44711</v>
      </c>
      <c r="I612" s="1173">
        <v>2</v>
      </c>
      <c r="J612" s="1173" t="s">
        <v>700</v>
      </c>
      <c r="K612" s="1174" t="s">
        <v>678</v>
      </c>
      <c r="L612" s="1175" t="s">
        <v>951</v>
      </c>
      <c r="M612" s="1176">
        <f>14000000-584000</f>
        <v>13416000</v>
      </c>
      <c r="N612" s="1344" t="s">
        <v>931</v>
      </c>
      <c r="O612" s="1171" t="s">
        <v>915</v>
      </c>
      <c r="P612" s="1218" t="s">
        <v>682</v>
      </c>
      <c r="R612" s="1327">
        <v>14000000</v>
      </c>
      <c r="S612" s="1327">
        <v>14000000</v>
      </c>
      <c r="T612" s="1327">
        <f>+'PAA V30'!$R612-'PAA V30'!$S612</f>
        <v>0</v>
      </c>
      <c r="U612" s="1327"/>
      <c r="V612" s="1327"/>
      <c r="W612" s="1327"/>
    </row>
    <row r="613" spans="1:23" s="1204" customFormat="1" ht="90" hidden="1" x14ac:dyDescent="0.2">
      <c r="A613" s="1169">
        <v>2022665</v>
      </c>
      <c r="B613" s="1169">
        <v>7658</v>
      </c>
      <c r="C613" s="1326" t="s">
        <v>673</v>
      </c>
      <c r="D613" s="1187" t="s">
        <v>693</v>
      </c>
      <c r="E613" s="1199" t="s">
        <v>1256</v>
      </c>
      <c r="F613" s="1187" t="s">
        <v>1257</v>
      </c>
      <c r="G613" s="1345">
        <v>44748</v>
      </c>
      <c r="H613" s="1345">
        <v>44774</v>
      </c>
      <c r="I613" s="1173">
        <v>1</v>
      </c>
      <c r="J613" s="1173" t="s">
        <v>700</v>
      </c>
      <c r="K613" s="1174" t="s">
        <v>678</v>
      </c>
      <c r="L613" s="1175" t="s">
        <v>951</v>
      </c>
      <c r="M613" s="1176">
        <f>45000000-2280785</f>
        <v>42719215</v>
      </c>
      <c r="N613" s="1361" t="s">
        <v>1032</v>
      </c>
      <c r="O613" s="1199" t="s">
        <v>1033</v>
      </c>
      <c r="P613" s="1218" t="s">
        <v>682</v>
      </c>
      <c r="R613" s="1327">
        <v>42719215</v>
      </c>
      <c r="S613" s="1327">
        <v>45000000</v>
      </c>
      <c r="T613" s="1327">
        <f>+'PAA V30'!$R613-'PAA V30'!$S613</f>
        <v>-2280785</v>
      </c>
      <c r="U613" s="1327"/>
      <c r="V613" s="1327"/>
      <c r="W613" s="1327"/>
    </row>
    <row r="614" spans="1:23" s="1204" customFormat="1" ht="120" hidden="1" x14ac:dyDescent="0.2">
      <c r="A614" s="1169">
        <v>2022666</v>
      </c>
      <c r="B614" s="1169">
        <v>7658</v>
      </c>
      <c r="C614" s="1326" t="s">
        <v>673</v>
      </c>
      <c r="D614" s="1187" t="s">
        <v>699</v>
      </c>
      <c r="E614" s="1171">
        <v>50192700</v>
      </c>
      <c r="F614" s="1349" t="s">
        <v>1258</v>
      </c>
      <c r="G614" s="1343">
        <v>44722</v>
      </c>
      <c r="H614" s="1343">
        <v>44722</v>
      </c>
      <c r="I614" s="1173">
        <v>3</v>
      </c>
      <c r="J614" s="1173" t="s">
        <v>700</v>
      </c>
      <c r="K614" s="1174" t="s">
        <v>678</v>
      </c>
      <c r="L614" s="1175" t="s">
        <v>951</v>
      </c>
      <c r="M614" s="1176">
        <v>10000000</v>
      </c>
      <c r="N614" s="1344" t="s">
        <v>772</v>
      </c>
      <c r="O614" s="1171" t="s">
        <v>915</v>
      </c>
      <c r="P614" s="1218" t="s">
        <v>682</v>
      </c>
      <c r="R614" s="1327">
        <v>10000000</v>
      </c>
      <c r="S614" s="1327">
        <v>10000000</v>
      </c>
      <c r="T614" s="1327">
        <f>+'PAA V30'!$R614-'PAA V30'!$S614</f>
        <v>0</v>
      </c>
      <c r="U614" s="1327"/>
      <c r="V614" s="1327"/>
      <c r="W614" s="1327"/>
    </row>
    <row r="615" spans="1:23" s="1204" customFormat="1" ht="120" hidden="1" x14ac:dyDescent="0.2">
      <c r="A615" s="1169">
        <v>2022667</v>
      </c>
      <c r="B615" s="1169">
        <v>7658</v>
      </c>
      <c r="C615" s="1326" t="s">
        <v>673</v>
      </c>
      <c r="D615" s="1187" t="s">
        <v>699</v>
      </c>
      <c r="E615" s="1171">
        <v>80111600</v>
      </c>
      <c r="F615" s="1349" t="s">
        <v>1259</v>
      </c>
      <c r="G615" s="1343">
        <v>44743</v>
      </c>
      <c r="H615" s="1343">
        <v>44757</v>
      </c>
      <c r="I615" s="1173">
        <v>6</v>
      </c>
      <c r="J615" s="1173" t="s">
        <v>677</v>
      </c>
      <c r="K615" s="1174" t="s">
        <v>678</v>
      </c>
      <c r="L615" s="1175" t="s">
        <v>951</v>
      </c>
      <c r="M615" s="1176">
        <f>15400000-1650000</f>
        <v>13750000</v>
      </c>
      <c r="N615" s="1344" t="s">
        <v>775</v>
      </c>
      <c r="O615" s="1171" t="s">
        <v>915</v>
      </c>
      <c r="P615" s="1218" t="s">
        <v>682</v>
      </c>
      <c r="R615" s="1327">
        <v>15400000</v>
      </c>
      <c r="S615" s="1327"/>
      <c r="T615" s="1327">
        <f>+'PAA V30'!$R615-'PAA V30'!$S615</f>
        <v>15400000</v>
      </c>
      <c r="U615" s="1327"/>
      <c r="V615" s="1327"/>
      <c r="W615" s="1327"/>
    </row>
    <row r="616" spans="1:23" s="1204" customFormat="1" ht="105" hidden="1" x14ac:dyDescent="0.2">
      <c r="A616" s="1169">
        <v>2022668</v>
      </c>
      <c r="B616" s="1169">
        <v>7637</v>
      </c>
      <c r="C616" s="1326" t="s">
        <v>645</v>
      </c>
      <c r="D616" s="1187" t="s">
        <v>674</v>
      </c>
      <c r="E616" s="1199">
        <v>81112401</v>
      </c>
      <c r="F616" s="1199" t="s">
        <v>1231</v>
      </c>
      <c r="G616" s="1345">
        <v>44713</v>
      </c>
      <c r="H616" s="1345">
        <v>44727</v>
      </c>
      <c r="I616" s="1173">
        <v>1</v>
      </c>
      <c r="J616" s="1173" t="s">
        <v>721</v>
      </c>
      <c r="K616" s="1174" t="s">
        <v>678</v>
      </c>
      <c r="L616" s="1175" t="s">
        <v>951</v>
      </c>
      <c r="M616" s="1176">
        <v>13361620</v>
      </c>
      <c r="N616" s="1186" t="s">
        <v>680</v>
      </c>
      <c r="O616" s="1171" t="s">
        <v>681</v>
      </c>
      <c r="P616" s="1218" t="s">
        <v>751</v>
      </c>
      <c r="R616" s="1266">
        <v>13361620</v>
      </c>
      <c r="S616" s="1327">
        <v>13361620</v>
      </c>
      <c r="T616" s="1327">
        <f>+'PAA V30'!$R616-'PAA V30'!$S616</f>
        <v>0</v>
      </c>
      <c r="U616" s="1327"/>
      <c r="V616" s="1327"/>
      <c r="W616" s="1327"/>
    </row>
    <row r="617" spans="1:23" s="1204" customFormat="1" ht="105" hidden="1" x14ac:dyDescent="0.2">
      <c r="A617" s="1169">
        <v>2022669</v>
      </c>
      <c r="B617" s="1169">
        <v>7637</v>
      </c>
      <c r="C617" s="1326" t="s">
        <v>645</v>
      </c>
      <c r="D617" s="1187" t="s">
        <v>674</v>
      </c>
      <c r="E617" s="1171">
        <v>81112401</v>
      </c>
      <c r="F617" s="1349" t="s">
        <v>1260</v>
      </c>
      <c r="G617" s="1343">
        <v>44713</v>
      </c>
      <c r="H617" s="1343">
        <v>44727</v>
      </c>
      <c r="I617" s="1173">
        <v>1</v>
      </c>
      <c r="J617" s="1173" t="s">
        <v>721</v>
      </c>
      <c r="K617" s="1174" t="s">
        <v>678</v>
      </c>
      <c r="L617" s="1175" t="s">
        <v>951</v>
      </c>
      <c r="M617" s="1176">
        <v>945888</v>
      </c>
      <c r="N617" s="1186" t="s">
        <v>680</v>
      </c>
      <c r="O617" s="1171" t="s">
        <v>681</v>
      </c>
      <c r="P617" s="1218" t="s">
        <v>751</v>
      </c>
      <c r="R617" s="1266">
        <v>945888</v>
      </c>
      <c r="S617" s="1327">
        <v>945888</v>
      </c>
      <c r="T617" s="1327">
        <f>+'PAA V30'!$R617-'PAA V30'!$S617</f>
        <v>0</v>
      </c>
      <c r="U617" s="1327"/>
      <c r="V617" s="1327"/>
      <c r="W617" s="1327"/>
    </row>
    <row r="618" spans="1:23" s="1204" customFormat="1" ht="105" hidden="1" x14ac:dyDescent="0.2">
      <c r="A618" s="1169">
        <v>2022670</v>
      </c>
      <c r="B618" s="1169">
        <v>7637</v>
      </c>
      <c r="C618" s="1326" t="s">
        <v>645</v>
      </c>
      <c r="D618" s="1170" t="s">
        <v>674</v>
      </c>
      <c r="E618" s="1171" t="s">
        <v>1261</v>
      </c>
      <c r="F618" s="1349" t="s">
        <v>1262</v>
      </c>
      <c r="G618" s="1343">
        <v>44774</v>
      </c>
      <c r="H618" s="1343">
        <v>44804</v>
      </c>
      <c r="I618" s="1173">
        <v>4</v>
      </c>
      <c r="J618" s="1173" t="s">
        <v>677</v>
      </c>
      <c r="K618" s="1174" t="s">
        <v>678</v>
      </c>
      <c r="L618" s="1175" t="s">
        <v>951</v>
      </c>
      <c r="M618" s="1176">
        <f>1281233+848867</f>
        <v>2130100</v>
      </c>
      <c r="N618" s="1186" t="s">
        <v>680</v>
      </c>
      <c r="O618" s="1171" t="s">
        <v>681</v>
      </c>
      <c r="P618" s="1218" t="s">
        <v>759</v>
      </c>
      <c r="R618" s="1266">
        <v>2130100</v>
      </c>
      <c r="S618" s="1327">
        <v>1281233</v>
      </c>
      <c r="T618" s="1327">
        <f>+'PAA V30'!$R618-'PAA V30'!$S618</f>
        <v>848867</v>
      </c>
      <c r="U618" s="1327"/>
      <c r="V618" s="1327"/>
      <c r="W618" s="1327"/>
    </row>
    <row r="619" spans="1:23" s="1204" customFormat="1" ht="105" hidden="1" x14ac:dyDescent="0.2">
      <c r="A619" s="1169">
        <v>2022671</v>
      </c>
      <c r="B619" s="1169">
        <v>7637</v>
      </c>
      <c r="C619" s="1326" t="s">
        <v>645</v>
      </c>
      <c r="D619" s="1170" t="s">
        <v>674</v>
      </c>
      <c r="E619" s="1199">
        <v>40101701</v>
      </c>
      <c r="F619" s="1199" t="s">
        <v>1263</v>
      </c>
      <c r="G619" s="1345">
        <v>44727</v>
      </c>
      <c r="H619" s="1345">
        <v>44757</v>
      </c>
      <c r="I619" s="1173">
        <v>2</v>
      </c>
      <c r="J619" s="1173" t="s">
        <v>721</v>
      </c>
      <c r="K619" s="1174" t="s">
        <v>678</v>
      </c>
      <c r="L619" s="1265" t="s">
        <v>951</v>
      </c>
      <c r="M619" s="1176">
        <v>5000000</v>
      </c>
      <c r="N619" s="1186" t="s">
        <v>680</v>
      </c>
      <c r="O619" s="1171" t="s">
        <v>681</v>
      </c>
      <c r="P619" s="1218" t="s">
        <v>682</v>
      </c>
      <c r="R619" s="1266">
        <v>5000000</v>
      </c>
      <c r="S619" s="1327">
        <v>5000000</v>
      </c>
      <c r="T619" s="1327">
        <f>+'PAA V30'!$R619-'PAA V30'!$S619</f>
        <v>0</v>
      </c>
      <c r="U619" s="1327"/>
      <c r="V619" s="1327"/>
      <c r="W619" s="1327"/>
    </row>
    <row r="620" spans="1:23" s="1204" customFormat="1" ht="90" hidden="1" x14ac:dyDescent="0.2">
      <c r="A620" s="1169">
        <v>2022672</v>
      </c>
      <c r="B620" s="1169">
        <v>7658</v>
      </c>
      <c r="C620" s="1326" t="s">
        <v>673</v>
      </c>
      <c r="D620" s="1187" t="s">
        <v>693</v>
      </c>
      <c r="E620" s="1199">
        <v>80111600</v>
      </c>
      <c r="F620" s="1187" t="s">
        <v>1264</v>
      </c>
      <c r="G620" s="1345">
        <v>44743</v>
      </c>
      <c r="H620" s="1345">
        <v>44926</v>
      </c>
      <c r="I620" s="1173">
        <v>5</v>
      </c>
      <c r="J620" s="1173" t="s">
        <v>677</v>
      </c>
      <c r="K620" s="1174" t="s">
        <v>678</v>
      </c>
      <c r="L620" s="1175" t="s">
        <v>951</v>
      </c>
      <c r="M620" s="1176">
        <f>8000000*5</f>
        <v>40000000</v>
      </c>
      <c r="N620" s="1361" t="s">
        <v>1032</v>
      </c>
      <c r="O620" s="1199" t="s">
        <v>1033</v>
      </c>
      <c r="P620" s="1218" t="s">
        <v>682</v>
      </c>
      <c r="Q620" s="1204" t="s">
        <v>1265</v>
      </c>
      <c r="R620" s="1327">
        <v>40000000</v>
      </c>
      <c r="S620" s="1327"/>
      <c r="T620" s="1327">
        <f>+'PAA V30'!$R620-'PAA V30'!$S620</f>
        <v>40000000</v>
      </c>
      <c r="U620" s="1327"/>
      <c r="V620" s="1327"/>
      <c r="W620" s="1327"/>
    </row>
    <row r="621" spans="1:23" s="1204" customFormat="1" ht="105" hidden="1" x14ac:dyDescent="0.2">
      <c r="A621" s="1169">
        <v>2022673</v>
      </c>
      <c r="B621" s="1169">
        <v>7637</v>
      </c>
      <c r="C621" s="1326" t="s">
        <v>645</v>
      </c>
      <c r="D621" s="1187" t="s">
        <v>674</v>
      </c>
      <c r="E621" s="1199">
        <v>80111600</v>
      </c>
      <c r="F621" s="1199" t="s">
        <v>1266</v>
      </c>
      <c r="G621" s="1345">
        <v>44743</v>
      </c>
      <c r="H621" s="1345">
        <v>44773</v>
      </c>
      <c r="I621" s="1173">
        <v>3</v>
      </c>
      <c r="J621" s="1173" t="s">
        <v>677</v>
      </c>
      <c r="K621" s="1174" t="s">
        <v>678</v>
      </c>
      <c r="L621" s="1175" t="s">
        <v>951</v>
      </c>
      <c r="M621" s="1176">
        <v>20400000</v>
      </c>
      <c r="N621" s="1186" t="s">
        <v>680</v>
      </c>
      <c r="O621" s="1171" t="s">
        <v>681</v>
      </c>
      <c r="P621" s="1218" t="s">
        <v>759</v>
      </c>
      <c r="R621" s="1266">
        <v>20400000</v>
      </c>
      <c r="S621" s="1327"/>
      <c r="T621" s="1327">
        <f>+'PAA V30'!$R621-'PAA V30'!$S621</f>
        <v>20400000</v>
      </c>
      <c r="U621" s="1327"/>
      <c r="V621" s="1327"/>
      <c r="W621" s="1327"/>
    </row>
    <row r="622" spans="1:23" s="1204" customFormat="1" ht="105" hidden="1" x14ac:dyDescent="0.2">
      <c r="A622" s="1169">
        <v>2022674</v>
      </c>
      <c r="B622" s="1169">
        <v>7637</v>
      </c>
      <c r="C622" s="1326" t="s">
        <v>645</v>
      </c>
      <c r="D622" s="1187" t="s">
        <v>674</v>
      </c>
      <c r="E622" s="1199">
        <v>80111600</v>
      </c>
      <c r="F622" s="1199" t="s">
        <v>1267</v>
      </c>
      <c r="G622" s="1345">
        <v>44743</v>
      </c>
      <c r="H622" s="1345">
        <v>44773</v>
      </c>
      <c r="I622" s="1173">
        <v>3</v>
      </c>
      <c r="J622" s="1173" t="s">
        <v>677</v>
      </c>
      <c r="K622" s="1174" t="s">
        <v>678</v>
      </c>
      <c r="L622" s="1175" t="s">
        <v>951</v>
      </c>
      <c r="M622" s="1176">
        <v>15000000</v>
      </c>
      <c r="N622" s="1344" t="s">
        <v>707</v>
      </c>
      <c r="O622" s="1171" t="s">
        <v>681</v>
      </c>
      <c r="P622" s="1218" t="s">
        <v>759</v>
      </c>
      <c r="R622" s="1266">
        <v>15000000</v>
      </c>
      <c r="S622" s="1327"/>
      <c r="T622" s="1327">
        <f>+'PAA V30'!$R622-'PAA V30'!$S622</f>
        <v>15000000</v>
      </c>
      <c r="U622" s="1327"/>
      <c r="V622" s="1327"/>
      <c r="W622" s="1327"/>
    </row>
    <row r="623" spans="1:23" s="1204" customFormat="1" ht="105" hidden="1" x14ac:dyDescent="0.2">
      <c r="A623" s="1169">
        <v>2022675</v>
      </c>
      <c r="B623" s="1169">
        <v>7637</v>
      </c>
      <c r="C623" s="1326" t="s">
        <v>645</v>
      </c>
      <c r="D623" s="1187" t="s">
        <v>674</v>
      </c>
      <c r="E623" s="1199">
        <v>72151600</v>
      </c>
      <c r="F623" s="1199" t="s">
        <v>1268</v>
      </c>
      <c r="G623" s="1345">
        <v>44819</v>
      </c>
      <c r="H623" s="1345">
        <v>44848</v>
      </c>
      <c r="I623" s="1173">
        <v>2</v>
      </c>
      <c r="J623" s="1173" t="s">
        <v>677</v>
      </c>
      <c r="K623" s="1174" t="s">
        <v>678</v>
      </c>
      <c r="L623" s="1175" t="s">
        <v>951</v>
      </c>
      <c r="M623" s="1176">
        <v>29100000</v>
      </c>
      <c r="N623" s="1186" t="s">
        <v>680</v>
      </c>
      <c r="O623" s="1171" t="s">
        <v>681</v>
      </c>
      <c r="P623" s="1218" t="s">
        <v>682</v>
      </c>
      <c r="R623" s="1266">
        <v>0</v>
      </c>
      <c r="S623" s="1327"/>
      <c r="T623" s="1327">
        <f>+'PAA V30'!$R623-'PAA V30'!$S623</f>
        <v>0</v>
      </c>
      <c r="U623" s="1327"/>
      <c r="V623" s="1327"/>
      <c r="W623" s="1327"/>
    </row>
    <row r="624" spans="1:23" s="1204" customFormat="1" ht="105" hidden="1" x14ac:dyDescent="0.2">
      <c r="A624" s="1169">
        <v>2022676</v>
      </c>
      <c r="B624" s="1169">
        <v>7637</v>
      </c>
      <c r="C624" s="1326" t="s">
        <v>645</v>
      </c>
      <c r="D624" s="1187" t="s">
        <v>674</v>
      </c>
      <c r="E624" s="1199" t="s">
        <v>1269</v>
      </c>
      <c r="F624" s="1199" t="s">
        <v>1270</v>
      </c>
      <c r="G624" s="1345">
        <v>44732</v>
      </c>
      <c r="H624" s="1345">
        <v>44752</v>
      </c>
      <c r="I624" s="1173">
        <v>4</v>
      </c>
      <c r="J624" s="1173" t="s">
        <v>697</v>
      </c>
      <c r="K624" s="1174" t="s">
        <v>678</v>
      </c>
      <c r="L624" s="1175" t="s">
        <v>951</v>
      </c>
      <c r="M624" s="1176">
        <v>23150000</v>
      </c>
      <c r="N624" s="1186" t="s">
        <v>680</v>
      </c>
      <c r="O624" s="1171" t="s">
        <v>681</v>
      </c>
      <c r="P624" s="1218" t="s">
        <v>759</v>
      </c>
      <c r="R624" s="1266">
        <v>23150000</v>
      </c>
      <c r="S624" s="1327"/>
      <c r="T624" s="1327">
        <f>+'PAA V30'!$R624-'PAA V30'!$S624</f>
        <v>23150000</v>
      </c>
      <c r="U624" s="1327"/>
      <c r="V624" s="1327"/>
      <c r="W624" s="1327"/>
    </row>
    <row r="625" spans="1:23" s="1204" customFormat="1" ht="105" hidden="1" x14ac:dyDescent="0.2">
      <c r="A625" s="1169">
        <v>2022677</v>
      </c>
      <c r="B625" s="1169">
        <v>7637</v>
      </c>
      <c r="C625" s="1326" t="s">
        <v>645</v>
      </c>
      <c r="D625" s="1187" t="s">
        <v>674</v>
      </c>
      <c r="E625" s="1199" t="s">
        <v>1271</v>
      </c>
      <c r="F625" s="1351" t="s">
        <v>1272</v>
      </c>
      <c r="G625" s="1345">
        <v>44839</v>
      </c>
      <c r="H625" s="1345">
        <v>44869</v>
      </c>
      <c r="I625" s="1173">
        <v>12</v>
      </c>
      <c r="J625" s="1173" t="s">
        <v>684</v>
      </c>
      <c r="K625" s="1174" t="s">
        <v>678</v>
      </c>
      <c r="L625" s="1175" t="s">
        <v>951</v>
      </c>
      <c r="M625" s="1176">
        <f>120000000+10000000+55735449+12095659+7332250+146454551+1433712-35000000-10750000-230901243+24300000-100609769</f>
        <v>90609</v>
      </c>
      <c r="N625" s="1186" t="s">
        <v>680</v>
      </c>
      <c r="O625" s="1171" t="s">
        <v>681</v>
      </c>
      <c r="P625" s="1218" t="s">
        <v>682</v>
      </c>
      <c r="R625" s="1266">
        <v>0</v>
      </c>
      <c r="S625" s="1327"/>
      <c r="T625" s="1327">
        <f>+'PAA V30'!$R625-'PAA V30'!$S625</f>
        <v>0</v>
      </c>
      <c r="U625" s="1327"/>
      <c r="V625" s="1327"/>
      <c r="W625" s="1327"/>
    </row>
    <row r="626" spans="1:23" s="1204" customFormat="1" ht="75" hidden="1" x14ac:dyDescent="0.2">
      <c r="A626" s="1169">
        <v>2022678</v>
      </c>
      <c r="B626" s="1169">
        <v>7655</v>
      </c>
      <c r="C626" s="1326" t="s">
        <v>648</v>
      </c>
      <c r="D626" s="1187" t="s">
        <v>696</v>
      </c>
      <c r="E626" s="1199">
        <v>80111600</v>
      </c>
      <c r="F626" s="1199" t="s">
        <v>863</v>
      </c>
      <c r="G626" s="1345">
        <v>44725</v>
      </c>
      <c r="H626" s="1345">
        <v>44732</v>
      </c>
      <c r="I626" s="1173">
        <v>5</v>
      </c>
      <c r="J626" s="1173" t="s">
        <v>677</v>
      </c>
      <c r="K626" s="1174" t="s">
        <v>678</v>
      </c>
      <c r="L626" s="1175" t="s">
        <v>951</v>
      </c>
      <c r="M626" s="1176">
        <f>25000000-3265000</f>
        <v>21735000</v>
      </c>
      <c r="N626" s="1361" t="s">
        <v>784</v>
      </c>
      <c r="O626" s="1199" t="s">
        <v>771</v>
      </c>
      <c r="P626" s="1218" t="s">
        <v>682</v>
      </c>
      <c r="R626" s="1266">
        <v>25000000</v>
      </c>
      <c r="S626" s="1327"/>
      <c r="T626" s="1327">
        <f>+'PAA V30'!$R626-'PAA V30'!$S626</f>
        <v>25000000</v>
      </c>
      <c r="U626" s="1327"/>
      <c r="V626" s="1327"/>
      <c r="W626" s="1327"/>
    </row>
    <row r="627" spans="1:23" s="1204" customFormat="1" ht="75" hidden="1" x14ac:dyDescent="0.2">
      <c r="A627" s="1169">
        <v>2022679</v>
      </c>
      <c r="B627" s="1169">
        <v>7658</v>
      </c>
      <c r="C627" s="1326" t="s">
        <v>673</v>
      </c>
      <c r="D627" s="1187" t="s">
        <v>696</v>
      </c>
      <c r="E627" s="1199">
        <v>80111600</v>
      </c>
      <c r="F627" s="1187" t="s">
        <v>1273</v>
      </c>
      <c r="G627" s="1345">
        <v>44725</v>
      </c>
      <c r="H627" s="1345">
        <v>44732</v>
      </c>
      <c r="I627" s="1173">
        <v>5</v>
      </c>
      <c r="J627" s="1173" t="s">
        <v>677</v>
      </c>
      <c r="K627" s="1174" t="s">
        <v>678</v>
      </c>
      <c r="L627" s="1175" t="s">
        <v>951</v>
      </c>
      <c r="M627" s="1176">
        <f>4200000*5</f>
        <v>21000000</v>
      </c>
      <c r="N627" s="1361" t="s">
        <v>765</v>
      </c>
      <c r="O627" s="1199" t="s">
        <v>764</v>
      </c>
      <c r="P627" s="1218" t="s">
        <v>682</v>
      </c>
      <c r="R627" s="1327">
        <v>21000000</v>
      </c>
      <c r="S627" s="1327"/>
      <c r="T627" s="1327">
        <f>+'PAA V30'!$R627-'PAA V30'!$S627</f>
        <v>21000000</v>
      </c>
      <c r="U627" s="1327"/>
      <c r="V627" s="1327"/>
      <c r="W627" s="1327" t="s">
        <v>1058</v>
      </c>
    </row>
    <row r="628" spans="1:23" s="1204" customFormat="1" ht="120" hidden="1" x14ac:dyDescent="0.2">
      <c r="A628" s="1169">
        <v>2022681</v>
      </c>
      <c r="B628" s="1169">
        <v>7658</v>
      </c>
      <c r="C628" s="1326" t="s">
        <v>673</v>
      </c>
      <c r="D628" s="1187" t="s">
        <v>702</v>
      </c>
      <c r="E628" s="1171">
        <v>80111600</v>
      </c>
      <c r="F628" s="1349" t="s">
        <v>1274</v>
      </c>
      <c r="G628" s="1343">
        <v>44743</v>
      </c>
      <c r="H628" s="1343">
        <v>44757</v>
      </c>
      <c r="I628" s="1173">
        <v>3</v>
      </c>
      <c r="J628" s="1173" t="s">
        <v>677</v>
      </c>
      <c r="K628" s="1174" t="s">
        <v>678</v>
      </c>
      <c r="L628" s="1175" t="s">
        <v>951</v>
      </c>
      <c r="M628" s="1176">
        <f>18000000-6000000</f>
        <v>12000000</v>
      </c>
      <c r="N628" s="1344" t="s">
        <v>1002</v>
      </c>
      <c r="O628" s="1171" t="s">
        <v>915</v>
      </c>
      <c r="P628" s="1350" t="s">
        <v>682</v>
      </c>
      <c r="R628" s="1327">
        <v>12000000</v>
      </c>
      <c r="S628" s="1327"/>
      <c r="T628" s="1327">
        <f>+'PAA V30'!$R628-'PAA V30'!$S628</f>
        <v>12000000</v>
      </c>
      <c r="U628" s="1327"/>
      <c r="V628" s="1327"/>
      <c r="W628" s="1327"/>
    </row>
    <row r="629" spans="1:23" s="1204" customFormat="1" ht="120" hidden="1" x14ac:dyDescent="0.2">
      <c r="A629" s="1169">
        <v>2022682</v>
      </c>
      <c r="B629" s="1169">
        <v>7658</v>
      </c>
      <c r="C629" s="1326" t="s">
        <v>673</v>
      </c>
      <c r="D629" s="1187" t="s">
        <v>702</v>
      </c>
      <c r="E629" s="1171">
        <v>80111600</v>
      </c>
      <c r="F629" s="1349" t="s">
        <v>1275</v>
      </c>
      <c r="G629" s="1343">
        <v>44778</v>
      </c>
      <c r="H629" s="1343">
        <v>44788</v>
      </c>
      <c r="I629" s="1173">
        <v>4.5</v>
      </c>
      <c r="J629" s="1173" t="s">
        <v>677</v>
      </c>
      <c r="K629" s="1174" t="s">
        <v>678</v>
      </c>
      <c r="L629" s="1175" t="s">
        <v>951</v>
      </c>
      <c r="M629" s="1176">
        <f>15075000-2250000-750000-558333-750000</f>
        <v>10766667</v>
      </c>
      <c r="N629" s="1344" t="s">
        <v>1002</v>
      </c>
      <c r="O629" s="1171" t="s">
        <v>915</v>
      </c>
      <c r="P629" s="1350" t="s">
        <v>682</v>
      </c>
      <c r="R629" s="1327">
        <v>15075000</v>
      </c>
      <c r="S629" s="1327"/>
      <c r="T629" s="1327">
        <f>+'PAA V30'!$R629-'PAA V30'!$S629</f>
        <v>15075000</v>
      </c>
      <c r="U629" s="1327"/>
      <c r="V629" s="1327"/>
      <c r="W629" s="1327"/>
    </row>
    <row r="630" spans="1:23" s="1204" customFormat="1" ht="90" hidden="1" x14ac:dyDescent="0.2">
      <c r="A630" s="1169">
        <v>2022683</v>
      </c>
      <c r="B630" s="1169">
        <v>7658</v>
      </c>
      <c r="C630" s="1326" t="s">
        <v>673</v>
      </c>
      <c r="D630" s="1187" t="s">
        <v>693</v>
      </c>
      <c r="E630" s="1171">
        <v>80111600</v>
      </c>
      <c r="F630" s="1349" t="s">
        <v>1276</v>
      </c>
      <c r="G630" s="1343">
        <v>44743</v>
      </c>
      <c r="H630" s="1343">
        <v>44743</v>
      </c>
      <c r="I630" s="1173">
        <v>6</v>
      </c>
      <c r="J630" s="1173" t="s">
        <v>677</v>
      </c>
      <c r="K630" s="1174" t="s">
        <v>678</v>
      </c>
      <c r="L630" s="1175" t="s">
        <v>951</v>
      </c>
      <c r="M630" s="1176">
        <v>39000000</v>
      </c>
      <c r="N630" s="1344" t="s">
        <v>1032</v>
      </c>
      <c r="O630" s="1171" t="s">
        <v>1033</v>
      </c>
      <c r="P630" s="1218" t="s">
        <v>682</v>
      </c>
      <c r="R630" s="1327">
        <v>39000000</v>
      </c>
      <c r="S630" s="1327"/>
      <c r="T630" s="1327">
        <f>+'PAA V30'!$R630-'PAA V30'!$S630</f>
        <v>39000000</v>
      </c>
      <c r="U630" s="1327"/>
      <c r="V630" s="1327"/>
      <c r="W630" s="1327"/>
    </row>
    <row r="631" spans="1:23" s="1204" customFormat="1" ht="90" hidden="1" x14ac:dyDescent="0.2">
      <c r="A631" s="1169">
        <v>2022684</v>
      </c>
      <c r="B631" s="1169">
        <v>7658</v>
      </c>
      <c r="C631" s="1326" t="s">
        <v>673</v>
      </c>
      <c r="D631" s="1187" t="s">
        <v>693</v>
      </c>
      <c r="E631" s="1171">
        <v>80111600</v>
      </c>
      <c r="F631" s="1349" t="s">
        <v>1062</v>
      </c>
      <c r="G631" s="1343">
        <v>44743</v>
      </c>
      <c r="H631" s="1343">
        <v>44743</v>
      </c>
      <c r="I631" s="1173">
        <v>6</v>
      </c>
      <c r="J631" s="1173" t="s">
        <v>677</v>
      </c>
      <c r="K631" s="1174" t="s">
        <v>678</v>
      </c>
      <c r="L631" s="1175" t="s">
        <v>951</v>
      </c>
      <c r="M631" s="1176">
        <f>16800000-2800000</f>
        <v>14000000</v>
      </c>
      <c r="N631" s="1344" t="s">
        <v>1032</v>
      </c>
      <c r="O631" s="1171" t="s">
        <v>1033</v>
      </c>
      <c r="P631" s="1218" t="s">
        <v>682</v>
      </c>
      <c r="R631" s="1327">
        <v>14000000</v>
      </c>
      <c r="S631" s="1327"/>
      <c r="T631" s="1327">
        <f>+'PAA V30'!$R631-'PAA V30'!$S631</f>
        <v>14000000</v>
      </c>
      <c r="U631" s="1327"/>
      <c r="V631" s="1327"/>
      <c r="W631" s="1327"/>
    </row>
    <row r="632" spans="1:23" s="1204" customFormat="1" ht="90" hidden="1" x14ac:dyDescent="0.2">
      <c r="A632" s="1169">
        <v>2022685</v>
      </c>
      <c r="B632" s="1169">
        <v>7658</v>
      </c>
      <c r="C632" s="1326" t="s">
        <v>673</v>
      </c>
      <c r="D632" s="1187" t="s">
        <v>693</v>
      </c>
      <c r="E632" s="1171">
        <v>80111600</v>
      </c>
      <c r="F632" s="1349" t="s">
        <v>1062</v>
      </c>
      <c r="G632" s="1343">
        <v>44743</v>
      </c>
      <c r="H632" s="1343">
        <v>44743</v>
      </c>
      <c r="I632" s="1173">
        <v>6</v>
      </c>
      <c r="J632" s="1173" t="s">
        <v>677</v>
      </c>
      <c r="K632" s="1174" t="s">
        <v>678</v>
      </c>
      <c r="L632" s="1175" t="s">
        <v>951</v>
      </c>
      <c r="M632" s="1176">
        <f>16800000-2800000</f>
        <v>14000000</v>
      </c>
      <c r="N632" s="1344" t="s">
        <v>1032</v>
      </c>
      <c r="O632" s="1171" t="s">
        <v>1033</v>
      </c>
      <c r="P632" s="1218" t="s">
        <v>682</v>
      </c>
      <c r="R632" s="1327">
        <v>14000000</v>
      </c>
      <c r="S632" s="1327"/>
      <c r="T632" s="1327">
        <f>+'PAA V30'!$R632-'PAA V30'!$S632</f>
        <v>14000000</v>
      </c>
      <c r="U632" s="1327"/>
      <c r="V632" s="1327"/>
      <c r="W632" s="1327"/>
    </row>
    <row r="633" spans="1:23" s="1204" customFormat="1" ht="90" hidden="1" x14ac:dyDescent="0.2">
      <c r="A633" s="1169">
        <v>2022686</v>
      </c>
      <c r="B633" s="1169">
        <v>7658</v>
      </c>
      <c r="C633" s="1326" t="s">
        <v>673</v>
      </c>
      <c r="D633" s="1187" t="s">
        <v>693</v>
      </c>
      <c r="E633" s="1171">
        <v>80111600</v>
      </c>
      <c r="F633" s="1349" t="s">
        <v>1062</v>
      </c>
      <c r="G633" s="1343">
        <v>44743</v>
      </c>
      <c r="H633" s="1343">
        <v>44743</v>
      </c>
      <c r="I633" s="1173">
        <v>6</v>
      </c>
      <c r="J633" s="1173" t="s">
        <v>677</v>
      </c>
      <c r="K633" s="1174" t="s">
        <v>678</v>
      </c>
      <c r="L633" s="1175" t="s">
        <v>951</v>
      </c>
      <c r="M633" s="1176">
        <f>16800000-2800000</f>
        <v>14000000</v>
      </c>
      <c r="N633" s="1344" t="s">
        <v>1032</v>
      </c>
      <c r="O633" s="1171" t="s">
        <v>1033</v>
      </c>
      <c r="P633" s="1218" t="s">
        <v>682</v>
      </c>
      <c r="R633" s="1327">
        <v>14000000</v>
      </c>
      <c r="S633" s="1327"/>
      <c r="T633" s="1327">
        <f>+'PAA V30'!$R633-'PAA V30'!$S633</f>
        <v>14000000</v>
      </c>
      <c r="U633" s="1327"/>
      <c r="V633" s="1327"/>
      <c r="W633" s="1327"/>
    </row>
    <row r="634" spans="1:23" s="1204" customFormat="1" ht="105" hidden="1" x14ac:dyDescent="0.2">
      <c r="A634" s="1169">
        <v>2022687</v>
      </c>
      <c r="B634" s="1169">
        <v>7637</v>
      </c>
      <c r="C634" s="1326" t="s">
        <v>645</v>
      </c>
      <c r="D634" s="1187" t="s">
        <v>674</v>
      </c>
      <c r="E634" s="1171">
        <v>45111616</v>
      </c>
      <c r="F634" s="1349" t="s">
        <v>1277</v>
      </c>
      <c r="G634" s="1343">
        <v>44757</v>
      </c>
      <c r="H634" s="1343">
        <v>44771</v>
      </c>
      <c r="I634" s="1173">
        <v>1</v>
      </c>
      <c r="J634" s="1173" t="s">
        <v>721</v>
      </c>
      <c r="K634" s="1174" t="s">
        <v>774</v>
      </c>
      <c r="L634" s="1175" t="s">
        <v>951</v>
      </c>
      <c r="M634" s="1176">
        <f>15317646</f>
        <v>15317646</v>
      </c>
      <c r="N634" s="1186" t="s">
        <v>680</v>
      </c>
      <c r="O634" s="1171" t="s">
        <v>681</v>
      </c>
      <c r="P634" s="1218" t="s">
        <v>682</v>
      </c>
      <c r="R634" s="1266">
        <v>0</v>
      </c>
      <c r="S634" s="1327"/>
      <c r="T634" s="1327">
        <f>+'PAA V30'!$R634-'PAA V30'!$S634</f>
        <v>0</v>
      </c>
      <c r="U634" s="1327"/>
      <c r="V634" s="1327"/>
      <c r="W634" s="1327"/>
    </row>
    <row r="635" spans="1:23" s="1204" customFormat="1" ht="75" hidden="1" x14ac:dyDescent="0.2">
      <c r="A635" s="1169">
        <v>2022688</v>
      </c>
      <c r="B635" s="1169">
        <v>7658</v>
      </c>
      <c r="C635" s="1326" t="s">
        <v>673</v>
      </c>
      <c r="D635" s="1187" t="s">
        <v>696</v>
      </c>
      <c r="E635" s="1171">
        <v>80111600</v>
      </c>
      <c r="F635" s="1349" t="s">
        <v>986</v>
      </c>
      <c r="G635" s="1343">
        <v>44739</v>
      </c>
      <c r="H635" s="1343">
        <v>44746</v>
      </c>
      <c r="I635" s="1173">
        <v>5</v>
      </c>
      <c r="J635" s="1173" t="s">
        <v>677</v>
      </c>
      <c r="K635" s="1174" t="s">
        <v>678</v>
      </c>
      <c r="L635" s="1175" t="s">
        <v>951</v>
      </c>
      <c r="M635" s="1176">
        <f>11550000+7700000</f>
        <v>19250000</v>
      </c>
      <c r="N635" s="1344" t="s">
        <v>765</v>
      </c>
      <c r="O635" s="1171" t="s">
        <v>764</v>
      </c>
      <c r="P635" s="1218" t="s">
        <v>682</v>
      </c>
      <c r="R635" s="1327">
        <v>19250000</v>
      </c>
      <c r="S635" s="1327"/>
      <c r="T635" s="1327">
        <f>+'PAA V30'!$R635-'PAA V30'!$S635</f>
        <v>19250000</v>
      </c>
      <c r="U635" s="1327"/>
      <c r="V635" s="1327"/>
      <c r="W635" s="1327"/>
    </row>
    <row r="636" spans="1:23" s="1204" customFormat="1" ht="75" hidden="1" x14ac:dyDescent="0.2">
      <c r="A636" s="1169">
        <v>2022689</v>
      </c>
      <c r="B636" s="1169">
        <v>7655</v>
      </c>
      <c r="C636" s="1326" t="s">
        <v>648</v>
      </c>
      <c r="D636" s="1187" t="s">
        <v>649</v>
      </c>
      <c r="E636" s="1171">
        <v>80111600</v>
      </c>
      <c r="F636" s="1349" t="s">
        <v>907</v>
      </c>
      <c r="G636" s="1343">
        <v>44743</v>
      </c>
      <c r="H636" s="1343">
        <v>44760</v>
      </c>
      <c r="I636" s="1173">
        <v>5</v>
      </c>
      <c r="J636" s="1173" t="s">
        <v>677</v>
      </c>
      <c r="K636" s="1174" t="s">
        <v>678</v>
      </c>
      <c r="L636" s="1175" t="s">
        <v>951</v>
      </c>
      <c r="M636" s="1176">
        <v>35600000</v>
      </c>
      <c r="N636" s="1344" t="s">
        <v>784</v>
      </c>
      <c r="O636" s="1171" t="s">
        <v>771</v>
      </c>
      <c r="P636" s="1218" t="s">
        <v>682</v>
      </c>
      <c r="R636" s="1266">
        <v>35600000</v>
      </c>
      <c r="S636" s="1327"/>
      <c r="T636" s="1327">
        <f>+'PAA V30'!$R636-'PAA V30'!$S636</f>
        <v>35600000</v>
      </c>
      <c r="U636" s="1327"/>
      <c r="V636" s="1327"/>
      <c r="W636" s="1327"/>
    </row>
    <row r="637" spans="1:23" s="1204" customFormat="1" ht="75" hidden="1" x14ac:dyDescent="0.2">
      <c r="A637" s="1169">
        <v>2022690</v>
      </c>
      <c r="B637" s="1169">
        <v>7655</v>
      </c>
      <c r="C637" s="1326" t="s">
        <v>648</v>
      </c>
      <c r="D637" s="1187" t="s">
        <v>649</v>
      </c>
      <c r="E637" s="1171">
        <v>80111600</v>
      </c>
      <c r="F637" s="1349" t="s">
        <v>917</v>
      </c>
      <c r="G637" s="1343">
        <v>44767</v>
      </c>
      <c r="H637" s="1343">
        <v>44775</v>
      </c>
      <c r="I637" s="1173">
        <v>5</v>
      </c>
      <c r="J637" s="1173" t="s">
        <v>677</v>
      </c>
      <c r="K637" s="1174" t="s">
        <v>678</v>
      </c>
      <c r="L637" s="1175" t="s">
        <v>951</v>
      </c>
      <c r="M637" s="1176">
        <v>24000000</v>
      </c>
      <c r="N637" s="1344" t="s">
        <v>784</v>
      </c>
      <c r="O637" s="1171" t="s">
        <v>771</v>
      </c>
      <c r="P637" s="1218" t="s">
        <v>682</v>
      </c>
      <c r="R637" s="1266">
        <v>24000000</v>
      </c>
      <c r="S637" s="1327"/>
      <c r="T637" s="1327">
        <f>+'PAA V30'!$R637-'PAA V30'!$S637</f>
        <v>24000000</v>
      </c>
      <c r="U637" s="1327"/>
      <c r="V637" s="1327"/>
      <c r="W637" s="1327"/>
    </row>
    <row r="638" spans="1:23" s="1204" customFormat="1" ht="75" hidden="1" x14ac:dyDescent="0.2">
      <c r="A638" s="1169">
        <v>2022691</v>
      </c>
      <c r="B638" s="1169">
        <v>7655</v>
      </c>
      <c r="C638" s="1326" t="s">
        <v>648</v>
      </c>
      <c r="D638" s="1187" t="s">
        <v>649</v>
      </c>
      <c r="E638" s="1171">
        <v>80111600</v>
      </c>
      <c r="F638" s="1349" t="s">
        <v>1278</v>
      </c>
      <c r="G638" s="1343">
        <v>44767</v>
      </c>
      <c r="H638" s="1343">
        <v>44775</v>
      </c>
      <c r="I638" s="1173">
        <v>5</v>
      </c>
      <c r="J638" s="1173" t="s">
        <v>677</v>
      </c>
      <c r="K638" s="1174" t="s">
        <v>678</v>
      </c>
      <c r="L638" s="1175" t="s">
        <v>951</v>
      </c>
      <c r="M638" s="1176">
        <v>11500000</v>
      </c>
      <c r="N638" s="1344" t="s">
        <v>784</v>
      </c>
      <c r="O638" s="1171" t="s">
        <v>771</v>
      </c>
      <c r="P638" s="1218" t="s">
        <v>682</v>
      </c>
      <c r="R638" s="1266">
        <v>11500000</v>
      </c>
      <c r="S638" s="1327"/>
      <c r="T638" s="1327">
        <f>+'PAA V30'!$R638-'PAA V30'!$S638</f>
        <v>11500000</v>
      </c>
      <c r="U638" s="1327"/>
      <c r="V638" s="1327"/>
      <c r="W638" s="1327"/>
    </row>
    <row r="639" spans="1:23" s="1204" customFormat="1" ht="90" hidden="1" x14ac:dyDescent="0.2">
      <c r="A639" s="1169">
        <v>2022692</v>
      </c>
      <c r="B639" s="1169">
        <v>7655</v>
      </c>
      <c r="C639" s="1326" t="s">
        <v>648</v>
      </c>
      <c r="D639" s="1187" t="s">
        <v>649</v>
      </c>
      <c r="E639" s="1171">
        <v>80111600</v>
      </c>
      <c r="F639" s="1349" t="s">
        <v>1279</v>
      </c>
      <c r="G639" s="1343">
        <v>44848</v>
      </c>
      <c r="H639" s="1343">
        <v>44848</v>
      </c>
      <c r="I639" s="1173">
        <v>2.5</v>
      </c>
      <c r="J639" s="1173" t="s">
        <v>677</v>
      </c>
      <c r="K639" s="1174" t="s">
        <v>678</v>
      </c>
      <c r="L639" s="1175" t="s">
        <v>951</v>
      </c>
      <c r="M639" s="1176">
        <v>8400000</v>
      </c>
      <c r="N639" s="1344" t="s">
        <v>784</v>
      </c>
      <c r="O639" s="1171" t="s">
        <v>771</v>
      </c>
      <c r="P639" s="1218" t="s">
        <v>682</v>
      </c>
      <c r="R639" s="1266">
        <v>0</v>
      </c>
      <c r="S639" s="1327"/>
      <c r="T639" s="1327">
        <f>+'PAA V30'!$R639-'PAA V30'!$S639</f>
        <v>0</v>
      </c>
      <c r="U639" s="1327"/>
      <c r="V639" s="1327"/>
      <c r="W639" s="1327"/>
    </row>
    <row r="640" spans="1:23" s="1204" customFormat="1" ht="75" hidden="1" x14ac:dyDescent="0.2">
      <c r="A640" s="1169">
        <v>2022693</v>
      </c>
      <c r="B640" s="1169">
        <v>7655</v>
      </c>
      <c r="C640" s="1326" t="s">
        <v>648</v>
      </c>
      <c r="D640" s="1187" t="s">
        <v>696</v>
      </c>
      <c r="E640" s="1171">
        <v>80111600</v>
      </c>
      <c r="F640" s="1349" t="s">
        <v>856</v>
      </c>
      <c r="G640" s="1343">
        <v>44755</v>
      </c>
      <c r="H640" s="1343">
        <v>44763</v>
      </c>
      <c r="I640" s="1173">
        <v>5</v>
      </c>
      <c r="J640" s="1173" t="s">
        <v>677</v>
      </c>
      <c r="K640" s="1174" t="s">
        <v>678</v>
      </c>
      <c r="L640" s="1175" t="s">
        <v>951</v>
      </c>
      <c r="M640" s="1176">
        <f>7350000+4900000</f>
        <v>12250000</v>
      </c>
      <c r="N640" s="1344" t="s">
        <v>784</v>
      </c>
      <c r="O640" s="1171" t="s">
        <v>771</v>
      </c>
      <c r="P640" s="1218" t="s">
        <v>682</v>
      </c>
      <c r="R640" s="1266">
        <v>12250000</v>
      </c>
      <c r="S640" s="1327"/>
      <c r="T640" s="1327">
        <f>+'PAA V30'!$R640-'PAA V30'!$S640</f>
        <v>12250000</v>
      </c>
      <c r="U640" s="1327"/>
      <c r="V640" s="1327"/>
      <c r="W640" s="1327"/>
    </row>
    <row r="641" spans="1:23" s="1204" customFormat="1" ht="75" hidden="1" x14ac:dyDescent="0.2">
      <c r="A641" s="1169">
        <v>2022694</v>
      </c>
      <c r="B641" s="1169">
        <v>7655</v>
      </c>
      <c r="C641" s="1326" t="s">
        <v>648</v>
      </c>
      <c r="D641" s="1187" t="s">
        <v>696</v>
      </c>
      <c r="E641" s="1171">
        <v>80111600</v>
      </c>
      <c r="F641" s="1349" t="s">
        <v>863</v>
      </c>
      <c r="G641" s="1343">
        <v>44760</v>
      </c>
      <c r="H641" s="1343">
        <v>44767</v>
      </c>
      <c r="I641" s="1173">
        <v>4</v>
      </c>
      <c r="J641" s="1173" t="s">
        <v>677</v>
      </c>
      <c r="K641" s="1174" t="s">
        <v>678</v>
      </c>
      <c r="L641" s="1175" t="s">
        <v>951</v>
      </c>
      <c r="M641" s="1176">
        <v>17388000</v>
      </c>
      <c r="N641" s="1344" t="s">
        <v>784</v>
      </c>
      <c r="O641" s="1171" t="s">
        <v>771</v>
      </c>
      <c r="P641" s="1218" t="s">
        <v>682</v>
      </c>
      <c r="R641" s="1266">
        <v>17388000</v>
      </c>
      <c r="S641" s="1327"/>
      <c r="T641" s="1327">
        <f>+'PAA V30'!$R641-'PAA V30'!$S641</f>
        <v>17388000</v>
      </c>
      <c r="U641" s="1327"/>
      <c r="V641" s="1327"/>
      <c r="W641" s="1327"/>
    </row>
    <row r="642" spans="1:23" s="1204" customFormat="1" ht="75" hidden="1" x14ac:dyDescent="0.2">
      <c r="A642" s="1169">
        <v>2022695</v>
      </c>
      <c r="B642" s="1169">
        <v>7655</v>
      </c>
      <c r="C642" s="1326" t="s">
        <v>648</v>
      </c>
      <c r="D642" s="1187" t="s">
        <v>696</v>
      </c>
      <c r="E642" s="1171">
        <v>80111600</v>
      </c>
      <c r="F642" s="1349" t="s">
        <v>866</v>
      </c>
      <c r="G642" s="1343">
        <v>44767</v>
      </c>
      <c r="H642" s="1343">
        <v>44774</v>
      </c>
      <c r="I642" s="1173">
        <v>4</v>
      </c>
      <c r="J642" s="1173" t="s">
        <v>677</v>
      </c>
      <c r="K642" s="1174" t="s">
        <v>678</v>
      </c>
      <c r="L642" s="1175" t="s">
        <v>951</v>
      </c>
      <c r="M642" s="1176">
        <f>6800000+550000</f>
        <v>7350000</v>
      </c>
      <c r="N642" s="1344" t="s">
        <v>784</v>
      </c>
      <c r="O642" s="1171" t="s">
        <v>771</v>
      </c>
      <c r="P642" s="1218" t="s">
        <v>682</v>
      </c>
      <c r="R642" s="1266">
        <v>6800000</v>
      </c>
      <c r="S642" s="1327"/>
      <c r="T642" s="1327">
        <f>+'PAA V30'!$R642-'PAA V30'!$S642</f>
        <v>6800000</v>
      </c>
      <c r="U642" s="1327"/>
      <c r="V642" s="1327"/>
      <c r="W642" s="1327"/>
    </row>
    <row r="643" spans="1:23" s="1204" customFormat="1" ht="120" hidden="1" x14ac:dyDescent="0.2">
      <c r="A643" s="1169">
        <v>2022696</v>
      </c>
      <c r="B643" s="1169">
        <v>7658</v>
      </c>
      <c r="C643" s="1326" t="s">
        <v>673</v>
      </c>
      <c r="D643" s="1187" t="s">
        <v>699</v>
      </c>
      <c r="E643" s="1171">
        <v>72101500</v>
      </c>
      <c r="F643" s="1349" t="s">
        <v>1280</v>
      </c>
      <c r="G643" s="1343">
        <v>44774</v>
      </c>
      <c r="H643" s="1343">
        <v>44788</v>
      </c>
      <c r="I643" s="1173">
        <v>6</v>
      </c>
      <c r="J643" s="1173" t="s">
        <v>677</v>
      </c>
      <c r="K643" s="1174" t="s">
        <v>678</v>
      </c>
      <c r="L643" s="1175" t="s">
        <v>951</v>
      </c>
      <c r="M643" s="1176">
        <v>28798000</v>
      </c>
      <c r="N643" s="1344" t="s">
        <v>775</v>
      </c>
      <c r="O643" s="1171" t="s">
        <v>915</v>
      </c>
      <c r="P643" s="1218" t="s">
        <v>682</v>
      </c>
      <c r="R643" s="1266">
        <v>0</v>
      </c>
      <c r="S643" s="1327"/>
      <c r="T643" s="1327">
        <f>+'PAA V30'!$R643-'PAA V30'!$S643</f>
        <v>0</v>
      </c>
      <c r="U643" s="1327"/>
      <c r="V643" s="1327"/>
      <c r="W643" s="1327"/>
    </row>
    <row r="644" spans="1:23" s="1204" customFormat="1" ht="120" hidden="1" x14ac:dyDescent="0.2">
      <c r="A644" s="1169">
        <v>2022697</v>
      </c>
      <c r="B644" s="1169">
        <v>7658</v>
      </c>
      <c r="C644" s="1326" t="s">
        <v>673</v>
      </c>
      <c r="D644" s="1187" t="s">
        <v>699</v>
      </c>
      <c r="E644" s="1171" t="s">
        <v>1281</v>
      </c>
      <c r="F644" s="1349" t="s">
        <v>1282</v>
      </c>
      <c r="G644" s="1343">
        <v>44774</v>
      </c>
      <c r="H644" s="1343">
        <v>44788</v>
      </c>
      <c r="I644" s="1173">
        <v>6</v>
      </c>
      <c r="J644" s="1173" t="s">
        <v>677</v>
      </c>
      <c r="K644" s="1174" t="s">
        <v>678</v>
      </c>
      <c r="L644" s="1175" t="s">
        <v>951</v>
      </c>
      <c r="M644" s="1176">
        <v>46278754</v>
      </c>
      <c r="N644" s="1344" t="s">
        <v>775</v>
      </c>
      <c r="O644" s="1171" t="s">
        <v>915</v>
      </c>
      <c r="P644" s="1218" t="s">
        <v>682</v>
      </c>
      <c r="R644" s="1266">
        <v>0</v>
      </c>
      <c r="S644" s="1327"/>
      <c r="T644" s="1327">
        <f>+'PAA V30'!$R644-'PAA V30'!$S644</f>
        <v>0</v>
      </c>
      <c r="U644" s="1327"/>
      <c r="V644" s="1327"/>
      <c r="W644" s="1327"/>
    </row>
    <row r="645" spans="1:23" s="1204" customFormat="1" ht="120" hidden="1" x14ac:dyDescent="0.2">
      <c r="A645" s="1169">
        <v>2022698</v>
      </c>
      <c r="B645" s="1169">
        <v>7658</v>
      </c>
      <c r="C645" s="1326" t="s">
        <v>673</v>
      </c>
      <c r="D645" s="1187" t="s">
        <v>699</v>
      </c>
      <c r="E645" s="1171" t="s">
        <v>1096</v>
      </c>
      <c r="F645" s="1349" t="s">
        <v>1283</v>
      </c>
      <c r="G645" s="1343">
        <v>44774</v>
      </c>
      <c r="H645" s="1343">
        <v>44788</v>
      </c>
      <c r="I645" s="1173">
        <v>6</v>
      </c>
      <c r="J645" s="1173" t="s">
        <v>677</v>
      </c>
      <c r="K645" s="1174" t="s">
        <v>678</v>
      </c>
      <c r="L645" s="1175" t="s">
        <v>951</v>
      </c>
      <c r="M645" s="1176">
        <f>80000000+19000000+1000000</f>
        <v>100000000</v>
      </c>
      <c r="N645" s="1344" t="s">
        <v>775</v>
      </c>
      <c r="O645" s="1171" t="s">
        <v>915</v>
      </c>
      <c r="P645" s="1218" t="s">
        <v>682</v>
      </c>
      <c r="R645" s="1266">
        <v>0</v>
      </c>
      <c r="S645" s="1327"/>
      <c r="T645" s="1327">
        <f>+'PAA V30'!$R645-'PAA V30'!$S645</f>
        <v>0</v>
      </c>
      <c r="U645" s="1327"/>
      <c r="V645" s="1327"/>
      <c r="W645" s="1327"/>
    </row>
    <row r="646" spans="1:23" s="1204" customFormat="1" ht="120" hidden="1" x14ac:dyDescent="0.2">
      <c r="A646" s="1169">
        <v>2022699</v>
      </c>
      <c r="B646" s="1169">
        <v>7658</v>
      </c>
      <c r="C646" s="1326" t="s">
        <v>673</v>
      </c>
      <c r="D646" s="1187" t="s">
        <v>699</v>
      </c>
      <c r="E646" s="1171">
        <v>72101509</v>
      </c>
      <c r="F646" s="1349" t="s">
        <v>1284</v>
      </c>
      <c r="G646" s="1343">
        <v>44774</v>
      </c>
      <c r="H646" s="1343">
        <v>44788</v>
      </c>
      <c r="I646" s="1173">
        <v>6</v>
      </c>
      <c r="J646" s="1173" t="s">
        <v>677</v>
      </c>
      <c r="K646" s="1174" t="s">
        <v>678</v>
      </c>
      <c r="L646" s="1175" t="s">
        <v>951</v>
      </c>
      <c r="M646" s="1176">
        <f>40000000+30148267</f>
        <v>70148267</v>
      </c>
      <c r="N646" s="1344" t="s">
        <v>775</v>
      </c>
      <c r="O646" s="1171" t="s">
        <v>915</v>
      </c>
      <c r="P646" s="1218" t="s">
        <v>682</v>
      </c>
      <c r="R646" s="1266">
        <v>0</v>
      </c>
      <c r="S646" s="1327"/>
      <c r="T646" s="1327">
        <f>+'PAA V30'!$R646-'PAA V30'!$S646</f>
        <v>0</v>
      </c>
      <c r="U646" s="1327"/>
      <c r="V646" s="1327"/>
      <c r="W646" s="1327"/>
    </row>
    <row r="647" spans="1:23" s="1204" customFormat="1" ht="120" hidden="1" x14ac:dyDescent="0.2">
      <c r="A647" s="1169">
        <v>2022700</v>
      </c>
      <c r="B647" s="1169">
        <v>7658</v>
      </c>
      <c r="C647" s="1326" t="s">
        <v>673</v>
      </c>
      <c r="D647" s="1187" t="s">
        <v>699</v>
      </c>
      <c r="E647" s="1171">
        <v>80111600</v>
      </c>
      <c r="F647" s="1349" t="s">
        <v>1285</v>
      </c>
      <c r="G647" s="1343">
        <v>44757</v>
      </c>
      <c r="H647" s="1343">
        <v>44762</v>
      </c>
      <c r="I647" s="1173">
        <v>6</v>
      </c>
      <c r="J647" s="1173" t="s">
        <v>677</v>
      </c>
      <c r="K647" s="1174" t="s">
        <v>678</v>
      </c>
      <c r="L647" s="1175" t="s">
        <v>951</v>
      </c>
      <c r="M647" s="1176">
        <f>20100000-3850000</f>
        <v>16250000</v>
      </c>
      <c r="N647" s="1344" t="s">
        <v>772</v>
      </c>
      <c r="O647" s="1171" t="s">
        <v>915</v>
      </c>
      <c r="P647" s="1218" t="s">
        <v>682</v>
      </c>
      <c r="R647" s="1266">
        <v>0</v>
      </c>
      <c r="S647" s="1327"/>
      <c r="T647" s="1327">
        <f>+'PAA V30'!$R647-'PAA V30'!$S647</f>
        <v>0</v>
      </c>
      <c r="U647" s="1327"/>
      <c r="V647" s="1327"/>
      <c r="W647" s="1327"/>
    </row>
    <row r="648" spans="1:23" s="1204" customFormat="1" ht="135" hidden="1" x14ac:dyDescent="0.2">
      <c r="A648" s="1169">
        <v>2022701</v>
      </c>
      <c r="B648" s="1169">
        <v>7658</v>
      </c>
      <c r="C648" s="1326" t="s">
        <v>673</v>
      </c>
      <c r="D648" s="1187" t="s">
        <v>699</v>
      </c>
      <c r="E648" s="1171">
        <v>80111600</v>
      </c>
      <c r="F648" s="1349" t="s">
        <v>1286</v>
      </c>
      <c r="G648" s="1343">
        <v>44757</v>
      </c>
      <c r="H648" s="1343">
        <v>44762</v>
      </c>
      <c r="I648" s="1173">
        <v>6</v>
      </c>
      <c r="J648" s="1173" t="s">
        <v>677</v>
      </c>
      <c r="K648" s="1174" t="s">
        <v>678</v>
      </c>
      <c r="L648" s="1175" t="s">
        <v>951</v>
      </c>
      <c r="M648" s="1176">
        <v>30000000</v>
      </c>
      <c r="N648" s="1344" t="s">
        <v>772</v>
      </c>
      <c r="O648" s="1171" t="s">
        <v>915</v>
      </c>
      <c r="P648" s="1218" t="s">
        <v>682</v>
      </c>
      <c r="R648" s="1327">
        <v>30000000</v>
      </c>
      <c r="S648" s="1327"/>
      <c r="T648" s="1327">
        <f>+'PAA V30'!$R648-'PAA V30'!$S648</f>
        <v>30000000</v>
      </c>
      <c r="U648" s="1327"/>
      <c r="V648" s="1327"/>
      <c r="W648" s="1327"/>
    </row>
    <row r="649" spans="1:23" s="1204" customFormat="1" ht="120" hidden="1" x14ac:dyDescent="0.2">
      <c r="A649" s="1169">
        <v>2022704</v>
      </c>
      <c r="B649" s="1169">
        <v>7658</v>
      </c>
      <c r="C649" s="1326" t="s">
        <v>673</v>
      </c>
      <c r="D649" s="1187" t="s">
        <v>690</v>
      </c>
      <c r="E649" s="1171">
        <v>80111600</v>
      </c>
      <c r="F649" s="1349" t="s">
        <v>1287</v>
      </c>
      <c r="G649" s="1343">
        <v>44770</v>
      </c>
      <c r="H649" s="1343">
        <v>44757</v>
      </c>
      <c r="I649" s="1173">
        <v>6</v>
      </c>
      <c r="J649" s="1173" t="s">
        <v>677</v>
      </c>
      <c r="K649" s="1174" t="s">
        <v>678</v>
      </c>
      <c r="L649" s="1175" t="s">
        <v>951</v>
      </c>
      <c r="M649" s="1176">
        <v>49200000</v>
      </c>
      <c r="N649" s="1344" t="s">
        <v>931</v>
      </c>
      <c r="O649" s="1171" t="s">
        <v>915</v>
      </c>
      <c r="P649" s="1218" t="s">
        <v>682</v>
      </c>
      <c r="R649" s="1327">
        <v>49200000</v>
      </c>
      <c r="S649" s="1327"/>
      <c r="T649" s="1327">
        <f>+'PAA V30'!$R649-'PAA V30'!$S649</f>
        <v>49200000</v>
      </c>
      <c r="U649" s="1327"/>
      <c r="V649" s="1327"/>
      <c r="W649" s="1327"/>
    </row>
    <row r="650" spans="1:23" s="1204" customFormat="1" ht="120" hidden="1" x14ac:dyDescent="0.2">
      <c r="A650" s="1169">
        <v>2022705</v>
      </c>
      <c r="B650" s="1169">
        <v>7658</v>
      </c>
      <c r="C650" s="1326" t="s">
        <v>673</v>
      </c>
      <c r="D650" s="1187" t="s">
        <v>690</v>
      </c>
      <c r="E650" s="1171">
        <v>80111600</v>
      </c>
      <c r="F650" s="1349" t="s">
        <v>1288</v>
      </c>
      <c r="G650" s="1343">
        <v>44770</v>
      </c>
      <c r="H650" s="1343">
        <v>44757</v>
      </c>
      <c r="I650" s="1173">
        <v>6</v>
      </c>
      <c r="J650" s="1173" t="s">
        <v>677</v>
      </c>
      <c r="K650" s="1174" t="s">
        <v>678</v>
      </c>
      <c r="L650" s="1175" t="s">
        <v>951</v>
      </c>
      <c r="M650" s="1176">
        <v>36000000</v>
      </c>
      <c r="N650" s="1344" t="s">
        <v>931</v>
      </c>
      <c r="O650" s="1171" t="s">
        <v>915</v>
      </c>
      <c r="P650" s="1218" t="s">
        <v>682</v>
      </c>
      <c r="R650" s="1327">
        <v>36000000</v>
      </c>
      <c r="S650" s="1327"/>
      <c r="T650" s="1327">
        <f>+'PAA V30'!$R650-'PAA V30'!$S650</f>
        <v>36000000</v>
      </c>
      <c r="U650" s="1327"/>
      <c r="V650" s="1327"/>
      <c r="W650" s="1327"/>
    </row>
    <row r="651" spans="1:23" s="1204" customFormat="1" ht="60" hidden="1" x14ac:dyDescent="0.2">
      <c r="A651" s="1169">
        <v>2022706</v>
      </c>
      <c r="B651" s="1169">
        <v>7658</v>
      </c>
      <c r="C651" s="1326" t="s">
        <v>673</v>
      </c>
      <c r="D651" s="1187" t="s">
        <v>690</v>
      </c>
      <c r="E651" s="1171" t="s">
        <v>1289</v>
      </c>
      <c r="F651" s="1349" t="s">
        <v>1290</v>
      </c>
      <c r="G651" s="1343">
        <v>44921</v>
      </c>
      <c r="H651" s="1343">
        <v>44914</v>
      </c>
      <c r="I651" s="1173">
        <v>4</v>
      </c>
      <c r="J651" s="1173" t="s">
        <v>647</v>
      </c>
      <c r="K651" s="1174" t="s">
        <v>774</v>
      </c>
      <c r="L651" s="1175" t="s">
        <v>951</v>
      </c>
      <c r="M651" s="1176">
        <f>559000000+230000000+43007367+15000000+51183595+537358+1600000+179356748-65381424-60000000-250000000+90000000+20553590+96707379+48730796+264107511+5595424+50318299</f>
        <v>1280316643</v>
      </c>
      <c r="N651" s="1362" t="s">
        <v>780</v>
      </c>
      <c r="O651" s="1171" t="s">
        <v>768</v>
      </c>
      <c r="P651" s="1218" t="s">
        <v>759</v>
      </c>
      <c r="R651" s="1266">
        <v>0</v>
      </c>
      <c r="S651" s="1327"/>
      <c r="T651" s="1327">
        <f>+'PAA V30'!$R651-'PAA V30'!$S651</f>
        <v>0</v>
      </c>
      <c r="U651" s="1327"/>
      <c r="V651" s="1327"/>
      <c r="W651" s="1327"/>
    </row>
    <row r="652" spans="1:23" s="1204" customFormat="1" ht="75" hidden="1" x14ac:dyDescent="0.2">
      <c r="A652" s="1169">
        <v>2022707</v>
      </c>
      <c r="B652" s="1169">
        <v>7655</v>
      </c>
      <c r="C652" s="1326" t="s">
        <v>648</v>
      </c>
      <c r="D652" s="1187" t="s">
        <v>690</v>
      </c>
      <c r="E652" s="1171" t="s">
        <v>781</v>
      </c>
      <c r="F652" s="1349" t="s">
        <v>1291</v>
      </c>
      <c r="G652" s="1343">
        <v>44762</v>
      </c>
      <c r="H652" s="1343">
        <v>44762</v>
      </c>
      <c r="I652" s="1173">
        <v>6</v>
      </c>
      <c r="J652" s="1173" t="s">
        <v>677</v>
      </c>
      <c r="K652" s="1174" t="s">
        <v>678</v>
      </c>
      <c r="L652" s="1175" t="s">
        <v>951</v>
      </c>
      <c r="M652" s="1176">
        <v>16800000</v>
      </c>
      <c r="N652" s="1344" t="s">
        <v>784</v>
      </c>
      <c r="O652" s="1171" t="s">
        <v>771</v>
      </c>
      <c r="P652" s="1267" t="s">
        <v>682</v>
      </c>
      <c r="R652" s="1266">
        <v>16800000</v>
      </c>
      <c r="S652" s="1327"/>
      <c r="T652" s="1327">
        <f>+'PAA V30'!$R652-'PAA V30'!$S652</f>
        <v>16800000</v>
      </c>
      <c r="U652" s="1327"/>
      <c r="V652" s="1327"/>
      <c r="W652" s="1327"/>
    </row>
    <row r="653" spans="1:23" s="1204" customFormat="1" ht="90" hidden="1" x14ac:dyDescent="0.2">
      <c r="A653" s="1169">
        <v>2022708</v>
      </c>
      <c r="B653" s="1169">
        <v>7658</v>
      </c>
      <c r="C653" s="1326" t="s">
        <v>673</v>
      </c>
      <c r="D653" s="1187" t="s">
        <v>693</v>
      </c>
      <c r="E653" s="1171">
        <v>80111600</v>
      </c>
      <c r="F653" s="1349" t="s">
        <v>1062</v>
      </c>
      <c r="G653" s="1343">
        <v>44774</v>
      </c>
      <c r="H653" s="1343">
        <v>44804</v>
      </c>
      <c r="I653" s="1173">
        <v>4</v>
      </c>
      <c r="J653" s="1173" t="s">
        <v>677</v>
      </c>
      <c r="K653" s="1174" t="s">
        <v>678</v>
      </c>
      <c r="L653" s="1175" t="s">
        <v>951</v>
      </c>
      <c r="M653" s="1176">
        <v>13400000</v>
      </c>
      <c r="N653" s="1344" t="s">
        <v>1032</v>
      </c>
      <c r="O653" s="1171" t="s">
        <v>1033</v>
      </c>
      <c r="P653" s="1350" t="s">
        <v>682</v>
      </c>
      <c r="R653" s="1327">
        <v>13400000</v>
      </c>
      <c r="S653" s="1327"/>
      <c r="T653" s="1327">
        <f>+'PAA V30'!$R653-'PAA V30'!$S653</f>
        <v>13400000</v>
      </c>
      <c r="U653" s="1327"/>
      <c r="V653" s="1327"/>
      <c r="W653" s="1327" t="s">
        <v>1292</v>
      </c>
    </row>
    <row r="654" spans="1:23" s="1204" customFormat="1" ht="90" hidden="1" x14ac:dyDescent="0.2">
      <c r="A654" s="1169">
        <v>2022709</v>
      </c>
      <c r="B654" s="1169">
        <v>7658</v>
      </c>
      <c r="C654" s="1326" t="s">
        <v>673</v>
      </c>
      <c r="D654" s="1187" t="s">
        <v>693</v>
      </c>
      <c r="E654" s="1171">
        <v>80111600</v>
      </c>
      <c r="F654" s="1349" t="s">
        <v>1062</v>
      </c>
      <c r="G654" s="1343">
        <v>44774</v>
      </c>
      <c r="H654" s="1343">
        <v>44804</v>
      </c>
      <c r="I654" s="1173">
        <v>4</v>
      </c>
      <c r="J654" s="1173" t="s">
        <v>677</v>
      </c>
      <c r="K654" s="1174" t="s">
        <v>678</v>
      </c>
      <c r="L654" s="1175" t="s">
        <v>951</v>
      </c>
      <c r="M654" s="1176">
        <v>13200000</v>
      </c>
      <c r="N654" s="1344" t="s">
        <v>1032</v>
      </c>
      <c r="O654" s="1171" t="s">
        <v>1033</v>
      </c>
      <c r="P654" s="1350" t="s">
        <v>682</v>
      </c>
      <c r="R654" s="1327">
        <v>13200000</v>
      </c>
      <c r="S654" s="1327"/>
      <c r="T654" s="1327">
        <f>+'PAA V30'!$R654-'PAA V30'!$S654</f>
        <v>13200000</v>
      </c>
      <c r="U654" s="1327"/>
      <c r="V654" s="1327"/>
      <c r="W654" s="1327" t="s">
        <v>1292</v>
      </c>
    </row>
    <row r="655" spans="1:23" s="1204" customFormat="1" ht="90" hidden="1" x14ac:dyDescent="0.2">
      <c r="A655" s="1169">
        <v>2022710</v>
      </c>
      <c r="B655" s="1169">
        <v>7658</v>
      </c>
      <c r="C655" s="1326" t="s">
        <v>673</v>
      </c>
      <c r="D655" s="1187" t="s">
        <v>693</v>
      </c>
      <c r="E655" s="1171">
        <v>80111600</v>
      </c>
      <c r="F655" s="1349" t="s">
        <v>1069</v>
      </c>
      <c r="G655" s="1343">
        <v>44774</v>
      </c>
      <c r="H655" s="1343">
        <v>44804</v>
      </c>
      <c r="I655" s="1173">
        <v>4</v>
      </c>
      <c r="J655" s="1173" t="s">
        <v>677</v>
      </c>
      <c r="K655" s="1174" t="s">
        <v>678</v>
      </c>
      <c r="L655" s="1175" t="s">
        <v>951</v>
      </c>
      <c r="M655" s="1176">
        <v>19400000</v>
      </c>
      <c r="N655" s="1344" t="s">
        <v>1032</v>
      </c>
      <c r="O655" s="1171" t="s">
        <v>1033</v>
      </c>
      <c r="P655" s="1350" t="s">
        <v>682</v>
      </c>
      <c r="R655" s="1327">
        <v>19400000</v>
      </c>
      <c r="S655" s="1327"/>
      <c r="T655" s="1327">
        <f>+'PAA V30'!$R655-'PAA V30'!$S655</f>
        <v>19400000</v>
      </c>
      <c r="U655" s="1327"/>
      <c r="V655" s="1327"/>
      <c r="W655" s="1327" t="s">
        <v>1292</v>
      </c>
    </row>
    <row r="656" spans="1:23" s="1204" customFormat="1" ht="90" hidden="1" x14ac:dyDescent="0.2">
      <c r="A656" s="1169">
        <v>2022711</v>
      </c>
      <c r="B656" s="1169">
        <v>7658</v>
      </c>
      <c r="C656" s="1326" t="s">
        <v>673</v>
      </c>
      <c r="D656" s="1187" t="s">
        <v>693</v>
      </c>
      <c r="E656" s="1171">
        <v>80111600</v>
      </c>
      <c r="F656" s="1349" t="s">
        <v>1069</v>
      </c>
      <c r="G656" s="1343">
        <v>44774</v>
      </c>
      <c r="H656" s="1343">
        <v>44804</v>
      </c>
      <c r="I656" s="1173">
        <v>4</v>
      </c>
      <c r="J656" s="1173" t="s">
        <v>677</v>
      </c>
      <c r="K656" s="1174" t="s">
        <v>678</v>
      </c>
      <c r="L656" s="1175" t="s">
        <v>951</v>
      </c>
      <c r="M656" s="1176">
        <v>14000000</v>
      </c>
      <c r="N656" s="1344" t="s">
        <v>1032</v>
      </c>
      <c r="O656" s="1171" t="s">
        <v>1033</v>
      </c>
      <c r="P656" s="1350" t="s">
        <v>682</v>
      </c>
      <c r="R656" s="1327">
        <v>14000000</v>
      </c>
      <c r="S656" s="1327"/>
      <c r="T656" s="1327">
        <f>+'PAA V30'!$R656-'PAA V30'!$S656</f>
        <v>14000000</v>
      </c>
      <c r="U656" s="1327"/>
      <c r="V656" s="1327"/>
      <c r="W656" s="1327"/>
    </row>
    <row r="657" spans="1:23" s="1204" customFormat="1" ht="90" hidden="1" x14ac:dyDescent="0.2">
      <c r="A657" s="1169">
        <v>2022712</v>
      </c>
      <c r="B657" s="1169">
        <v>7658</v>
      </c>
      <c r="C657" s="1326" t="s">
        <v>673</v>
      </c>
      <c r="D657" s="1187" t="s">
        <v>693</v>
      </c>
      <c r="E657" s="1171">
        <v>80111600</v>
      </c>
      <c r="F657" s="1349" t="s">
        <v>1072</v>
      </c>
      <c r="G657" s="1343">
        <v>44774</v>
      </c>
      <c r="H657" s="1343">
        <v>44804</v>
      </c>
      <c r="I657" s="1173">
        <v>4</v>
      </c>
      <c r="J657" s="1173" t="s">
        <v>677</v>
      </c>
      <c r="K657" s="1174" t="s">
        <v>678</v>
      </c>
      <c r="L657" s="1175" t="s">
        <v>951</v>
      </c>
      <c r="M657" s="1176">
        <v>20000000</v>
      </c>
      <c r="N657" s="1344" t="s">
        <v>1032</v>
      </c>
      <c r="O657" s="1171" t="s">
        <v>1033</v>
      </c>
      <c r="P657" s="1350" t="s">
        <v>682</v>
      </c>
      <c r="R657" s="1327">
        <v>20000000</v>
      </c>
      <c r="S657" s="1327"/>
      <c r="T657" s="1327">
        <f>+'PAA V30'!$R657-'PAA V30'!$S657</f>
        <v>20000000</v>
      </c>
      <c r="U657" s="1327"/>
      <c r="V657" s="1327"/>
      <c r="W657" s="1327"/>
    </row>
    <row r="658" spans="1:23" s="1204" customFormat="1" ht="90" hidden="1" x14ac:dyDescent="0.2">
      <c r="A658" s="1169">
        <v>2022713</v>
      </c>
      <c r="B658" s="1169">
        <v>7658</v>
      </c>
      <c r="C658" s="1326" t="s">
        <v>673</v>
      </c>
      <c r="D658" s="1187" t="s">
        <v>693</v>
      </c>
      <c r="E658" s="1171">
        <v>80111600</v>
      </c>
      <c r="F658" s="1349" t="s">
        <v>1078</v>
      </c>
      <c r="G658" s="1343">
        <v>44774</v>
      </c>
      <c r="H658" s="1343">
        <v>44804</v>
      </c>
      <c r="I658" s="1173">
        <v>4</v>
      </c>
      <c r="J658" s="1173" t="s">
        <v>677</v>
      </c>
      <c r="K658" s="1174" t="s">
        <v>678</v>
      </c>
      <c r="L658" s="1175" t="s">
        <v>951</v>
      </c>
      <c r="M658" s="1176">
        <v>32000000</v>
      </c>
      <c r="N658" s="1344" t="s">
        <v>1032</v>
      </c>
      <c r="O658" s="1171" t="s">
        <v>1033</v>
      </c>
      <c r="P658" s="1350" t="s">
        <v>682</v>
      </c>
      <c r="R658" s="1327">
        <v>32000000</v>
      </c>
      <c r="S658" s="1327"/>
      <c r="T658" s="1327">
        <f>+'PAA V30'!$R658-'PAA V30'!$S658</f>
        <v>32000000</v>
      </c>
      <c r="U658" s="1327"/>
      <c r="V658" s="1327"/>
      <c r="W658" s="1327" t="s">
        <v>1050</v>
      </c>
    </row>
    <row r="659" spans="1:23" s="1204" customFormat="1" ht="90" hidden="1" x14ac:dyDescent="0.2">
      <c r="A659" s="1169">
        <v>2022714</v>
      </c>
      <c r="B659" s="1169">
        <v>7658</v>
      </c>
      <c r="C659" s="1326" t="s">
        <v>673</v>
      </c>
      <c r="D659" s="1187" t="s">
        <v>693</v>
      </c>
      <c r="E659" s="1171">
        <v>80111600</v>
      </c>
      <c r="F659" s="1349" t="s">
        <v>1079</v>
      </c>
      <c r="G659" s="1343">
        <v>44774</v>
      </c>
      <c r="H659" s="1343">
        <v>44804</v>
      </c>
      <c r="I659" s="1173">
        <v>4</v>
      </c>
      <c r="J659" s="1173" t="s">
        <v>677</v>
      </c>
      <c r="K659" s="1174" t="s">
        <v>678</v>
      </c>
      <c r="L659" s="1175" t="s">
        <v>951</v>
      </c>
      <c r="M659" s="1176">
        <v>18800000</v>
      </c>
      <c r="N659" s="1344" t="s">
        <v>1032</v>
      </c>
      <c r="O659" s="1171" t="s">
        <v>1033</v>
      </c>
      <c r="P659" s="1350" t="s">
        <v>682</v>
      </c>
      <c r="R659" s="1327">
        <v>18800000</v>
      </c>
      <c r="S659" s="1327"/>
      <c r="T659" s="1327">
        <f>+'PAA V30'!$R659-'PAA V30'!$S659</f>
        <v>18800000</v>
      </c>
      <c r="U659" s="1327"/>
      <c r="V659" s="1327"/>
      <c r="W659" s="1327" t="s">
        <v>1050</v>
      </c>
    </row>
    <row r="660" spans="1:23" s="1204" customFormat="1" ht="105" hidden="1" x14ac:dyDescent="0.2">
      <c r="A660" s="1169">
        <v>2022716</v>
      </c>
      <c r="B660" s="1169">
        <v>7637</v>
      </c>
      <c r="C660" s="1326" t="s">
        <v>645</v>
      </c>
      <c r="D660" s="1187" t="s">
        <v>674</v>
      </c>
      <c r="E660" s="1171" t="s">
        <v>1293</v>
      </c>
      <c r="F660" s="1349" t="s">
        <v>1294</v>
      </c>
      <c r="G660" s="1343">
        <v>44782</v>
      </c>
      <c r="H660" s="1343">
        <v>44802</v>
      </c>
      <c r="I660" s="1173">
        <v>12</v>
      </c>
      <c r="J660" s="1173" t="s">
        <v>721</v>
      </c>
      <c r="K660" s="1174" t="s">
        <v>774</v>
      </c>
      <c r="L660" s="1175" t="s">
        <v>951</v>
      </c>
      <c r="M660" s="1176">
        <f>132000000-12048000</f>
        <v>119952000</v>
      </c>
      <c r="N660" s="1186" t="s">
        <v>680</v>
      </c>
      <c r="O660" s="1171" t="s">
        <v>681</v>
      </c>
      <c r="P660" s="1267" t="s">
        <v>682</v>
      </c>
      <c r="R660" s="1266">
        <v>132000000</v>
      </c>
      <c r="S660" s="1327"/>
      <c r="T660" s="1327">
        <f>+'PAA V30'!$R660-'PAA V30'!$S660</f>
        <v>132000000</v>
      </c>
      <c r="U660" s="1327"/>
      <c r="V660" s="1327"/>
      <c r="W660" s="1327"/>
    </row>
    <row r="661" spans="1:23" s="1204" customFormat="1" ht="105" hidden="1" x14ac:dyDescent="0.2">
      <c r="A661" s="1169">
        <v>2022717</v>
      </c>
      <c r="B661" s="1169">
        <v>7637</v>
      </c>
      <c r="C661" s="1326" t="s">
        <v>645</v>
      </c>
      <c r="D661" s="1187" t="s">
        <v>674</v>
      </c>
      <c r="E661" s="1171" t="s">
        <v>1295</v>
      </c>
      <c r="F661" s="1349" t="s">
        <v>1296</v>
      </c>
      <c r="G661" s="1343">
        <v>44820</v>
      </c>
      <c r="H661" s="1343">
        <v>44849</v>
      </c>
      <c r="I661" s="1173">
        <v>3</v>
      </c>
      <c r="J661" s="1173" t="s">
        <v>721</v>
      </c>
      <c r="K661" s="1174" t="s">
        <v>774</v>
      </c>
      <c r="L661" s="1175" t="s">
        <v>951</v>
      </c>
      <c r="M661" s="1176">
        <v>4000000</v>
      </c>
      <c r="N661" s="1186" t="s">
        <v>680</v>
      </c>
      <c r="O661" s="1171" t="s">
        <v>681</v>
      </c>
      <c r="P661" s="1350" t="s">
        <v>682</v>
      </c>
      <c r="R661" s="1266">
        <v>4000000</v>
      </c>
      <c r="S661" s="1327"/>
      <c r="T661" s="1327">
        <f>+'PAA V30'!$R661-'PAA V30'!$S661</f>
        <v>4000000</v>
      </c>
      <c r="U661" s="1327"/>
      <c r="V661" s="1327"/>
      <c r="W661" s="1327"/>
    </row>
    <row r="662" spans="1:23" s="1204" customFormat="1" ht="105" hidden="1" x14ac:dyDescent="0.2">
      <c r="A662" s="1169">
        <v>2022718</v>
      </c>
      <c r="B662" s="1169">
        <v>7655</v>
      </c>
      <c r="C662" s="1326" t="s">
        <v>648</v>
      </c>
      <c r="D662" s="1187" t="s">
        <v>690</v>
      </c>
      <c r="E662" s="1171">
        <v>80111600</v>
      </c>
      <c r="F662" s="1349" t="s">
        <v>1297</v>
      </c>
      <c r="G662" s="1343">
        <v>44757</v>
      </c>
      <c r="H662" s="1343" t="s">
        <v>97</v>
      </c>
      <c r="I662" s="1173">
        <v>1</v>
      </c>
      <c r="J662" s="1173" t="s">
        <v>677</v>
      </c>
      <c r="K662" s="1174" t="s">
        <v>678</v>
      </c>
      <c r="L662" s="1175" t="s">
        <v>951</v>
      </c>
      <c r="M662" s="1176">
        <v>2750000</v>
      </c>
      <c r="N662" s="1344" t="s">
        <v>784</v>
      </c>
      <c r="O662" s="1171" t="s">
        <v>771</v>
      </c>
      <c r="P662" s="1350" t="s">
        <v>751</v>
      </c>
      <c r="R662" s="1266">
        <v>2750000</v>
      </c>
      <c r="S662" s="1327"/>
      <c r="T662" s="1327">
        <f>+'PAA V30'!$R662-'PAA V30'!$S662</f>
        <v>2750000</v>
      </c>
      <c r="U662" s="1327"/>
      <c r="V662" s="1327"/>
      <c r="W662" s="1327"/>
    </row>
    <row r="663" spans="1:23" s="1204" customFormat="1" ht="75" hidden="1" x14ac:dyDescent="0.2">
      <c r="A663" s="1169">
        <v>2022719</v>
      </c>
      <c r="B663" s="1169">
        <v>7655</v>
      </c>
      <c r="C663" s="1326" t="s">
        <v>648</v>
      </c>
      <c r="D663" s="1187" t="s">
        <v>690</v>
      </c>
      <c r="E663" s="1171" t="s">
        <v>781</v>
      </c>
      <c r="F663" s="1349" t="s">
        <v>1298</v>
      </c>
      <c r="G663" s="1343">
        <v>44757</v>
      </c>
      <c r="H663" s="1343" t="s">
        <v>97</v>
      </c>
      <c r="I663" s="1173">
        <v>3</v>
      </c>
      <c r="J663" s="1173" t="s">
        <v>677</v>
      </c>
      <c r="K663" s="1174" t="s">
        <v>678</v>
      </c>
      <c r="L663" s="1175" t="s">
        <v>951</v>
      </c>
      <c r="M663" s="1176">
        <v>13500000</v>
      </c>
      <c r="N663" s="1344" t="s">
        <v>784</v>
      </c>
      <c r="O663" s="1171" t="s">
        <v>771</v>
      </c>
      <c r="P663" s="1350" t="s">
        <v>751</v>
      </c>
      <c r="R663" s="1266">
        <v>13500000</v>
      </c>
      <c r="S663" s="1327"/>
      <c r="T663" s="1327">
        <f>+'PAA V30'!$R663-'PAA V30'!$S663</f>
        <v>13500000</v>
      </c>
      <c r="U663" s="1327"/>
      <c r="V663" s="1327"/>
      <c r="W663" s="1327"/>
    </row>
    <row r="664" spans="1:23" s="1204" customFormat="1" ht="105" hidden="1" x14ac:dyDescent="0.2">
      <c r="A664" s="1169">
        <v>2022720</v>
      </c>
      <c r="B664" s="1169">
        <v>7637</v>
      </c>
      <c r="C664" s="1326" t="s">
        <v>645</v>
      </c>
      <c r="D664" s="1187" t="s">
        <v>674</v>
      </c>
      <c r="E664" s="1171">
        <v>43233200</v>
      </c>
      <c r="F664" s="1349" t="s">
        <v>1299</v>
      </c>
      <c r="G664" s="1343">
        <v>44713</v>
      </c>
      <c r="H664" s="1343">
        <v>44772</v>
      </c>
      <c r="I664" s="1173">
        <v>3</v>
      </c>
      <c r="J664" s="1173" t="s">
        <v>721</v>
      </c>
      <c r="K664" s="1174" t="s">
        <v>678</v>
      </c>
      <c r="L664" s="1175" t="s">
        <v>951</v>
      </c>
      <c r="M664" s="1176">
        <f>35000000-3100000</f>
        <v>31900000</v>
      </c>
      <c r="N664" s="1344" t="s">
        <v>707</v>
      </c>
      <c r="O664" s="1171" t="s">
        <v>681</v>
      </c>
      <c r="P664" s="1218" t="s">
        <v>682</v>
      </c>
      <c r="R664" s="1266">
        <v>35000000</v>
      </c>
      <c r="S664" s="1327"/>
      <c r="T664" s="1327">
        <f>+'PAA V30'!$R664-'PAA V30'!$S664</f>
        <v>35000000</v>
      </c>
      <c r="U664" s="1327"/>
      <c r="V664" s="1327"/>
      <c r="W664" s="1327"/>
    </row>
    <row r="665" spans="1:23" s="1204" customFormat="1" ht="90" hidden="1" x14ac:dyDescent="0.2">
      <c r="A665" s="1169">
        <v>2022721</v>
      </c>
      <c r="B665" s="1169">
        <v>7655</v>
      </c>
      <c r="C665" s="1326" t="s">
        <v>648</v>
      </c>
      <c r="D665" s="1187" t="s">
        <v>674</v>
      </c>
      <c r="E665" s="1171">
        <v>80111600</v>
      </c>
      <c r="F665" s="1349" t="s">
        <v>1300</v>
      </c>
      <c r="G665" s="1343">
        <v>44743</v>
      </c>
      <c r="H665" s="1343">
        <v>44773</v>
      </c>
      <c r="I665" s="1173">
        <v>3</v>
      </c>
      <c r="J665" s="1173" t="s">
        <v>677</v>
      </c>
      <c r="K665" s="1174" t="s">
        <v>678</v>
      </c>
      <c r="L665" s="1175" t="s">
        <v>951</v>
      </c>
      <c r="M665" s="1176">
        <v>13500000</v>
      </c>
      <c r="N665" s="1344" t="s">
        <v>784</v>
      </c>
      <c r="O665" s="1171" t="s">
        <v>771</v>
      </c>
      <c r="P665" s="1218" t="s">
        <v>759</v>
      </c>
      <c r="R665" s="1266">
        <v>13500000</v>
      </c>
      <c r="S665" s="1327"/>
      <c r="T665" s="1327">
        <f>+'PAA V30'!$R665-'PAA V30'!$S665</f>
        <v>13500000</v>
      </c>
      <c r="U665" s="1327"/>
      <c r="V665" s="1327"/>
      <c r="W665" s="1327"/>
    </row>
    <row r="666" spans="1:23" s="1204" customFormat="1" ht="135" hidden="1" x14ac:dyDescent="0.2">
      <c r="A666" s="1169">
        <v>2022722</v>
      </c>
      <c r="B666" s="1169">
        <v>7658</v>
      </c>
      <c r="C666" s="1326" t="s">
        <v>673</v>
      </c>
      <c r="D666" s="1187" t="s">
        <v>699</v>
      </c>
      <c r="E666" s="1171">
        <v>80111600</v>
      </c>
      <c r="F666" s="1349" t="s">
        <v>1301</v>
      </c>
      <c r="G666" s="1343">
        <v>44774</v>
      </c>
      <c r="H666" s="1343">
        <v>44774</v>
      </c>
      <c r="I666" s="1173">
        <v>6</v>
      </c>
      <c r="J666" s="1173" t="s">
        <v>677</v>
      </c>
      <c r="K666" s="1174" t="s">
        <v>678</v>
      </c>
      <c r="L666" s="1175" t="s">
        <v>951</v>
      </c>
      <c r="M666" s="1176">
        <f>33000000-17600000</f>
        <v>15400000</v>
      </c>
      <c r="N666" s="1344" t="s">
        <v>772</v>
      </c>
      <c r="O666" s="1171" t="s">
        <v>915</v>
      </c>
      <c r="P666" s="1218" t="s">
        <v>682</v>
      </c>
      <c r="R666" s="1266">
        <v>0</v>
      </c>
      <c r="S666" s="1327"/>
      <c r="T666" s="1327">
        <f>+'PAA V30'!$R666-'PAA V30'!$S666</f>
        <v>0</v>
      </c>
      <c r="U666" s="1327"/>
      <c r="V666" s="1327"/>
      <c r="W666" s="1327"/>
    </row>
    <row r="667" spans="1:23" s="1204" customFormat="1" ht="75" hidden="1" x14ac:dyDescent="0.2">
      <c r="A667" s="1169">
        <v>2022723</v>
      </c>
      <c r="B667" s="1169">
        <v>7655</v>
      </c>
      <c r="C667" s="1326" t="s">
        <v>648</v>
      </c>
      <c r="D667" s="1187" t="s">
        <v>683</v>
      </c>
      <c r="E667" s="1171">
        <v>80111600</v>
      </c>
      <c r="F667" s="1349" t="s">
        <v>1302</v>
      </c>
      <c r="G667" s="1343">
        <v>44774</v>
      </c>
      <c r="H667" s="1343">
        <v>44774</v>
      </c>
      <c r="I667" s="1173">
        <v>0.4</v>
      </c>
      <c r="J667" s="1173" t="s">
        <v>677</v>
      </c>
      <c r="K667" s="1174" t="s">
        <v>678</v>
      </c>
      <c r="L667" s="1175" t="s">
        <v>951</v>
      </c>
      <c r="M667" s="1176">
        <v>1363000</v>
      </c>
      <c r="N667" s="1344" t="s">
        <v>784</v>
      </c>
      <c r="O667" s="1171" t="s">
        <v>771</v>
      </c>
      <c r="P667" s="1218" t="s">
        <v>759</v>
      </c>
      <c r="R667" s="1266">
        <v>1363000</v>
      </c>
      <c r="S667" s="1327"/>
      <c r="T667" s="1327">
        <f>+'PAA V30'!$R667-'PAA V30'!$S667</f>
        <v>1363000</v>
      </c>
      <c r="U667" s="1327"/>
      <c r="V667" s="1327"/>
      <c r="W667" s="1327" t="s">
        <v>1303</v>
      </c>
    </row>
    <row r="668" spans="1:23" s="1204" customFormat="1" ht="120" hidden="1" x14ac:dyDescent="0.2">
      <c r="A668" s="1169">
        <v>2022725</v>
      </c>
      <c r="B668" s="1169">
        <v>7658</v>
      </c>
      <c r="C668" s="1326" t="s">
        <v>673</v>
      </c>
      <c r="D668" s="1187" t="s">
        <v>690</v>
      </c>
      <c r="E668" s="1171">
        <v>80111600</v>
      </c>
      <c r="F668" s="1349" t="s">
        <v>936</v>
      </c>
      <c r="G668" s="1343">
        <v>44788</v>
      </c>
      <c r="H668" s="1343">
        <v>44783</v>
      </c>
      <c r="I668" s="1173">
        <v>6</v>
      </c>
      <c r="J668" s="1173" t="s">
        <v>677</v>
      </c>
      <c r="K668" s="1174" t="s">
        <v>678</v>
      </c>
      <c r="L668" s="1175" t="s">
        <v>951</v>
      </c>
      <c r="M668" s="1176">
        <v>43800000</v>
      </c>
      <c r="N668" s="1344" t="s">
        <v>931</v>
      </c>
      <c r="O668" s="1171" t="s">
        <v>915</v>
      </c>
      <c r="P668" s="1218" t="s">
        <v>682</v>
      </c>
      <c r="R668" s="1266">
        <v>0</v>
      </c>
      <c r="S668" s="1327"/>
      <c r="T668" s="1327">
        <f>+'PAA V30'!$R668-'PAA V30'!$S668</f>
        <v>0</v>
      </c>
      <c r="U668" s="1327"/>
      <c r="V668" s="1327"/>
      <c r="W668" s="1327"/>
    </row>
    <row r="669" spans="1:23" s="1204" customFormat="1" ht="120" hidden="1" x14ac:dyDescent="0.2">
      <c r="A669" s="1169">
        <v>2022726</v>
      </c>
      <c r="B669" s="1169">
        <v>7658</v>
      </c>
      <c r="C669" s="1326" t="s">
        <v>673</v>
      </c>
      <c r="D669" s="1187" t="s">
        <v>690</v>
      </c>
      <c r="E669" s="1171">
        <v>80111600</v>
      </c>
      <c r="F669" s="1349" t="s">
        <v>936</v>
      </c>
      <c r="G669" s="1343">
        <v>44788</v>
      </c>
      <c r="H669" s="1343">
        <v>44783</v>
      </c>
      <c r="I669" s="1173">
        <v>6</v>
      </c>
      <c r="J669" s="1173" t="s">
        <v>677</v>
      </c>
      <c r="K669" s="1174" t="s">
        <v>678</v>
      </c>
      <c r="L669" s="1175" t="s">
        <v>951</v>
      </c>
      <c r="M669" s="1176">
        <f>43800000-9513242-1436758</f>
        <v>32850000</v>
      </c>
      <c r="N669" s="1344" t="s">
        <v>931</v>
      </c>
      <c r="O669" s="1171" t="s">
        <v>915</v>
      </c>
      <c r="P669" s="1218" t="s">
        <v>682</v>
      </c>
      <c r="R669" s="1266">
        <v>0</v>
      </c>
      <c r="S669" s="1327"/>
      <c r="T669" s="1327">
        <f>+'PAA V30'!$R669-'PAA V30'!$S669</f>
        <v>0</v>
      </c>
      <c r="U669" s="1327"/>
      <c r="V669" s="1327"/>
      <c r="W669" s="1327"/>
    </row>
    <row r="670" spans="1:23" s="1204" customFormat="1" ht="120" hidden="1" x14ac:dyDescent="0.2">
      <c r="A670" s="1169">
        <v>2022727</v>
      </c>
      <c r="B670" s="1169">
        <v>7658</v>
      </c>
      <c r="C670" s="1326" t="s">
        <v>673</v>
      </c>
      <c r="D670" s="1187" t="s">
        <v>690</v>
      </c>
      <c r="E670" s="1171">
        <v>80111600</v>
      </c>
      <c r="F670" s="1349" t="s">
        <v>936</v>
      </c>
      <c r="G670" s="1343">
        <v>44788</v>
      </c>
      <c r="H670" s="1343">
        <v>44783</v>
      </c>
      <c r="I670" s="1173">
        <v>6</v>
      </c>
      <c r="J670" s="1173" t="s">
        <v>677</v>
      </c>
      <c r="K670" s="1174" t="s">
        <v>678</v>
      </c>
      <c r="L670" s="1175" t="s">
        <v>951</v>
      </c>
      <c r="M670" s="1176">
        <f>43800000-10950000</f>
        <v>32850000</v>
      </c>
      <c r="N670" s="1344" t="s">
        <v>931</v>
      </c>
      <c r="O670" s="1171" t="s">
        <v>915</v>
      </c>
      <c r="P670" s="1218" t="s">
        <v>682</v>
      </c>
      <c r="R670" s="1266">
        <v>0</v>
      </c>
      <c r="S670" s="1327"/>
      <c r="T670" s="1327">
        <f>+'PAA V30'!$R670-'PAA V30'!$S670</f>
        <v>0</v>
      </c>
      <c r="U670" s="1327"/>
      <c r="V670" s="1327"/>
      <c r="W670" s="1327"/>
    </row>
    <row r="671" spans="1:23" s="1204" customFormat="1" ht="120" hidden="1" x14ac:dyDescent="0.2">
      <c r="A671" s="1169">
        <v>2022728</v>
      </c>
      <c r="B671" s="1169">
        <v>7658</v>
      </c>
      <c r="C671" s="1326" t="s">
        <v>673</v>
      </c>
      <c r="D671" s="1187" t="s">
        <v>690</v>
      </c>
      <c r="E671" s="1171">
        <v>80111600</v>
      </c>
      <c r="F671" s="1349" t="s">
        <v>936</v>
      </c>
      <c r="G671" s="1343">
        <v>44788</v>
      </c>
      <c r="H671" s="1343">
        <v>44783</v>
      </c>
      <c r="I671" s="1173">
        <v>6</v>
      </c>
      <c r="J671" s="1173" t="s">
        <v>677</v>
      </c>
      <c r="K671" s="1174" t="s">
        <v>678</v>
      </c>
      <c r="L671" s="1175" t="s">
        <v>951</v>
      </c>
      <c r="M671" s="1176">
        <f>43800000-27000000-14104992-2695008</f>
        <v>0</v>
      </c>
      <c r="N671" s="1344" t="s">
        <v>931</v>
      </c>
      <c r="O671" s="1171" t="s">
        <v>915</v>
      </c>
      <c r="P671" s="1218" t="s">
        <v>682</v>
      </c>
      <c r="R671" s="1266">
        <v>0</v>
      </c>
      <c r="S671" s="1327"/>
      <c r="T671" s="1327">
        <f>+'PAA V30'!$R671-'PAA V30'!$S671</f>
        <v>0</v>
      </c>
      <c r="U671" s="1327"/>
      <c r="V671" s="1327"/>
      <c r="W671" s="1327"/>
    </row>
    <row r="672" spans="1:23" s="1204" customFormat="1" ht="120" hidden="1" x14ac:dyDescent="0.2">
      <c r="A672" s="1169">
        <v>2022729</v>
      </c>
      <c r="B672" s="1169">
        <v>7658</v>
      </c>
      <c r="C672" s="1326" t="s">
        <v>673</v>
      </c>
      <c r="D672" s="1187" t="s">
        <v>690</v>
      </c>
      <c r="E672" s="1171">
        <v>80111600</v>
      </c>
      <c r="F672" s="1349" t="s">
        <v>936</v>
      </c>
      <c r="G672" s="1343">
        <v>44788</v>
      </c>
      <c r="H672" s="1343">
        <v>44783</v>
      </c>
      <c r="I672" s="1173">
        <v>6</v>
      </c>
      <c r="J672" s="1173" t="s">
        <v>677</v>
      </c>
      <c r="K672" s="1174" t="s">
        <v>678</v>
      </c>
      <c r="L672" s="1175" t="s">
        <v>951</v>
      </c>
      <c r="M672" s="1176">
        <f>43800000-7675000-3275000</f>
        <v>32850000</v>
      </c>
      <c r="N672" s="1344" t="s">
        <v>931</v>
      </c>
      <c r="O672" s="1171" t="s">
        <v>915</v>
      </c>
      <c r="P672" s="1218" t="s">
        <v>682</v>
      </c>
      <c r="R672" s="1266">
        <v>0</v>
      </c>
      <c r="S672" s="1327"/>
      <c r="T672" s="1327">
        <f>+'PAA V30'!$R672-'PAA V30'!$S672</f>
        <v>0</v>
      </c>
      <c r="U672" s="1327"/>
      <c r="V672" s="1327"/>
      <c r="W672" s="1327"/>
    </row>
    <row r="673" spans="1:23" s="1204" customFormat="1" ht="120" hidden="1" x14ac:dyDescent="0.2">
      <c r="A673" s="1169">
        <v>2022730</v>
      </c>
      <c r="B673" s="1169">
        <v>7658</v>
      </c>
      <c r="C673" s="1326" t="s">
        <v>673</v>
      </c>
      <c r="D673" s="1187" t="s">
        <v>690</v>
      </c>
      <c r="E673" s="1171">
        <v>80111600</v>
      </c>
      <c r="F673" s="1349" t="s">
        <v>1304</v>
      </c>
      <c r="G673" s="1343">
        <v>44788</v>
      </c>
      <c r="H673" s="1343">
        <v>44783</v>
      </c>
      <c r="I673" s="1173">
        <v>1</v>
      </c>
      <c r="J673" s="1173" t="s">
        <v>677</v>
      </c>
      <c r="K673" s="1174" t="s">
        <v>678</v>
      </c>
      <c r="L673" s="1175" t="s">
        <v>951</v>
      </c>
      <c r="M673" s="1176">
        <f>9500000-5000000</f>
        <v>4500000</v>
      </c>
      <c r="N673" s="1344" t="s">
        <v>931</v>
      </c>
      <c r="O673" s="1171" t="s">
        <v>915</v>
      </c>
      <c r="P673" s="1218" t="s">
        <v>682</v>
      </c>
      <c r="R673" s="1266">
        <v>0</v>
      </c>
      <c r="S673" s="1327"/>
      <c r="T673" s="1327">
        <f>+'PAA V30'!$R673-'PAA V30'!$S673</f>
        <v>0</v>
      </c>
      <c r="U673" s="1327"/>
      <c r="V673" s="1327"/>
      <c r="W673" s="1327"/>
    </row>
    <row r="674" spans="1:23" s="1204" customFormat="1" ht="120" hidden="1" x14ac:dyDescent="0.2">
      <c r="A674" s="1169">
        <v>2022731</v>
      </c>
      <c r="B674" s="1169" t="s">
        <v>459</v>
      </c>
      <c r="C674" s="1326"/>
      <c r="D674" s="1187" t="s">
        <v>690</v>
      </c>
      <c r="E674" s="1171" t="s">
        <v>1145</v>
      </c>
      <c r="F674" s="1349" t="s">
        <v>1305</v>
      </c>
      <c r="G674" s="1343">
        <v>44788</v>
      </c>
      <c r="H674" s="1343">
        <v>44783</v>
      </c>
      <c r="I674" s="1173">
        <v>3</v>
      </c>
      <c r="J674" s="1173" t="s">
        <v>700</v>
      </c>
      <c r="K674" s="1174" t="s">
        <v>678</v>
      </c>
      <c r="L674" s="1175" t="s">
        <v>951</v>
      </c>
      <c r="M674" s="1176">
        <v>15000000</v>
      </c>
      <c r="N674" s="1344"/>
      <c r="O674" s="1171"/>
      <c r="P674" s="1218" t="s">
        <v>759</v>
      </c>
      <c r="R674" s="1327"/>
      <c r="S674" s="1327"/>
      <c r="T674" s="1327">
        <f>+'PAA V30'!$R674-'PAA V30'!$S674</f>
        <v>0</v>
      </c>
      <c r="U674" s="1327"/>
      <c r="V674" s="1327"/>
      <c r="W674" s="1327"/>
    </row>
    <row r="675" spans="1:23" s="1204" customFormat="1" ht="45" hidden="1" x14ac:dyDescent="0.2">
      <c r="A675" s="1169">
        <v>2022732</v>
      </c>
      <c r="B675" s="1169" t="s">
        <v>459</v>
      </c>
      <c r="C675" s="1326"/>
      <c r="D675" s="1187" t="s">
        <v>690</v>
      </c>
      <c r="E675" s="1171" t="s">
        <v>1153</v>
      </c>
      <c r="F675" s="1349" t="s">
        <v>1306</v>
      </c>
      <c r="G675" s="1343">
        <v>44782</v>
      </c>
      <c r="H675" s="1343">
        <v>44770</v>
      </c>
      <c r="I675" s="1173" t="s">
        <v>1307</v>
      </c>
      <c r="J675" s="1173" t="s">
        <v>647</v>
      </c>
      <c r="K675" s="1174" t="s">
        <v>678</v>
      </c>
      <c r="L675" s="1175" t="s">
        <v>951</v>
      </c>
      <c r="M675" s="1176">
        <v>348435865</v>
      </c>
      <c r="N675" s="1344"/>
      <c r="O675" s="1171"/>
      <c r="P675" s="1218" t="s">
        <v>759</v>
      </c>
      <c r="R675" s="1327"/>
      <c r="S675" s="1327"/>
      <c r="T675" s="1327">
        <f>+'PAA V30'!$R675-'PAA V30'!$S675</f>
        <v>0</v>
      </c>
      <c r="U675" s="1327"/>
      <c r="V675" s="1327"/>
      <c r="W675" s="1327"/>
    </row>
    <row r="676" spans="1:23" s="1204" customFormat="1" ht="105" hidden="1" x14ac:dyDescent="0.2">
      <c r="A676" s="1169">
        <v>2022733</v>
      </c>
      <c r="B676" s="1169">
        <v>7637</v>
      </c>
      <c r="C676" s="1326" t="s">
        <v>645</v>
      </c>
      <c r="D676" s="1187" t="s">
        <v>674</v>
      </c>
      <c r="E676" s="1171">
        <v>72151500</v>
      </c>
      <c r="F676" s="1349" t="s">
        <v>1308</v>
      </c>
      <c r="G676" s="1343">
        <v>44778</v>
      </c>
      <c r="H676" s="1343">
        <v>44788</v>
      </c>
      <c r="I676" s="1173">
        <v>1</v>
      </c>
      <c r="J676" s="1173" t="s">
        <v>697</v>
      </c>
      <c r="K676" s="1174" t="s">
        <v>678</v>
      </c>
      <c r="L676" s="1175" t="s">
        <v>951</v>
      </c>
      <c r="M676" s="1176">
        <f>6500000+17750000+10750000</f>
        <v>35000000</v>
      </c>
      <c r="N676" s="1186" t="s">
        <v>680</v>
      </c>
      <c r="O676" s="1171" t="s">
        <v>681</v>
      </c>
      <c r="P676" s="1350" t="s">
        <v>759</v>
      </c>
      <c r="R676" s="1266">
        <v>0</v>
      </c>
      <c r="S676" s="1327"/>
      <c r="T676" s="1327">
        <f>+'PAA V30'!$R676-'PAA V30'!$S676</f>
        <v>0</v>
      </c>
      <c r="U676" s="1327"/>
      <c r="V676" s="1327"/>
      <c r="W676" s="1327"/>
    </row>
    <row r="677" spans="1:23" s="1204" customFormat="1" ht="75" hidden="1" x14ac:dyDescent="0.2">
      <c r="A677" s="1169">
        <v>2022734</v>
      </c>
      <c r="B677" s="1169">
        <v>7655</v>
      </c>
      <c r="C677" s="1326" t="s">
        <v>648</v>
      </c>
      <c r="D677" s="1187" t="s">
        <v>674</v>
      </c>
      <c r="E677" s="1171">
        <v>80111600</v>
      </c>
      <c r="F677" s="1349" t="s">
        <v>1309</v>
      </c>
      <c r="G677" s="1343">
        <v>44788</v>
      </c>
      <c r="H677" s="1343">
        <v>44819</v>
      </c>
      <c r="I677" s="1173">
        <v>4.5</v>
      </c>
      <c r="J677" s="1173" t="s">
        <v>677</v>
      </c>
      <c r="K677" s="1174" t="s">
        <v>678</v>
      </c>
      <c r="L677" s="1175" t="s">
        <v>951</v>
      </c>
      <c r="M677" s="1176">
        <f>14400000-1000000</f>
        <v>13400000</v>
      </c>
      <c r="N677" s="1344" t="s">
        <v>784</v>
      </c>
      <c r="O677" s="1171" t="s">
        <v>771</v>
      </c>
      <c r="P677" s="1350" t="s">
        <v>682</v>
      </c>
      <c r="R677" s="1266">
        <v>0</v>
      </c>
      <c r="S677" s="1327"/>
      <c r="T677" s="1327">
        <f>+'PAA V30'!$R677-'PAA V30'!$S677</f>
        <v>0</v>
      </c>
      <c r="U677" s="1327"/>
      <c r="V677" s="1327"/>
      <c r="W677" s="1327"/>
    </row>
    <row r="678" spans="1:23" s="1204" customFormat="1" ht="105" hidden="1" x14ac:dyDescent="0.2">
      <c r="A678" s="1169">
        <v>2022735</v>
      </c>
      <c r="B678" s="1169">
        <v>7637</v>
      </c>
      <c r="C678" s="1326" t="s">
        <v>645</v>
      </c>
      <c r="D678" s="1187" t="s">
        <v>674</v>
      </c>
      <c r="E678" s="1171">
        <v>80111600</v>
      </c>
      <c r="F678" s="1349" t="s">
        <v>1310</v>
      </c>
      <c r="G678" s="1343">
        <v>44788</v>
      </c>
      <c r="H678" s="1343">
        <v>44819</v>
      </c>
      <c r="I678" s="1173">
        <v>4</v>
      </c>
      <c r="J678" s="1173" t="s">
        <v>677</v>
      </c>
      <c r="K678" s="1174" t="s">
        <v>678</v>
      </c>
      <c r="L678" s="1175" t="s">
        <v>951</v>
      </c>
      <c r="M678" s="1176">
        <f>15600000-1100000-1833333</f>
        <v>12666667</v>
      </c>
      <c r="N678" s="1186" t="s">
        <v>680</v>
      </c>
      <c r="O678" s="1171" t="s">
        <v>681</v>
      </c>
      <c r="P678" s="1218" t="s">
        <v>682</v>
      </c>
      <c r="R678" s="1266">
        <v>0</v>
      </c>
      <c r="S678" s="1327"/>
      <c r="T678" s="1327">
        <f>+'PAA V30'!$R678-'PAA V30'!$S678</f>
        <v>0</v>
      </c>
      <c r="U678" s="1327"/>
      <c r="V678" s="1327"/>
      <c r="W678" s="1327"/>
    </row>
    <row r="679" spans="1:23" s="1204" customFormat="1" ht="90" hidden="1" x14ac:dyDescent="0.2">
      <c r="A679" s="1169">
        <v>2022736</v>
      </c>
      <c r="B679" s="1169">
        <v>7655</v>
      </c>
      <c r="C679" s="1326" t="s">
        <v>648</v>
      </c>
      <c r="D679" s="1187" t="s">
        <v>674</v>
      </c>
      <c r="E679" s="1171" t="s">
        <v>1311</v>
      </c>
      <c r="F679" s="1349" t="s">
        <v>1312</v>
      </c>
      <c r="G679" s="1343">
        <v>44774</v>
      </c>
      <c r="H679" s="1343">
        <v>44804</v>
      </c>
      <c r="I679" s="1173">
        <v>2</v>
      </c>
      <c r="J679" s="1173" t="s">
        <v>700</v>
      </c>
      <c r="K679" s="1174" t="s">
        <v>678</v>
      </c>
      <c r="L679" s="1175" t="s">
        <v>951</v>
      </c>
      <c r="M679" s="1176">
        <f>45000000-3500000</f>
        <v>41500000</v>
      </c>
      <c r="N679" s="1344" t="s">
        <v>784</v>
      </c>
      <c r="O679" s="1171" t="s">
        <v>771</v>
      </c>
      <c r="P679" s="1218" t="s">
        <v>682</v>
      </c>
      <c r="R679" s="1266">
        <v>0</v>
      </c>
      <c r="S679" s="1327"/>
      <c r="T679" s="1327">
        <f>+'PAA V30'!$R679-'PAA V30'!$S679</f>
        <v>0</v>
      </c>
      <c r="U679" s="1327"/>
      <c r="V679" s="1327"/>
      <c r="W679" s="1327"/>
    </row>
    <row r="680" spans="1:23" s="1204" customFormat="1" ht="150" hidden="1" x14ac:dyDescent="0.2">
      <c r="A680" s="1169">
        <v>2022737</v>
      </c>
      <c r="B680" s="1169">
        <v>7658</v>
      </c>
      <c r="C680" s="1326" t="s">
        <v>673</v>
      </c>
      <c r="D680" s="1187" t="s">
        <v>699</v>
      </c>
      <c r="E680" s="1171">
        <v>80111600</v>
      </c>
      <c r="F680" s="1349" t="s">
        <v>1313</v>
      </c>
      <c r="G680" s="1343">
        <v>44774</v>
      </c>
      <c r="H680" s="1343">
        <v>44774</v>
      </c>
      <c r="I680" s="1173">
        <v>5</v>
      </c>
      <c r="J680" s="1173" t="s">
        <v>677</v>
      </c>
      <c r="K680" s="1174" t="s">
        <v>678</v>
      </c>
      <c r="L680" s="1175" t="s">
        <v>951</v>
      </c>
      <c r="M680" s="1176">
        <f>30000000-2000000</f>
        <v>28000000</v>
      </c>
      <c r="N680" s="1344" t="s">
        <v>772</v>
      </c>
      <c r="O680" s="1171" t="s">
        <v>915</v>
      </c>
      <c r="P680" s="1218" t="s">
        <v>682</v>
      </c>
      <c r="R680" s="1266">
        <v>0</v>
      </c>
      <c r="S680" s="1327"/>
      <c r="T680" s="1327">
        <f>+'PAA V30'!$R680-'PAA V30'!$S680</f>
        <v>0</v>
      </c>
      <c r="U680" s="1327"/>
      <c r="V680" s="1327"/>
      <c r="W680" s="1327"/>
    </row>
    <row r="681" spans="1:23" s="1204" customFormat="1" ht="75" hidden="1" x14ac:dyDescent="0.2">
      <c r="A681" s="1169">
        <v>2022738</v>
      </c>
      <c r="B681" s="1169">
        <v>7658</v>
      </c>
      <c r="C681" s="1326" t="s">
        <v>673</v>
      </c>
      <c r="D681" s="1187" t="s">
        <v>696</v>
      </c>
      <c r="E681" s="1171">
        <v>80111600</v>
      </c>
      <c r="F681" s="1349" t="s">
        <v>985</v>
      </c>
      <c r="G681" s="1343">
        <v>44784</v>
      </c>
      <c r="H681" s="1343">
        <v>44791</v>
      </c>
      <c r="I681" s="1173">
        <v>4</v>
      </c>
      <c r="J681" s="1173" t="s">
        <v>677</v>
      </c>
      <c r="K681" s="1174" t="s">
        <v>678</v>
      </c>
      <c r="L681" s="1175" t="s">
        <v>951</v>
      </c>
      <c r="M681" s="1176">
        <v>20700000</v>
      </c>
      <c r="N681" s="1344" t="s">
        <v>765</v>
      </c>
      <c r="O681" s="1171" t="s">
        <v>764</v>
      </c>
      <c r="P681" s="1350" t="s">
        <v>682</v>
      </c>
      <c r="R681" s="1266">
        <v>0</v>
      </c>
      <c r="S681" s="1327"/>
      <c r="T681" s="1327">
        <f>+'PAA V30'!$R681-'PAA V30'!$S681</f>
        <v>0</v>
      </c>
      <c r="U681" s="1327"/>
      <c r="V681" s="1327"/>
      <c r="W681" s="1327"/>
    </row>
    <row r="682" spans="1:23" s="1204" customFormat="1" ht="75" hidden="1" x14ac:dyDescent="0.2">
      <c r="A682" s="1169">
        <v>2022739</v>
      </c>
      <c r="B682" s="1169">
        <v>7658</v>
      </c>
      <c r="C682" s="1326" t="s">
        <v>673</v>
      </c>
      <c r="D682" s="1187" t="s">
        <v>696</v>
      </c>
      <c r="E682" s="1171">
        <v>80111600</v>
      </c>
      <c r="F682" s="1349" t="s">
        <v>977</v>
      </c>
      <c r="G682" s="1343">
        <v>44789</v>
      </c>
      <c r="H682" s="1343">
        <v>44797</v>
      </c>
      <c r="I682" s="1173">
        <v>4</v>
      </c>
      <c r="J682" s="1173" t="s">
        <v>677</v>
      </c>
      <c r="K682" s="1174" t="s">
        <v>678</v>
      </c>
      <c r="L682" s="1175" t="s">
        <v>951</v>
      </c>
      <c r="M682" s="1176">
        <v>9800000</v>
      </c>
      <c r="N682" s="1344" t="s">
        <v>765</v>
      </c>
      <c r="O682" s="1171" t="s">
        <v>764</v>
      </c>
      <c r="P682" s="1350" t="s">
        <v>682</v>
      </c>
      <c r="R682" s="1266">
        <v>0</v>
      </c>
      <c r="S682" s="1327"/>
      <c r="T682" s="1327">
        <f>+'PAA V30'!$R682-'PAA V30'!$S682</f>
        <v>0</v>
      </c>
      <c r="U682" s="1327"/>
      <c r="V682" s="1327"/>
      <c r="W682" s="1327"/>
    </row>
    <row r="683" spans="1:23" s="1204" customFormat="1" ht="75" hidden="1" x14ac:dyDescent="0.2">
      <c r="A683" s="1169">
        <v>2022740</v>
      </c>
      <c r="B683" s="1169">
        <v>7658</v>
      </c>
      <c r="C683" s="1326" t="s">
        <v>673</v>
      </c>
      <c r="D683" s="1187" t="s">
        <v>696</v>
      </c>
      <c r="E683" s="1171">
        <v>80111600</v>
      </c>
      <c r="F683" s="1349" t="s">
        <v>1314</v>
      </c>
      <c r="G683" s="1343">
        <v>44784</v>
      </c>
      <c r="H683" s="1343">
        <v>44793</v>
      </c>
      <c r="I683" s="1173">
        <v>3</v>
      </c>
      <c r="J683" s="1173" t="s">
        <v>677</v>
      </c>
      <c r="K683" s="1174" t="s">
        <v>678</v>
      </c>
      <c r="L683" s="1175" t="s">
        <v>951</v>
      </c>
      <c r="M683" s="1176">
        <f>16953300-3912300</f>
        <v>13041000</v>
      </c>
      <c r="N683" s="1344" t="s">
        <v>765</v>
      </c>
      <c r="O683" s="1171" t="s">
        <v>764</v>
      </c>
      <c r="P683" s="1350" t="s">
        <v>682</v>
      </c>
      <c r="R683" s="1266">
        <v>0</v>
      </c>
      <c r="S683" s="1327"/>
      <c r="T683" s="1327">
        <f>+'PAA V30'!$R683-'PAA V30'!$S683</f>
        <v>0</v>
      </c>
      <c r="U683" s="1327"/>
      <c r="V683" s="1327"/>
      <c r="W683" s="1327"/>
    </row>
    <row r="684" spans="1:23" s="1204" customFormat="1" ht="75" hidden="1" x14ac:dyDescent="0.2">
      <c r="A684" s="1169">
        <v>2022741</v>
      </c>
      <c r="B684" s="1169">
        <v>7658</v>
      </c>
      <c r="C684" s="1326" t="s">
        <v>673</v>
      </c>
      <c r="D684" s="1187" t="s">
        <v>696</v>
      </c>
      <c r="E684" s="1171">
        <v>80111600</v>
      </c>
      <c r="F684" s="1349" t="s">
        <v>1315</v>
      </c>
      <c r="G684" s="1343">
        <v>44796</v>
      </c>
      <c r="H684" s="1343">
        <v>44804</v>
      </c>
      <c r="I684" s="1173">
        <v>3.5</v>
      </c>
      <c r="J684" s="1173" t="s">
        <v>677</v>
      </c>
      <c r="K684" s="1174" t="s">
        <v>678</v>
      </c>
      <c r="L684" s="1175" t="s">
        <v>951</v>
      </c>
      <c r="M684" s="1176">
        <v>13475000</v>
      </c>
      <c r="N684" s="1344" t="s">
        <v>765</v>
      </c>
      <c r="O684" s="1171" t="s">
        <v>764</v>
      </c>
      <c r="P684" s="1218" t="s">
        <v>759</v>
      </c>
      <c r="R684" s="1266">
        <v>0</v>
      </c>
      <c r="S684" s="1327"/>
      <c r="T684" s="1327">
        <f>+'PAA V30'!$R684-'PAA V30'!$S684</f>
        <v>0</v>
      </c>
      <c r="U684" s="1327"/>
      <c r="V684" s="1327"/>
      <c r="W684" s="1327"/>
    </row>
    <row r="685" spans="1:23" s="1204" customFormat="1" ht="75" hidden="1" x14ac:dyDescent="0.2">
      <c r="A685" s="1169">
        <v>2022742</v>
      </c>
      <c r="B685" s="1169">
        <v>7655</v>
      </c>
      <c r="C685" s="1326" t="s">
        <v>648</v>
      </c>
      <c r="D685" s="1187" t="s">
        <v>696</v>
      </c>
      <c r="E685" s="1171">
        <v>80111600</v>
      </c>
      <c r="F685" s="1349" t="s">
        <v>846</v>
      </c>
      <c r="G685" s="1343">
        <v>44783</v>
      </c>
      <c r="H685" s="1343">
        <v>44790</v>
      </c>
      <c r="I685" s="1173">
        <v>4</v>
      </c>
      <c r="J685" s="1173" t="s">
        <v>677</v>
      </c>
      <c r="K685" s="1174" t="s">
        <v>678</v>
      </c>
      <c r="L685" s="1175" t="s">
        <v>951</v>
      </c>
      <c r="M685" s="1176">
        <v>15940000</v>
      </c>
      <c r="N685" s="1344" t="s">
        <v>784</v>
      </c>
      <c r="O685" s="1171" t="s">
        <v>771</v>
      </c>
      <c r="P685" s="1218" t="s">
        <v>682</v>
      </c>
      <c r="R685" s="1266">
        <v>0</v>
      </c>
      <c r="S685" s="1327"/>
      <c r="T685" s="1327">
        <f>+'PAA V30'!$R685-'PAA V30'!$S685</f>
        <v>0</v>
      </c>
      <c r="U685" s="1327"/>
      <c r="V685" s="1327"/>
      <c r="W685" s="1327"/>
    </row>
    <row r="686" spans="1:23" s="1204" customFormat="1" ht="75" hidden="1" x14ac:dyDescent="0.2">
      <c r="A686" s="1169">
        <v>2022743</v>
      </c>
      <c r="B686" s="1169">
        <v>7655</v>
      </c>
      <c r="C686" s="1326" t="s">
        <v>648</v>
      </c>
      <c r="D686" s="1187" t="s">
        <v>696</v>
      </c>
      <c r="E686" s="1171">
        <v>80111600</v>
      </c>
      <c r="F686" s="1349" t="s">
        <v>847</v>
      </c>
      <c r="G686" s="1343">
        <v>44783</v>
      </c>
      <c r="H686" s="1343">
        <v>44790</v>
      </c>
      <c r="I686" s="1173">
        <v>4</v>
      </c>
      <c r="J686" s="1173" t="s">
        <v>677</v>
      </c>
      <c r="K686" s="1174" t="s">
        <v>678</v>
      </c>
      <c r="L686" s="1175" t="s">
        <v>951</v>
      </c>
      <c r="M686" s="1176">
        <v>9800000</v>
      </c>
      <c r="N686" s="1344" t="s">
        <v>784</v>
      </c>
      <c r="O686" s="1171" t="s">
        <v>771</v>
      </c>
      <c r="P686" s="1218" t="s">
        <v>682</v>
      </c>
      <c r="R686" s="1266">
        <v>0</v>
      </c>
      <c r="S686" s="1327"/>
      <c r="T686" s="1327">
        <f>+'PAA V30'!$R686-'PAA V30'!$S686</f>
        <v>0</v>
      </c>
      <c r="U686" s="1327"/>
      <c r="V686" s="1327"/>
      <c r="W686" s="1327"/>
    </row>
    <row r="687" spans="1:23" s="1204" customFormat="1" ht="75" hidden="1" x14ac:dyDescent="0.2">
      <c r="A687" s="1169">
        <v>2022744</v>
      </c>
      <c r="B687" s="1169">
        <v>7655</v>
      </c>
      <c r="C687" s="1326" t="s">
        <v>648</v>
      </c>
      <c r="D687" s="1187" t="s">
        <v>696</v>
      </c>
      <c r="E687" s="1171">
        <v>80111600</v>
      </c>
      <c r="F687" s="1171" t="s">
        <v>1316</v>
      </c>
      <c r="G687" s="1343">
        <v>44784</v>
      </c>
      <c r="H687" s="1343">
        <v>44794</v>
      </c>
      <c r="I687" s="1173">
        <v>4</v>
      </c>
      <c r="J687" s="1173" t="s">
        <v>677</v>
      </c>
      <c r="K687" s="1174" t="s">
        <v>678</v>
      </c>
      <c r="L687" s="1175" t="s">
        <v>951</v>
      </c>
      <c r="M687" s="1176">
        <f>12898333-92333-381000</f>
        <v>12425000</v>
      </c>
      <c r="N687" s="1344" t="s">
        <v>784</v>
      </c>
      <c r="O687" s="1171" t="s">
        <v>771</v>
      </c>
      <c r="P687" s="1218" t="s">
        <v>759</v>
      </c>
      <c r="R687" s="1266">
        <v>0</v>
      </c>
      <c r="S687" s="1327"/>
      <c r="T687" s="1327">
        <f>+'PAA V30'!$R687-'PAA V30'!$S687</f>
        <v>0</v>
      </c>
      <c r="U687" s="1327"/>
      <c r="V687" s="1327"/>
      <c r="W687" s="1327"/>
    </row>
    <row r="688" spans="1:23" s="1204" customFormat="1" ht="75" hidden="1" x14ac:dyDescent="0.2">
      <c r="A688" s="1169">
        <v>2022746</v>
      </c>
      <c r="B688" s="1169">
        <v>7655</v>
      </c>
      <c r="C688" s="1326" t="s">
        <v>648</v>
      </c>
      <c r="D688" s="1187" t="s">
        <v>696</v>
      </c>
      <c r="E688" s="1171">
        <v>80111600</v>
      </c>
      <c r="F688" s="1171" t="s">
        <v>854</v>
      </c>
      <c r="G688" s="1343">
        <v>44784</v>
      </c>
      <c r="H688" s="1343">
        <v>44791</v>
      </c>
      <c r="I688" s="1173">
        <v>3</v>
      </c>
      <c r="J688" s="1173" t="s">
        <v>677</v>
      </c>
      <c r="K688" s="1174" t="s">
        <v>678</v>
      </c>
      <c r="L688" s="1175" t="s">
        <v>951</v>
      </c>
      <c r="M688" s="1176">
        <f>29200000-11200000-921000</f>
        <v>17079000</v>
      </c>
      <c r="N688" s="1344" t="s">
        <v>784</v>
      </c>
      <c r="O688" s="1171" t="s">
        <v>771</v>
      </c>
      <c r="P688" s="1218" t="s">
        <v>682</v>
      </c>
      <c r="R688" s="1266">
        <v>0</v>
      </c>
      <c r="S688" s="1327"/>
      <c r="T688" s="1327">
        <f>+'PAA V30'!$R688-'PAA V30'!$S688</f>
        <v>0</v>
      </c>
      <c r="U688" s="1327"/>
      <c r="V688" s="1327"/>
      <c r="W688" s="1327"/>
    </row>
    <row r="689" spans="1:23" s="1204" customFormat="1" ht="75" hidden="1" x14ac:dyDescent="0.2">
      <c r="A689" s="1169">
        <v>2022747</v>
      </c>
      <c r="B689" s="1169">
        <v>7655</v>
      </c>
      <c r="C689" s="1326" t="s">
        <v>648</v>
      </c>
      <c r="D689" s="1187" t="s">
        <v>696</v>
      </c>
      <c r="E689" s="1171">
        <v>80111600</v>
      </c>
      <c r="F689" s="1171" t="s">
        <v>852</v>
      </c>
      <c r="G689" s="1343">
        <v>44784</v>
      </c>
      <c r="H689" s="1343">
        <v>44793</v>
      </c>
      <c r="I689" s="1173">
        <v>5</v>
      </c>
      <c r="J689" s="1173" t="s">
        <v>677</v>
      </c>
      <c r="K689" s="1174" t="s">
        <v>678</v>
      </c>
      <c r="L689" s="1175" t="s">
        <v>951</v>
      </c>
      <c r="M689" s="1176">
        <f>16560000-1104000</f>
        <v>15456000</v>
      </c>
      <c r="N689" s="1344" t="s">
        <v>784</v>
      </c>
      <c r="O689" s="1171" t="s">
        <v>771</v>
      </c>
      <c r="P689" s="1218" t="s">
        <v>682</v>
      </c>
      <c r="R689" s="1266">
        <v>0</v>
      </c>
      <c r="S689" s="1327"/>
      <c r="T689" s="1327">
        <f>+'PAA V30'!$R689-'PAA V30'!$S689</f>
        <v>0</v>
      </c>
      <c r="U689" s="1327"/>
      <c r="V689" s="1327"/>
      <c r="W689" s="1327"/>
    </row>
    <row r="690" spans="1:23" s="1204" customFormat="1" ht="75" hidden="1" x14ac:dyDescent="0.2">
      <c r="A690" s="1169">
        <v>2022748</v>
      </c>
      <c r="B690" s="1169">
        <v>7655</v>
      </c>
      <c r="C690" s="1326" t="s">
        <v>648</v>
      </c>
      <c r="D690" s="1187" t="s">
        <v>696</v>
      </c>
      <c r="E690" s="1171">
        <v>80111600</v>
      </c>
      <c r="F690" s="1171" t="s">
        <v>1317</v>
      </c>
      <c r="G690" s="1343">
        <v>44784</v>
      </c>
      <c r="H690" s="1343">
        <v>44794</v>
      </c>
      <c r="I690" s="1173">
        <v>4</v>
      </c>
      <c r="J690" s="1173" t="s">
        <v>677</v>
      </c>
      <c r="K690" s="1174" t="s">
        <v>678</v>
      </c>
      <c r="L690" s="1175" t="s">
        <v>951</v>
      </c>
      <c r="M690" s="1176">
        <f>18457500-345000</f>
        <v>18112500</v>
      </c>
      <c r="N690" s="1344" t="s">
        <v>784</v>
      </c>
      <c r="O690" s="1171" t="s">
        <v>771</v>
      </c>
      <c r="P690" s="1218" t="s">
        <v>759</v>
      </c>
      <c r="R690" s="1266">
        <v>0</v>
      </c>
      <c r="S690" s="1327"/>
      <c r="T690" s="1327">
        <f>+'PAA V30'!$R690-'PAA V30'!$S690</f>
        <v>0</v>
      </c>
      <c r="U690" s="1327"/>
      <c r="V690" s="1327"/>
      <c r="W690" s="1327"/>
    </row>
    <row r="691" spans="1:23" s="1204" customFormat="1" ht="90" hidden="1" x14ac:dyDescent="0.2">
      <c r="A691" s="1169">
        <v>2022750</v>
      </c>
      <c r="B691" s="1169">
        <v>7655</v>
      </c>
      <c r="C691" s="1326" t="s">
        <v>648</v>
      </c>
      <c r="D691" s="1187" t="s">
        <v>696</v>
      </c>
      <c r="E691" s="1171">
        <v>80111600</v>
      </c>
      <c r="F691" s="1171" t="s">
        <v>1318</v>
      </c>
      <c r="G691" s="1343">
        <v>44784</v>
      </c>
      <c r="H691" s="1343">
        <v>44793</v>
      </c>
      <c r="I691" s="1173">
        <v>4</v>
      </c>
      <c r="J691" s="1173" t="s">
        <v>677</v>
      </c>
      <c r="K691" s="1174" t="s">
        <v>678</v>
      </c>
      <c r="L691" s="1175" t="s">
        <v>951</v>
      </c>
      <c r="M691" s="1176">
        <f>11385000-181500-336000</f>
        <v>10867500</v>
      </c>
      <c r="N691" s="1344" t="s">
        <v>784</v>
      </c>
      <c r="O691" s="1171" t="s">
        <v>771</v>
      </c>
      <c r="P691" s="1218" t="s">
        <v>759</v>
      </c>
      <c r="R691" s="1266">
        <v>0</v>
      </c>
      <c r="S691" s="1327"/>
      <c r="T691" s="1327">
        <f>+'PAA V30'!$R691-'PAA V30'!$S691</f>
        <v>0</v>
      </c>
      <c r="U691" s="1327"/>
      <c r="V691" s="1327"/>
      <c r="W691" s="1327"/>
    </row>
    <row r="692" spans="1:23" s="1204" customFormat="1" ht="75" hidden="1" x14ac:dyDescent="0.2">
      <c r="A692" s="1169">
        <v>2022751</v>
      </c>
      <c r="B692" s="1169">
        <v>7655</v>
      </c>
      <c r="C692" s="1326" t="s">
        <v>648</v>
      </c>
      <c r="D692" s="1187" t="s">
        <v>696</v>
      </c>
      <c r="E692" s="1171">
        <v>80111600</v>
      </c>
      <c r="F692" s="1171" t="s">
        <v>848</v>
      </c>
      <c r="G692" s="1343">
        <v>44792</v>
      </c>
      <c r="H692" s="1343">
        <v>44799</v>
      </c>
      <c r="I692" s="1173">
        <v>4</v>
      </c>
      <c r="J692" s="1173" t="s">
        <v>677</v>
      </c>
      <c r="K692" s="1174" t="s">
        <v>678</v>
      </c>
      <c r="L692" s="1175" t="s">
        <v>951</v>
      </c>
      <c r="M692" s="1176">
        <f>20400000-5100000-5100000</f>
        <v>10200000</v>
      </c>
      <c r="N692" s="1344" t="s">
        <v>784</v>
      </c>
      <c r="O692" s="1171" t="s">
        <v>771</v>
      </c>
      <c r="P692" s="1218" t="s">
        <v>682</v>
      </c>
      <c r="R692" s="1266">
        <v>0</v>
      </c>
      <c r="S692" s="1327"/>
      <c r="T692" s="1327">
        <f>+'PAA V30'!$R692-'PAA V30'!$S692</f>
        <v>0</v>
      </c>
      <c r="U692" s="1327"/>
      <c r="V692" s="1327"/>
      <c r="W692" s="1327"/>
    </row>
    <row r="693" spans="1:23" s="1204" customFormat="1" ht="75" hidden="1" x14ac:dyDescent="0.2">
      <c r="A693" s="1169">
        <v>2022752</v>
      </c>
      <c r="B693" s="1169">
        <v>7655</v>
      </c>
      <c r="C693" s="1326" t="s">
        <v>648</v>
      </c>
      <c r="D693" s="1187" t="s">
        <v>696</v>
      </c>
      <c r="E693" s="1171">
        <v>80111600</v>
      </c>
      <c r="F693" s="1171" t="s">
        <v>862</v>
      </c>
      <c r="G693" s="1343">
        <v>44796</v>
      </c>
      <c r="H693" s="1343">
        <v>44804</v>
      </c>
      <c r="I693" s="1173">
        <v>3</v>
      </c>
      <c r="J693" s="1173" t="s">
        <v>677</v>
      </c>
      <c r="K693" s="1174" t="s">
        <v>678</v>
      </c>
      <c r="L693" s="1175" t="s">
        <v>951</v>
      </c>
      <c r="M693" s="1176">
        <f>18112500-2587500</f>
        <v>15525000</v>
      </c>
      <c r="N693" s="1344" t="s">
        <v>784</v>
      </c>
      <c r="O693" s="1171" t="s">
        <v>771</v>
      </c>
      <c r="P693" s="1218" t="s">
        <v>682</v>
      </c>
      <c r="R693" s="1266">
        <v>0</v>
      </c>
      <c r="S693" s="1327"/>
      <c r="T693" s="1327">
        <f>+'PAA V30'!$R693-'PAA V30'!$S693</f>
        <v>0</v>
      </c>
      <c r="U693" s="1327"/>
      <c r="V693" s="1327"/>
      <c r="W693" s="1327"/>
    </row>
    <row r="694" spans="1:23" s="1204" customFormat="1" ht="75" hidden="1" x14ac:dyDescent="0.2">
      <c r="A694" s="1169">
        <v>2022760</v>
      </c>
      <c r="B694" s="1169">
        <v>7655</v>
      </c>
      <c r="C694" s="1326" t="s">
        <v>648</v>
      </c>
      <c r="D694" s="1187" t="s">
        <v>690</v>
      </c>
      <c r="E694" s="1171" t="s">
        <v>781</v>
      </c>
      <c r="F694" s="1171" t="s">
        <v>1319</v>
      </c>
      <c r="G694" s="1343">
        <v>44788</v>
      </c>
      <c r="H694" s="1343">
        <v>44778</v>
      </c>
      <c r="I694" s="1173">
        <v>4</v>
      </c>
      <c r="J694" s="1173" t="s">
        <v>677</v>
      </c>
      <c r="K694" s="1174" t="s">
        <v>678</v>
      </c>
      <c r="L694" s="1175" t="s">
        <v>951</v>
      </c>
      <c r="M694" s="1176">
        <v>26000000</v>
      </c>
      <c r="N694" s="1344" t="s">
        <v>784</v>
      </c>
      <c r="O694" s="1171" t="s">
        <v>771</v>
      </c>
      <c r="P694" s="1350" t="s">
        <v>682</v>
      </c>
      <c r="R694" s="1266">
        <v>0</v>
      </c>
      <c r="S694" s="1327"/>
      <c r="T694" s="1327">
        <f>+'PAA V30'!$R694-'PAA V30'!$S694</f>
        <v>0</v>
      </c>
      <c r="U694" s="1327"/>
      <c r="V694" s="1327"/>
      <c r="W694" s="1327"/>
    </row>
    <row r="695" spans="1:23" s="1204" customFormat="1" ht="90" hidden="1" x14ac:dyDescent="0.2">
      <c r="A695" s="1169">
        <v>2022761</v>
      </c>
      <c r="B695" s="1169">
        <v>7655</v>
      </c>
      <c r="C695" s="1326" t="s">
        <v>648</v>
      </c>
      <c r="D695" s="1187" t="s">
        <v>690</v>
      </c>
      <c r="E695" s="1171" t="s">
        <v>781</v>
      </c>
      <c r="F695" s="1171" t="s">
        <v>1320</v>
      </c>
      <c r="G695" s="1343">
        <v>44788</v>
      </c>
      <c r="H695" s="1343">
        <v>44778</v>
      </c>
      <c r="I695" s="1173">
        <v>4</v>
      </c>
      <c r="J695" s="1173" t="s">
        <v>677</v>
      </c>
      <c r="K695" s="1174" t="s">
        <v>678</v>
      </c>
      <c r="L695" s="1175" t="s">
        <v>951</v>
      </c>
      <c r="M695" s="1176">
        <f>11000000-2750000</f>
        <v>8250000</v>
      </c>
      <c r="N695" s="1344" t="s">
        <v>784</v>
      </c>
      <c r="O695" s="1171" t="s">
        <v>771</v>
      </c>
      <c r="P695" s="1267" t="s">
        <v>682</v>
      </c>
      <c r="R695" s="1266">
        <v>0</v>
      </c>
      <c r="S695" s="1327"/>
      <c r="T695" s="1327">
        <f>+'PAA V30'!$R695-'PAA V30'!$S695</f>
        <v>0</v>
      </c>
      <c r="U695" s="1327"/>
      <c r="V695" s="1327"/>
      <c r="W695" s="1327"/>
    </row>
    <row r="696" spans="1:23" s="1204" customFormat="1" ht="75" hidden="1" x14ac:dyDescent="0.2">
      <c r="A696" s="1169">
        <v>2022762</v>
      </c>
      <c r="B696" s="1169">
        <v>7655</v>
      </c>
      <c r="C696" s="1326" t="s">
        <v>648</v>
      </c>
      <c r="D696" s="1187" t="s">
        <v>690</v>
      </c>
      <c r="E696" s="1171" t="s">
        <v>781</v>
      </c>
      <c r="F696" s="1171" t="s">
        <v>1321</v>
      </c>
      <c r="G696" s="1343">
        <v>44788</v>
      </c>
      <c r="H696" s="1343">
        <v>44778</v>
      </c>
      <c r="I696" s="1173">
        <v>5</v>
      </c>
      <c r="J696" s="1173" t="s">
        <v>677</v>
      </c>
      <c r="K696" s="1174" t="s">
        <v>678</v>
      </c>
      <c r="L696" s="1175" t="s">
        <v>951</v>
      </c>
      <c r="M696" s="1176">
        <f>19250000-3000000-850000</f>
        <v>15400000</v>
      </c>
      <c r="N696" s="1344" t="s">
        <v>784</v>
      </c>
      <c r="O696" s="1171" t="s">
        <v>771</v>
      </c>
      <c r="P696" s="1267" t="s">
        <v>682</v>
      </c>
      <c r="R696" s="1266">
        <v>0</v>
      </c>
      <c r="S696" s="1327"/>
      <c r="T696" s="1327">
        <f>+'PAA V30'!$R696-'PAA V30'!$S696</f>
        <v>0</v>
      </c>
      <c r="U696" s="1327"/>
      <c r="V696" s="1327"/>
      <c r="W696" s="1327"/>
    </row>
    <row r="697" spans="1:23" s="1204" customFormat="1" ht="75" hidden="1" x14ac:dyDescent="0.2">
      <c r="A697" s="1169">
        <v>2022763</v>
      </c>
      <c r="B697" s="1169">
        <v>7655</v>
      </c>
      <c r="C697" s="1326" t="s">
        <v>648</v>
      </c>
      <c r="D697" s="1187" t="s">
        <v>690</v>
      </c>
      <c r="E697" s="1171" t="s">
        <v>781</v>
      </c>
      <c r="F697" s="1171" t="s">
        <v>1322</v>
      </c>
      <c r="G697" s="1343">
        <v>44788</v>
      </c>
      <c r="H697" s="1343">
        <v>44778</v>
      </c>
      <c r="I697" s="1173">
        <v>5</v>
      </c>
      <c r="J697" s="1173" t="s">
        <v>677</v>
      </c>
      <c r="K697" s="1174" t="s">
        <v>678</v>
      </c>
      <c r="L697" s="1175" t="s">
        <v>951</v>
      </c>
      <c r="M697" s="1176">
        <f>27500000-4290065-1209945</f>
        <v>21999990</v>
      </c>
      <c r="N697" s="1344" t="s">
        <v>784</v>
      </c>
      <c r="O697" s="1171" t="s">
        <v>771</v>
      </c>
      <c r="P697" s="1267" t="s">
        <v>682</v>
      </c>
      <c r="R697" s="1266">
        <v>0</v>
      </c>
      <c r="S697" s="1327"/>
      <c r="T697" s="1327">
        <f>+'PAA V30'!$R697-'PAA V30'!$S697</f>
        <v>0</v>
      </c>
      <c r="U697" s="1327"/>
      <c r="V697" s="1327"/>
      <c r="W697" s="1327"/>
    </row>
    <row r="698" spans="1:23" s="1204" customFormat="1" ht="90" hidden="1" x14ac:dyDescent="0.2">
      <c r="A698" s="1169">
        <v>2022764</v>
      </c>
      <c r="B698" s="1169">
        <v>7655</v>
      </c>
      <c r="C698" s="1326" t="s">
        <v>648</v>
      </c>
      <c r="D698" s="1187" t="s">
        <v>690</v>
      </c>
      <c r="E698" s="1171" t="s">
        <v>781</v>
      </c>
      <c r="F698" s="1171" t="s">
        <v>1323</v>
      </c>
      <c r="G698" s="1343">
        <v>44788</v>
      </c>
      <c r="H698" s="1343">
        <v>44778</v>
      </c>
      <c r="I698" s="1173">
        <v>5</v>
      </c>
      <c r="J698" s="1173" t="s">
        <v>677</v>
      </c>
      <c r="K698" s="1174" t="s">
        <v>678</v>
      </c>
      <c r="L698" s="1175" t="s">
        <v>951</v>
      </c>
      <c r="M698" s="1176">
        <f>27500000-4539166-960834</f>
        <v>22000000</v>
      </c>
      <c r="N698" s="1344" t="s">
        <v>784</v>
      </c>
      <c r="O698" s="1171" t="s">
        <v>771</v>
      </c>
      <c r="P698" s="1267" t="s">
        <v>682</v>
      </c>
      <c r="R698" s="1266">
        <v>0</v>
      </c>
      <c r="S698" s="1327"/>
      <c r="T698" s="1327">
        <f>+'PAA V30'!$R698-'PAA V30'!$S698</f>
        <v>0</v>
      </c>
      <c r="U698" s="1327"/>
      <c r="V698" s="1327"/>
      <c r="W698" s="1327"/>
    </row>
    <row r="699" spans="1:23" s="1204" customFormat="1" ht="105" hidden="1" x14ac:dyDescent="0.2">
      <c r="A699" s="1169">
        <v>2022765</v>
      </c>
      <c r="B699" s="1169">
        <v>7655</v>
      </c>
      <c r="C699" s="1326" t="s">
        <v>648</v>
      </c>
      <c r="D699" s="1187" t="s">
        <v>690</v>
      </c>
      <c r="E699" s="1171" t="s">
        <v>781</v>
      </c>
      <c r="F699" s="1363" t="s">
        <v>1324</v>
      </c>
      <c r="G699" s="1343">
        <v>44788</v>
      </c>
      <c r="H699" s="1343">
        <v>44778</v>
      </c>
      <c r="I699" s="1173">
        <v>1</v>
      </c>
      <c r="J699" s="1173" t="s">
        <v>677</v>
      </c>
      <c r="K699" s="1174" t="s">
        <v>678</v>
      </c>
      <c r="L699" s="1175" t="s">
        <v>951</v>
      </c>
      <c r="M699" s="1176">
        <v>2750000</v>
      </c>
      <c r="N699" s="1344" t="s">
        <v>784</v>
      </c>
      <c r="O699" s="1171" t="s">
        <v>771</v>
      </c>
      <c r="P699" s="1218" t="s">
        <v>682</v>
      </c>
      <c r="R699" s="1327"/>
      <c r="S699" s="1327"/>
      <c r="T699" s="1327">
        <f>+'PAA V30'!$R699-'PAA V30'!$S699</f>
        <v>0</v>
      </c>
      <c r="U699" s="1327"/>
      <c r="V699" s="1327"/>
      <c r="W699" s="1327"/>
    </row>
    <row r="700" spans="1:23" s="1204" customFormat="1" ht="90" hidden="1" x14ac:dyDescent="0.2">
      <c r="A700" s="1169">
        <v>2022766</v>
      </c>
      <c r="B700" s="1169">
        <v>7655</v>
      </c>
      <c r="C700" s="1326" t="s">
        <v>648</v>
      </c>
      <c r="D700" s="1187" t="s">
        <v>674</v>
      </c>
      <c r="E700" s="1171">
        <v>80111600</v>
      </c>
      <c r="F700" s="1171" t="s">
        <v>1325</v>
      </c>
      <c r="G700" s="1343">
        <v>44788</v>
      </c>
      <c r="H700" s="1343">
        <v>44819</v>
      </c>
      <c r="I700" s="1173">
        <v>3.5</v>
      </c>
      <c r="J700" s="1173" t="s">
        <v>677</v>
      </c>
      <c r="K700" s="1174" t="s">
        <v>678</v>
      </c>
      <c r="L700" s="1175" t="s">
        <v>951</v>
      </c>
      <c r="M700" s="1176">
        <v>24000000</v>
      </c>
      <c r="N700" s="1344" t="s">
        <v>784</v>
      </c>
      <c r="O700" s="1171" t="s">
        <v>771</v>
      </c>
      <c r="P700" s="1350" t="s">
        <v>751</v>
      </c>
      <c r="R700" s="1327"/>
      <c r="S700" s="1327"/>
      <c r="T700" s="1327">
        <f>+'PAA V30'!$R700-'PAA V30'!$S700</f>
        <v>0</v>
      </c>
      <c r="U700" s="1327"/>
      <c r="V700" s="1327"/>
      <c r="W700" s="1327"/>
    </row>
    <row r="701" spans="1:23" s="1204" customFormat="1" ht="75" hidden="1" x14ac:dyDescent="0.2">
      <c r="A701" s="1169">
        <v>2022767</v>
      </c>
      <c r="B701" s="1169">
        <v>7655</v>
      </c>
      <c r="C701" s="1326" t="s">
        <v>648</v>
      </c>
      <c r="D701" s="1187" t="s">
        <v>674</v>
      </c>
      <c r="E701" s="1171">
        <v>80111600</v>
      </c>
      <c r="F701" s="1186" t="s">
        <v>1326</v>
      </c>
      <c r="G701" s="1343">
        <v>44788</v>
      </c>
      <c r="H701" s="1343">
        <v>44819</v>
      </c>
      <c r="I701" s="1173">
        <v>3</v>
      </c>
      <c r="J701" s="1173" t="s">
        <v>677</v>
      </c>
      <c r="K701" s="1174" t="s">
        <v>678</v>
      </c>
      <c r="L701" s="1175" t="s">
        <v>951</v>
      </c>
      <c r="M701" s="1176">
        <v>15000000</v>
      </c>
      <c r="N701" s="1344" t="s">
        <v>784</v>
      </c>
      <c r="O701" s="1171" t="s">
        <v>771</v>
      </c>
      <c r="P701" s="1267" t="s">
        <v>751</v>
      </c>
      <c r="R701" s="1327"/>
      <c r="S701" s="1327"/>
      <c r="T701" s="1327">
        <f>+'PAA V30'!$R701-'PAA V30'!$S701</f>
        <v>0</v>
      </c>
      <c r="U701" s="1327"/>
      <c r="V701" s="1327"/>
      <c r="W701" s="1327"/>
    </row>
    <row r="702" spans="1:23" s="1204" customFormat="1" ht="75" hidden="1" x14ac:dyDescent="0.2">
      <c r="A702" s="1169">
        <v>2022768</v>
      </c>
      <c r="B702" s="1169">
        <v>7655</v>
      </c>
      <c r="C702" s="1326" t="s">
        <v>648</v>
      </c>
      <c r="D702" s="1187" t="s">
        <v>674</v>
      </c>
      <c r="E702" s="1171">
        <v>80111600</v>
      </c>
      <c r="F702" s="1171" t="s">
        <v>1327</v>
      </c>
      <c r="G702" s="1343">
        <v>44788</v>
      </c>
      <c r="H702" s="1343">
        <v>44819</v>
      </c>
      <c r="I702" s="1173">
        <v>3</v>
      </c>
      <c r="J702" s="1173" t="s">
        <v>677</v>
      </c>
      <c r="K702" s="1174" t="s">
        <v>678</v>
      </c>
      <c r="L702" s="1175" t="s">
        <v>951</v>
      </c>
      <c r="M702" s="1176">
        <v>13500000</v>
      </c>
      <c r="N702" s="1344" t="s">
        <v>784</v>
      </c>
      <c r="O702" s="1171" t="s">
        <v>771</v>
      </c>
      <c r="P702" s="1218" t="s">
        <v>759</v>
      </c>
      <c r="R702" s="1327"/>
      <c r="S702" s="1327"/>
      <c r="T702" s="1327">
        <f>+'PAA V30'!$R702-'PAA V30'!$S702</f>
        <v>0</v>
      </c>
      <c r="U702" s="1327"/>
      <c r="V702" s="1327"/>
      <c r="W702" s="1327"/>
    </row>
    <row r="703" spans="1:23" s="1204" customFormat="1" ht="75" hidden="1" x14ac:dyDescent="0.2">
      <c r="A703" s="1169">
        <v>2022769</v>
      </c>
      <c r="B703" s="1169">
        <v>7655</v>
      </c>
      <c r="C703" s="1326" t="s">
        <v>648</v>
      </c>
      <c r="D703" s="1187" t="s">
        <v>674</v>
      </c>
      <c r="E703" s="1171">
        <v>80111600</v>
      </c>
      <c r="F703" s="1171" t="s">
        <v>1328</v>
      </c>
      <c r="G703" s="1343">
        <v>44788</v>
      </c>
      <c r="H703" s="1343">
        <v>44819</v>
      </c>
      <c r="I703" s="1173">
        <v>3</v>
      </c>
      <c r="J703" s="1173" t="s">
        <v>677</v>
      </c>
      <c r="K703" s="1174" t="s">
        <v>678</v>
      </c>
      <c r="L703" s="1175" t="s">
        <v>951</v>
      </c>
      <c r="M703" s="1176">
        <v>13500000</v>
      </c>
      <c r="N703" s="1344" t="s">
        <v>784</v>
      </c>
      <c r="O703" s="1171" t="s">
        <v>771</v>
      </c>
      <c r="P703" s="1218" t="s">
        <v>759</v>
      </c>
      <c r="R703" s="1327"/>
      <c r="S703" s="1327"/>
      <c r="T703" s="1327">
        <f>+'PAA V30'!$R703-'PAA V30'!$S703</f>
        <v>0</v>
      </c>
      <c r="U703" s="1327"/>
      <c r="V703" s="1327"/>
      <c r="W703" s="1327"/>
    </row>
    <row r="704" spans="1:23" s="1204" customFormat="1" ht="105" hidden="1" x14ac:dyDescent="0.2">
      <c r="A704" s="1169">
        <v>2022770</v>
      </c>
      <c r="B704" s="1169">
        <v>7655</v>
      </c>
      <c r="C704" s="1326" t="s">
        <v>648</v>
      </c>
      <c r="D704" s="1187" t="s">
        <v>674</v>
      </c>
      <c r="E704" s="1171">
        <v>80111600</v>
      </c>
      <c r="F704" s="1171" t="s">
        <v>1329</v>
      </c>
      <c r="G704" s="1343">
        <v>44788</v>
      </c>
      <c r="H704" s="1343">
        <v>44819</v>
      </c>
      <c r="I704" s="1173">
        <v>3</v>
      </c>
      <c r="J704" s="1173" t="s">
        <v>677</v>
      </c>
      <c r="K704" s="1174" t="s">
        <v>678</v>
      </c>
      <c r="L704" s="1175" t="s">
        <v>951</v>
      </c>
      <c r="M704" s="1176">
        <v>13500000</v>
      </c>
      <c r="N704" s="1344" t="s">
        <v>784</v>
      </c>
      <c r="O704" s="1171" t="s">
        <v>771</v>
      </c>
      <c r="P704" s="1218" t="s">
        <v>759</v>
      </c>
      <c r="R704" s="1327"/>
      <c r="S704" s="1327"/>
      <c r="T704" s="1327">
        <f>+'PAA V30'!$R704-'PAA V30'!$S704</f>
        <v>0</v>
      </c>
      <c r="U704" s="1327"/>
      <c r="V704" s="1327"/>
      <c r="W704" s="1327"/>
    </row>
    <row r="705" spans="1:23" s="1204" customFormat="1" ht="75" hidden="1" x14ac:dyDescent="0.2">
      <c r="A705" s="1169">
        <v>2022771</v>
      </c>
      <c r="B705" s="1169">
        <v>7655</v>
      </c>
      <c r="C705" s="1326" t="s">
        <v>648</v>
      </c>
      <c r="D705" s="1187" t="s">
        <v>674</v>
      </c>
      <c r="E705" s="1171">
        <v>80111600</v>
      </c>
      <c r="F705" s="1171" t="s">
        <v>1330</v>
      </c>
      <c r="G705" s="1343">
        <v>44788</v>
      </c>
      <c r="H705" s="1343">
        <v>44819</v>
      </c>
      <c r="I705" s="1173">
        <v>3</v>
      </c>
      <c r="J705" s="1173" t="s">
        <v>677</v>
      </c>
      <c r="K705" s="1174" t="s">
        <v>678</v>
      </c>
      <c r="L705" s="1175" t="s">
        <v>951</v>
      </c>
      <c r="M705" s="1176">
        <f>29750000-4250000</f>
        <v>25500000</v>
      </c>
      <c r="N705" s="1344" t="s">
        <v>784</v>
      </c>
      <c r="O705" s="1171" t="s">
        <v>771</v>
      </c>
      <c r="P705" s="1218" t="s">
        <v>759</v>
      </c>
      <c r="R705" s="1327"/>
      <c r="S705" s="1327"/>
      <c r="T705" s="1327">
        <f>+'PAA V30'!$R705-'PAA V30'!$S705</f>
        <v>0</v>
      </c>
      <c r="U705" s="1327"/>
      <c r="V705" s="1327"/>
      <c r="W705" s="1327"/>
    </row>
    <row r="706" spans="1:23" s="1204" customFormat="1" ht="90" hidden="1" x14ac:dyDescent="0.2">
      <c r="A706" s="1169">
        <v>2022772</v>
      </c>
      <c r="B706" s="1169">
        <v>7655</v>
      </c>
      <c r="C706" s="1326" t="s">
        <v>648</v>
      </c>
      <c r="D706" s="1187" t="s">
        <v>674</v>
      </c>
      <c r="E706" s="1171">
        <v>80111600</v>
      </c>
      <c r="F706" s="1171" t="s">
        <v>1331</v>
      </c>
      <c r="G706" s="1343">
        <v>44788</v>
      </c>
      <c r="H706" s="1343">
        <v>44819</v>
      </c>
      <c r="I706" s="1173">
        <v>3</v>
      </c>
      <c r="J706" s="1173" t="s">
        <v>677</v>
      </c>
      <c r="K706" s="1174" t="s">
        <v>678</v>
      </c>
      <c r="L706" s="1175" t="s">
        <v>951</v>
      </c>
      <c r="M706" s="1176">
        <v>13500000</v>
      </c>
      <c r="N706" s="1344" t="s">
        <v>784</v>
      </c>
      <c r="O706" s="1171" t="s">
        <v>771</v>
      </c>
      <c r="P706" s="1218" t="s">
        <v>759</v>
      </c>
      <c r="R706" s="1327"/>
      <c r="S706" s="1327"/>
      <c r="T706" s="1327">
        <f>+'PAA V30'!$R706-'PAA V30'!$S706</f>
        <v>0</v>
      </c>
      <c r="U706" s="1327"/>
      <c r="V706" s="1327"/>
      <c r="W706" s="1327"/>
    </row>
    <row r="707" spans="1:23" s="1204" customFormat="1" ht="75" hidden="1" x14ac:dyDescent="0.2">
      <c r="A707" s="1169">
        <v>2022773</v>
      </c>
      <c r="B707" s="1169">
        <v>7655</v>
      </c>
      <c r="C707" s="1326" t="s">
        <v>648</v>
      </c>
      <c r="D707" s="1187" t="s">
        <v>686</v>
      </c>
      <c r="E707" s="1171">
        <v>80111600</v>
      </c>
      <c r="F707" s="1171" t="s">
        <v>1332</v>
      </c>
      <c r="G707" s="1343">
        <v>44822</v>
      </c>
      <c r="H707" s="1343">
        <v>44822</v>
      </c>
      <c r="I707" s="1173">
        <v>4</v>
      </c>
      <c r="J707" s="1173" t="s">
        <v>677</v>
      </c>
      <c r="K707" s="1174" t="s">
        <v>678</v>
      </c>
      <c r="L707" s="1175" t="s">
        <v>951</v>
      </c>
      <c r="M707" s="1176">
        <v>13123664</v>
      </c>
      <c r="N707" s="1344" t="s">
        <v>784</v>
      </c>
      <c r="O707" s="1171" t="s">
        <v>771</v>
      </c>
      <c r="P707" s="1218" t="s">
        <v>759</v>
      </c>
      <c r="R707" s="1327"/>
      <c r="S707" s="1327"/>
      <c r="T707" s="1327">
        <f>+'PAA V30'!$R707-'PAA V30'!$S707</f>
        <v>0</v>
      </c>
      <c r="U707" s="1327"/>
      <c r="V707" s="1327"/>
      <c r="W707" s="1327"/>
    </row>
    <row r="708" spans="1:23" s="1204" customFormat="1" ht="75" hidden="1" x14ac:dyDescent="0.2">
      <c r="A708" s="1169">
        <v>2022774</v>
      </c>
      <c r="B708" s="1169">
        <v>7655</v>
      </c>
      <c r="C708" s="1326" t="s">
        <v>648</v>
      </c>
      <c r="D708" s="1187" t="s">
        <v>686</v>
      </c>
      <c r="E708" s="1171">
        <v>80111600</v>
      </c>
      <c r="F708" s="1171" t="s">
        <v>1333</v>
      </c>
      <c r="G708" s="1343">
        <v>44822</v>
      </c>
      <c r="H708" s="1343">
        <v>44822</v>
      </c>
      <c r="I708" s="1173">
        <v>4</v>
      </c>
      <c r="J708" s="1173" t="s">
        <v>677</v>
      </c>
      <c r="K708" s="1174" t="s">
        <v>678</v>
      </c>
      <c r="L708" s="1175" t="s">
        <v>951</v>
      </c>
      <c r="M708" s="1176">
        <v>15232332</v>
      </c>
      <c r="N708" s="1344" t="s">
        <v>784</v>
      </c>
      <c r="O708" s="1171" t="s">
        <v>771</v>
      </c>
      <c r="P708" s="1218" t="s">
        <v>759</v>
      </c>
      <c r="R708" s="1327"/>
      <c r="S708" s="1327"/>
      <c r="T708" s="1327">
        <f>+'PAA V30'!$R708-'PAA V30'!$S708</f>
        <v>0</v>
      </c>
      <c r="U708" s="1327"/>
      <c r="V708" s="1327"/>
      <c r="W708" s="1327"/>
    </row>
    <row r="709" spans="1:23" s="1204" customFormat="1" ht="75" hidden="1" x14ac:dyDescent="0.2">
      <c r="A709" s="1169">
        <v>2022775</v>
      </c>
      <c r="B709" s="1169">
        <v>7655</v>
      </c>
      <c r="C709" s="1326" t="s">
        <v>648</v>
      </c>
      <c r="D709" s="1187" t="s">
        <v>686</v>
      </c>
      <c r="E709" s="1171">
        <v>80111600</v>
      </c>
      <c r="F709" s="1171" t="s">
        <v>1334</v>
      </c>
      <c r="G709" s="1343">
        <v>44822</v>
      </c>
      <c r="H709" s="1343">
        <v>44822</v>
      </c>
      <c r="I709" s="1173">
        <v>4</v>
      </c>
      <c r="J709" s="1173" t="s">
        <v>677</v>
      </c>
      <c r="K709" s="1174" t="s">
        <v>678</v>
      </c>
      <c r="L709" s="1175" t="s">
        <v>951</v>
      </c>
      <c r="M709" s="1176">
        <v>26450332</v>
      </c>
      <c r="N709" s="1344" t="s">
        <v>784</v>
      </c>
      <c r="O709" s="1171" t="s">
        <v>771</v>
      </c>
      <c r="P709" s="1218" t="s">
        <v>759</v>
      </c>
      <c r="R709" s="1327"/>
      <c r="S709" s="1327"/>
      <c r="T709" s="1327">
        <f>+'PAA V30'!$R709-'PAA V30'!$S709</f>
        <v>0</v>
      </c>
      <c r="U709" s="1327"/>
      <c r="V709" s="1327"/>
      <c r="W709" s="1327"/>
    </row>
    <row r="710" spans="1:23" s="1204" customFormat="1" ht="75" hidden="1" x14ac:dyDescent="0.2">
      <c r="A710" s="1169">
        <v>2022776</v>
      </c>
      <c r="B710" s="1169">
        <v>7655</v>
      </c>
      <c r="C710" s="1326" t="s">
        <v>648</v>
      </c>
      <c r="D710" s="1187" t="s">
        <v>686</v>
      </c>
      <c r="E710" s="1171">
        <v>80111600</v>
      </c>
      <c r="F710" s="1171" t="s">
        <v>1335</v>
      </c>
      <c r="G710" s="1343">
        <v>44840</v>
      </c>
      <c r="H710" s="1343">
        <v>44840</v>
      </c>
      <c r="I710" s="1173">
        <v>4</v>
      </c>
      <c r="J710" s="1173" t="s">
        <v>677</v>
      </c>
      <c r="K710" s="1174" t="s">
        <v>678</v>
      </c>
      <c r="L710" s="1175" t="s">
        <v>951</v>
      </c>
      <c r="M710" s="1176">
        <v>22482782</v>
      </c>
      <c r="N710" s="1344" t="s">
        <v>784</v>
      </c>
      <c r="O710" s="1171" t="s">
        <v>771</v>
      </c>
      <c r="P710" s="1218" t="s">
        <v>759</v>
      </c>
      <c r="R710" s="1327"/>
      <c r="S710" s="1327"/>
      <c r="T710" s="1327">
        <f>+'PAA V30'!$R710-'PAA V30'!$S710</f>
        <v>0</v>
      </c>
      <c r="U710" s="1327"/>
      <c r="V710" s="1327"/>
      <c r="W710" s="1327"/>
    </row>
    <row r="711" spans="1:23" s="1204" customFormat="1" ht="75" hidden="1" x14ac:dyDescent="0.2">
      <c r="A711" s="1169">
        <v>2022777</v>
      </c>
      <c r="B711" s="1169">
        <v>7655</v>
      </c>
      <c r="C711" s="1326" t="s">
        <v>648</v>
      </c>
      <c r="D711" s="1187" t="s">
        <v>686</v>
      </c>
      <c r="E711" s="1171">
        <v>80111600</v>
      </c>
      <c r="F711" s="1171" t="s">
        <v>1336</v>
      </c>
      <c r="G711" s="1343">
        <v>44822</v>
      </c>
      <c r="H711" s="1343">
        <v>44822</v>
      </c>
      <c r="I711" s="1173">
        <v>4</v>
      </c>
      <c r="J711" s="1173" t="s">
        <v>677</v>
      </c>
      <c r="K711" s="1174" t="s">
        <v>678</v>
      </c>
      <c r="L711" s="1175" t="s">
        <v>951</v>
      </c>
      <c r="M711" s="1176">
        <v>26450332</v>
      </c>
      <c r="N711" s="1344" t="s">
        <v>784</v>
      </c>
      <c r="O711" s="1171" t="s">
        <v>771</v>
      </c>
      <c r="P711" s="1218" t="s">
        <v>759</v>
      </c>
      <c r="R711" s="1327"/>
      <c r="S711" s="1327"/>
      <c r="T711" s="1327">
        <f>+'PAA V30'!$R711-'PAA V30'!$S711</f>
        <v>0</v>
      </c>
      <c r="U711" s="1327"/>
      <c r="V711" s="1327"/>
      <c r="W711" s="1327"/>
    </row>
    <row r="712" spans="1:23" s="1204" customFormat="1" ht="75" hidden="1" x14ac:dyDescent="0.2">
      <c r="A712" s="1169">
        <v>2022778</v>
      </c>
      <c r="B712" s="1169">
        <v>7658</v>
      </c>
      <c r="C712" s="1326" t="s">
        <v>673</v>
      </c>
      <c r="D712" s="1187" t="s">
        <v>696</v>
      </c>
      <c r="E712" s="1171">
        <v>80111600</v>
      </c>
      <c r="F712" s="1171" t="s">
        <v>978</v>
      </c>
      <c r="G712" s="1343">
        <v>44792</v>
      </c>
      <c r="H712" s="1343">
        <v>44798</v>
      </c>
      <c r="I712" s="1173">
        <v>3</v>
      </c>
      <c r="J712" s="1173" t="s">
        <v>677</v>
      </c>
      <c r="K712" s="1174" t="s">
        <v>678</v>
      </c>
      <c r="L712" s="1175" t="s">
        <v>951</v>
      </c>
      <c r="M712" s="1176">
        <v>16146000</v>
      </c>
      <c r="N712" s="1344" t="s">
        <v>765</v>
      </c>
      <c r="O712" s="1171" t="s">
        <v>764</v>
      </c>
      <c r="P712" s="1218" t="s">
        <v>682</v>
      </c>
      <c r="R712" s="1327"/>
      <c r="S712" s="1327"/>
      <c r="T712" s="1327">
        <f>+'PAA V30'!$R712-'PAA V30'!$S712</f>
        <v>0</v>
      </c>
      <c r="U712" s="1327"/>
      <c r="V712" s="1327"/>
      <c r="W712" s="1327"/>
    </row>
    <row r="713" spans="1:23" s="1204" customFormat="1" ht="75" hidden="1" x14ac:dyDescent="0.2">
      <c r="A713" s="1169">
        <v>2022779</v>
      </c>
      <c r="B713" s="1169">
        <v>7658</v>
      </c>
      <c r="C713" s="1326" t="s">
        <v>673</v>
      </c>
      <c r="D713" s="1187" t="s">
        <v>696</v>
      </c>
      <c r="E713" s="1171">
        <v>80111600</v>
      </c>
      <c r="F713" s="1171" t="s">
        <v>978</v>
      </c>
      <c r="G713" s="1343">
        <v>44792</v>
      </c>
      <c r="H713" s="1343">
        <v>44798</v>
      </c>
      <c r="I713" s="1173">
        <v>4</v>
      </c>
      <c r="J713" s="1173" t="s">
        <v>677</v>
      </c>
      <c r="K713" s="1174" t="s">
        <v>678</v>
      </c>
      <c r="L713" s="1175" t="s">
        <v>951</v>
      </c>
      <c r="M713" s="1176">
        <f>21528000-8028000</f>
        <v>13500000</v>
      </c>
      <c r="N713" s="1344" t="s">
        <v>765</v>
      </c>
      <c r="O713" s="1171" t="s">
        <v>764</v>
      </c>
      <c r="P713" s="1218" t="s">
        <v>682</v>
      </c>
      <c r="R713" s="1327"/>
      <c r="S713" s="1327"/>
      <c r="T713" s="1327">
        <f>+'PAA V30'!$R713-'PAA V30'!$S713</f>
        <v>0</v>
      </c>
      <c r="U713" s="1327"/>
      <c r="V713" s="1327"/>
      <c r="W713" s="1327"/>
    </row>
    <row r="714" spans="1:23" s="1204" customFormat="1" ht="75" hidden="1" x14ac:dyDescent="0.2">
      <c r="A714" s="1169">
        <v>2022800</v>
      </c>
      <c r="B714" s="1169">
        <v>7655</v>
      </c>
      <c r="C714" s="1326" t="s">
        <v>648</v>
      </c>
      <c r="D714" s="1187" t="s">
        <v>696</v>
      </c>
      <c r="E714" s="1171">
        <v>80111600</v>
      </c>
      <c r="F714" s="1171" t="s">
        <v>865</v>
      </c>
      <c r="G714" s="1343">
        <v>44562</v>
      </c>
      <c r="H714" s="1343">
        <v>44592</v>
      </c>
      <c r="I714" s="1173">
        <v>4</v>
      </c>
      <c r="J714" s="1173" t="s">
        <v>677</v>
      </c>
      <c r="K714" s="1174" t="s">
        <v>678</v>
      </c>
      <c r="L714" s="1175" t="s">
        <v>951</v>
      </c>
      <c r="M714" s="1176">
        <v>20700000</v>
      </c>
      <c r="N714" s="1344" t="s">
        <v>784</v>
      </c>
      <c r="O714" s="1171" t="s">
        <v>771</v>
      </c>
      <c r="P714" s="1218" t="s">
        <v>682</v>
      </c>
      <c r="R714" s="1327"/>
      <c r="S714" s="1327"/>
      <c r="T714" s="1327">
        <f>+'PAA V30'!$R714-'PAA V30'!$S714</f>
        <v>0</v>
      </c>
      <c r="U714" s="1327"/>
      <c r="V714" s="1327"/>
      <c r="W714" s="1327"/>
    </row>
    <row r="715" spans="1:23" s="1204" customFormat="1" ht="75" hidden="1" x14ac:dyDescent="0.2">
      <c r="A715" s="1169">
        <v>2022801</v>
      </c>
      <c r="B715" s="1169">
        <v>7658</v>
      </c>
      <c r="C715" s="1326" t="s">
        <v>673</v>
      </c>
      <c r="D715" s="1187" t="s">
        <v>696</v>
      </c>
      <c r="E715" s="1171">
        <v>80111600</v>
      </c>
      <c r="F715" s="1171" t="s">
        <v>855</v>
      </c>
      <c r="G715" s="1343">
        <v>44796</v>
      </c>
      <c r="H715" s="1343">
        <v>44804</v>
      </c>
      <c r="I715" s="1173">
        <v>4</v>
      </c>
      <c r="J715" s="1173" t="s">
        <v>677</v>
      </c>
      <c r="K715" s="1174" t="s">
        <v>678</v>
      </c>
      <c r="L715" s="1175" t="s">
        <v>951</v>
      </c>
      <c r="M715" s="1176">
        <v>15400000</v>
      </c>
      <c r="N715" s="1344" t="s">
        <v>765</v>
      </c>
      <c r="O715" s="1171" t="s">
        <v>764</v>
      </c>
      <c r="P715" s="1218" t="s">
        <v>682</v>
      </c>
      <c r="R715" s="1327"/>
      <c r="S715" s="1327"/>
      <c r="T715" s="1327">
        <f>+'PAA V30'!$R715-'PAA V30'!$S715</f>
        <v>0</v>
      </c>
      <c r="U715" s="1327"/>
      <c r="V715" s="1327"/>
      <c r="W715" s="1327"/>
    </row>
    <row r="716" spans="1:23" s="1204" customFormat="1" ht="75" hidden="1" x14ac:dyDescent="0.2">
      <c r="A716" s="1169">
        <v>2022802</v>
      </c>
      <c r="B716" s="1169">
        <v>7655</v>
      </c>
      <c r="C716" s="1326" t="s">
        <v>648</v>
      </c>
      <c r="D716" s="1187" t="s">
        <v>696</v>
      </c>
      <c r="E716" s="1171">
        <v>80111600</v>
      </c>
      <c r="F716" s="1171" t="s">
        <v>1337</v>
      </c>
      <c r="G716" s="1343">
        <v>44795</v>
      </c>
      <c r="H716" s="1343">
        <v>44802</v>
      </c>
      <c r="I716" s="1173">
        <v>1.5</v>
      </c>
      <c r="J716" s="1173" t="s">
        <v>677</v>
      </c>
      <c r="K716" s="1174" t="s">
        <v>678</v>
      </c>
      <c r="L716" s="1175" t="s">
        <v>951</v>
      </c>
      <c r="M716" s="1176">
        <v>6520500</v>
      </c>
      <c r="N716" s="1344" t="s">
        <v>784</v>
      </c>
      <c r="O716" s="1171" t="s">
        <v>771</v>
      </c>
      <c r="P716" s="1218" t="s">
        <v>759</v>
      </c>
      <c r="R716" s="1327"/>
      <c r="S716" s="1327"/>
      <c r="T716" s="1327">
        <f>+'PAA V30'!$R716-'PAA V30'!$S716</f>
        <v>0</v>
      </c>
      <c r="U716" s="1327"/>
      <c r="V716" s="1327"/>
      <c r="W716" s="1327"/>
    </row>
    <row r="717" spans="1:23" s="1204" customFormat="1" ht="210" hidden="1" x14ac:dyDescent="0.2">
      <c r="A717" s="1169">
        <v>2022803</v>
      </c>
      <c r="B717" s="1169">
        <v>7658</v>
      </c>
      <c r="C717" s="1326" t="s">
        <v>673</v>
      </c>
      <c r="D717" s="1187" t="s">
        <v>693</v>
      </c>
      <c r="E717" s="1171" t="s">
        <v>1338</v>
      </c>
      <c r="F717" s="1171" t="s">
        <v>1339</v>
      </c>
      <c r="G717" s="1343">
        <v>44819</v>
      </c>
      <c r="H717" s="1343">
        <v>44864</v>
      </c>
      <c r="I717" s="1173">
        <v>2</v>
      </c>
      <c r="J717" s="1173" t="s">
        <v>687</v>
      </c>
      <c r="K717" s="1174" t="s">
        <v>774</v>
      </c>
      <c r="L717" s="1175" t="s">
        <v>951</v>
      </c>
      <c r="M717" s="1176">
        <f>437560000-168894520-25032147</f>
        <v>243633333</v>
      </c>
      <c r="N717" s="1344" t="s">
        <v>1032</v>
      </c>
      <c r="O717" s="1171" t="s">
        <v>1033</v>
      </c>
      <c r="P717" s="1218" t="s">
        <v>682</v>
      </c>
      <c r="R717" s="1327"/>
      <c r="S717" s="1327"/>
      <c r="T717" s="1327">
        <f>+'PAA V30'!$R717-'PAA V30'!$S717</f>
        <v>0</v>
      </c>
      <c r="U717" s="1327"/>
      <c r="V717" s="1327"/>
      <c r="W717" s="1327"/>
    </row>
    <row r="718" spans="1:23" s="1204" customFormat="1" ht="90" hidden="1" x14ac:dyDescent="0.2">
      <c r="A718" s="1169">
        <v>2022804</v>
      </c>
      <c r="B718" s="1169">
        <v>7658</v>
      </c>
      <c r="C718" s="1326" t="s">
        <v>673</v>
      </c>
      <c r="D718" s="1187" t="s">
        <v>693</v>
      </c>
      <c r="E718" s="1171">
        <v>80111600</v>
      </c>
      <c r="F718" s="1171" t="s">
        <v>1340</v>
      </c>
      <c r="G718" s="1343">
        <v>44789</v>
      </c>
      <c r="H718" s="1343">
        <v>44803</v>
      </c>
      <c r="I718" s="1173">
        <v>3.5</v>
      </c>
      <c r="J718" s="1173" t="s">
        <v>677</v>
      </c>
      <c r="K718" s="1174" t="s">
        <v>678</v>
      </c>
      <c r="L718" s="1175" t="s">
        <v>951</v>
      </c>
      <c r="M718" s="1176">
        <v>13475000</v>
      </c>
      <c r="N718" s="1344" t="s">
        <v>1032</v>
      </c>
      <c r="O718" s="1171" t="s">
        <v>1033</v>
      </c>
      <c r="P718" s="1218" t="s">
        <v>759</v>
      </c>
      <c r="R718" s="1327"/>
      <c r="S718" s="1327"/>
      <c r="T718" s="1327">
        <f>+'PAA V30'!$R718-'PAA V30'!$S718</f>
        <v>0</v>
      </c>
      <c r="U718" s="1327"/>
      <c r="V718" s="1327"/>
      <c r="W718" s="1327"/>
    </row>
    <row r="719" spans="1:23" s="1204" customFormat="1" ht="90" hidden="1" x14ac:dyDescent="0.2">
      <c r="A719" s="1169">
        <v>2022805</v>
      </c>
      <c r="B719" s="1169">
        <v>7658</v>
      </c>
      <c r="C719" s="1326" t="s">
        <v>673</v>
      </c>
      <c r="D719" s="1187" t="s">
        <v>693</v>
      </c>
      <c r="E719" s="1171">
        <v>80111600</v>
      </c>
      <c r="F719" s="1171" t="s">
        <v>1341</v>
      </c>
      <c r="G719" s="1343">
        <v>44823</v>
      </c>
      <c r="H719" s="1343">
        <v>44823</v>
      </c>
      <c r="I719" s="1173">
        <v>4</v>
      </c>
      <c r="J719" s="1173" t="s">
        <v>677</v>
      </c>
      <c r="K719" s="1174" t="s">
        <v>678</v>
      </c>
      <c r="L719" s="1175" t="s">
        <v>951</v>
      </c>
      <c r="M719" s="1176">
        <v>30000000</v>
      </c>
      <c r="N719" s="1344" t="s">
        <v>1032</v>
      </c>
      <c r="O719" s="1171" t="s">
        <v>1033</v>
      </c>
      <c r="P719" s="1218" t="s">
        <v>759</v>
      </c>
      <c r="R719" s="1327"/>
      <c r="S719" s="1327"/>
      <c r="T719" s="1327">
        <f>+'PAA V30'!$R719-'PAA V30'!$S719</f>
        <v>0</v>
      </c>
      <c r="U719" s="1327"/>
      <c r="V719" s="1327"/>
      <c r="W719" s="1327"/>
    </row>
    <row r="720" spans="1:23" s="1204" customFormat="1" ht="90" hidden="1" x14ac:dyDescent="0.2">
      <c r="A720" s="1169">
        <v>2022806</v>
      </c>
      <c r="B720" s="1169">
        <v>7658</v>
      </c>
      <c r="C720" s="1326" t="s">
        <v>673</v>
      </c>
      <c r="D720" s="1187" t="s">
        <v>693</v>
      </c>
      <c r="E720" s="1171">
        <v>80111600</v>
      </c>
      <c r="F720" s="1171" t="s">
        <v>1342</v>
      </c>
      <c r="G720" s="1343">
        <v>44829</v>
      </c>
      <c r="H720" s="1343">
        <v>44829</v>
      </c>
      <c r="I720" s="1173">
        <v>4</v>
      </c>
      <c r="J720" s="1173" t="s">
        <v>677</v>
      </c>
      <c r="K720" s="1174" t="s">
        <v>678</v>
      </c>
      <c r="L720" s="1175" t="s">
        <v>951</v>
      </c>
      <c r="M720" s="1176">
        <v>13200000</v>
      </c>
      <c r="N720" s="1344" t="s">
        <v>1032</v>
      </c>
      <c r="O720" s="1171" t="s">
        <v>1033</v>
      </c>
      <c r="P720" s="1218" t="s">
        <v>759</v>
      </c>
      <c r="R720" s="1327"/>
      <c r="S720" s="1327"/>
      <c r="T720" s="1327">
        <f>+'PAA V30'!$R720-'PAA V30'!$S720</f>
        <v>0</v>
      </c>
      <c r="U720" s="1327"/>
      <c r="V720" s="1327"/>
      <c r="W720" s="1327"/>
    </row>
    <row r="721" spans="1:23" s="1204" customFormat="1" ht="105" hidden="1" x14ac:dyDescent="0.2">
      <c r="A721" s="1169">
        <v>2022807</v>
      </c>
      <c r="B721" s="1169">
        <v>7637</v>
      </c>
      <c r="C721" s="1326" t="s">
        <v>645</v>
      </c>
      <c r="D721" s="1187" t="s">
        <v>674</v>
      </c>
      <c r="E721" s="1171">
        <v>80111600</v>
      </c>
      <c r="F721" s="1171" t="s">
        <v>1343</v>
      </c>
      <c r="G721" s="1343">
        <v>44788</v>
      </c>
      <c r="H721" s="1343">
        <v>44819</v>
      </c>
      <c r="I721" s="1173">
        <v>3</v>
      </c>
      <c r="J721" s="1173" t="s">
        <v>677</v>
      </c>
      <c r="K721" s="1174" t="s">
        <v>678</v>
      </c>
      <c r="L721" s="1175" t="s">
        <v>951</v>
      </c>
      <c r="M721" s="1176">
        <v>9000000</v>
      </c>
      <c r="N721" s="1186" t="s">
        <v>680</v>
      </c>
      <c r="O721" s="1171" t="s">
        <v>681</v>
      </c>
      <c r="P721" s="1218" t="s">
        <v>759</v>
      </c>
      <c r="R721" s="1327"/>
      <c r="S721" s="1327"/>
      <c r="T721" s="1327">
        <f>+'PAA V30'!$R721-'PAA V30'!$S721</f>
        <v>0</v>
      </c>
      <c r="U721" s="1327"/>
      <c r="V721" s="1327"/>
      <c r="W721" s="1327"/>
    </row>
    <row r="722" spans="1:23" s="1204" customFormat="1" ht="90" x14ac:dyDescent="0.2">
      <c r="A722" s="1169">
        <v>2022808</v>
      </c>
      <c r="B722" s="1169">
        <v>7655</v>
      </c>
      <c r="C722" s="1326" t="s">
        <v>648</v>
      </c>
      <c r="D722" s="1187" t="s">
        <v>674</v>
      </c>
      <c r="E722" s="1171">
        <v>80111600</v>
      </c>
      <c r="F722" s="1171" t="s">
        <v>1344</v>
      </c>
      <c r="G722" s="1343">
        <v>44788</v>
      </c>
      <c r="H722" s="1343">
        <v>44819</v>
      </c>
      <c r="I722" s="1173">
        <v>4.5</v>
      </c>
      <c r="J722" s="1173" t="s">
        <v>677</v>
      </c>
      <c r="K722" s="1174" t="s">
        <v>678</v>
      </c>
      <c r="L722" s="1175" t="s">
        <v>951</v>
      </c>
      <c r="M722" s="1176">
        <f>38500000-3500000-1000000</f>
        <v>34000000</v>
      </c>
      <c r="N722" s="1362" t="s">
        <v>785</v>
      </c>
      <c r="O722" s="1171" t="s">
        <v>771</v>
      </c>
      <c r="P722" s="1170" t="s">
        <v>682</v>
      </c>
      <c r="R722" s="1327"/>
      <c r="S722" s="1327"/>
      <c r="T722" s="1327">
        <f>+'PAA V30'!$R722-'PAA V30'!$S722</f>
        <v>0</v>
      </c>
      <c r="U722" s="1327"/>
      <c r="V722" s="1327"/>
      <c r="W722" s="1327"/>
    </row>
    <row r="723" spans="1:23" s="1204" customFormat="1" ht="180" hidden="1" x14ac:dyDescent="0.2">
      <c r="A723" s="1169">
        <v>2022809</v>
      </c>
      <c r="B723" s="1169">
        <v>7637</v>
      </c>
      <c r="C723" s="1326" t="s">
        <v>645</v>
      </c>
      <c r="D723" s="1170" t="s">
        <v>674</v>
      </c>
      <c r="E723" s="1199" t="s">
        <v>776</v>
      </c>
      <c r="F723" s="1351" t="s">
        <v>777</v>
      </c>
      <c r="G723" s="1345">
        <v>44762</v>
      </c>
      <c r="H723" s="1345">
        <v>44803</v>
      </c>
      <c r="I723" s="1173">
        <v>5</v>
      </c>
      <c r="J723" s="1173" t="s">
        <v>697</v>
      </c>
      <c r="K723" s="1174" t="s">
        <v>678</v>
      </c>
      <c r="L723" s="1174" t="s">
        <v>951</v>
      </c>
      <c r="M723" s="1176">
        <f>34050000+118550434+212901243</f>
        <v>365501677</v>
      </c>
      <c r="N723" s="1186" t="s">
        <v>680</v>
      </c>
      <c r="O723" s="1171" t="s">
        <v>681</v>
      </c>
      <c r="P723" s="1267" t="s">
        <v>682</v>
      </c>
      <c r="T723" s="1204">
        <f>+'PAA V30'!$R723-'PAA V30'!$S723</f>
        <v>0</v>
      </c>
    </row>
    <row r="724" spans="1:23" s="1204" customFormat="1" ht="105" hidden="1" x14ac:dyDescent="0.2">
      <c r="A724" s="1169">
        <v>2022810</v>
      </c>
      <c r="B724" s="1169">
        <v>7637</v>
      </c>
      <c r="C724" s="1326" t="s">
        <v>645</v>
      </c>
      <c r="D724" s="1187" t="s">
        <v>674</v>
      </c>
      <c r="E724" s="1171">
        <v>80111600</v>
      </c>
      <c r="F724" s="1171" t="s">
        <v>1345</v>
      </c>
      <c r="G724" s="1343">
        <v>44788</v>
      </c>
      <c r="H724" s="1343">
        <v>44819</v>
      </c>
      <c r="I724" s="1173">
        <v>3</v>
      </c>
      <c r="J724" s="1173" t="s">
        <v>677</v>
      </c>
      <c r="K724" s="1174" t="s">
        <v>678</v>
      </c>
      <c r="L724" s="1175" t="s">
        <v>951</v>
      </c>
      <c r="M724" s="1176">
        <v>18000000</v>
      </c>
      <c r="N724" s="1186" t="s">
        <v>680</v>
      </c>
      <c r="O724" s="1171" t="s">
        <v>681</v>
      </c>
      <c r="P724" s="1218" t="s">
        <v>759</v>
      </c>
      <c r="R724" s="1327"/>
      <c r="S724" s="1327"/>
      <c r="T724" s="1327">
        <f>+'PAA V30'!$R724-'PAA V30'!$S724</f>
        <v>0</v>
      </c>
      <c r="U724" s="1327"/>
      <c r="V724" s="1327"/>
      <c r="W724" s="1327"/>
    </row>
    <row r="725" spans="1:23" s="1204" customFormat="1" ht="120" hidden="1" x14ac:dyDescent="0.2">
      <c r="A725" s="1169">
        <v>2022811</v>
      </c>
      <c r="B725" s="1169">
        <v>7658</v>
      </c>
      <c r="C725" s="1326" t="s">
        <v>673</v>
      </c>
      <c r="D725" s="1187" t="s">
        <v>699</v>
      </c>
      <c r="E725" s="1171" t="s">
        <v>1346</v>
      </c>
      <c r="F725" s="1186" t="s">
        <v>1347</v>
      </c>
      <c r="G725" s="1343">
        <v>44788</v>
      </c>
      <c r="H725" s="1343">
        <v>44803</v>
      </c>
      <c r="I725" s="1173">
        <v>1</v>
      </c>
      <c r="J725" s="1173" t="s">
        <v>97</v>
      </c>
      <c r="K725" s="1174" t="s">
        <v>516</v>
      </c>
      <c r="L725" s="1175" t="s">
        <v>951</v>
      </c>
      <c r="M725" s="1176">
        <v>6183142</v>
      </c>
      <c r="N725" s="1344" t="s">
        <v>772</v>
      </c>
      <c r="O725" s="1171" t="s">
        <v>915</v>
      </c>
      <c r="P725" s="1218" t="s">
        <v>759</v>
      </c>
      <c r="R725" s="1327"/>
      <c r="S725" s="1327"/>
      <c r="T725" s="1327">
        <f>+'PAA V30'!$R725-'PAA V30'!$S725</f>
        <v>0</v>
      </c>
      <c r="U725" s="1327"/>
      <c r="V725" s="1327"/>
      <c r="W725" s="1327"/>
    </row>
    <row r="726" spans="1:23" s="1204" customFormat="1" ht="120" hidden="1" x14ac:dyDescent="0.2">
      <c r="A726" s="1169">
        <v>2022812</v>
      </c>
      <c r="B726" s="1169">
        <v>7658</v>
      </c>
      <c r="C726" s="1326" t="s">
        <v>673</v>
      </c>
      <c r="D726" s="1187" t="s">
        <v>699</v>
      </c>
      <c r="E726" s="1171" t="s">
        <v>1346</v>
      </c>
      <c r="F726" s="1186" t="s">
        <v>1348</v>
      </c>
      <c r="G726" s="1343">
        <v>44789</v>
      </c>
      <c r="H726" s="1343">
        <v>44804</v>
      </c>
      <c r="I726" s="1173">
        <v>1</v>
      </c>
      <c r="J726" s="1173" t="s">
        <v>97</v>
      </c>
      <c r="K726" s="1174" t="s">
        <v>516</v>
      </c>
      <c r="L726" s="1175" t="s">
        <v>951</v>
      </c>
      <c r="M726" s="1176">
        <v>151933</v>
      </c>
      <c r="N726" s="1344" t="s">
        <v>772</v>
      </c>
      <c r="O726" s="1171" t="s">
        <v>915</v>
      </c>
      <c r="P726" s="1218" t="s">
        <v>759</v>
      </c>
      <c r="R726" s="1327"/>
      <c r="S726" s="1327"/>
      <c r="T726" s="1327">
        <f>+'PAA V30'!$R726-'PAA V30'!$S726</f>
        <v>0</v>
      </c>
      <c r="U726" s="1327"/>
      <c r="V726" s="1327"/>
      <c r="W726" s="1327"/>
    </row>
    <row r="727" spans="1:23" s="1204" customFormat="1" ht="120" hidden="1" x14ac:dyDescent="0.2">
      <c r="A727" s="1169">
        <v>2022813</v>
      </c>
      <c r="B727" s="1169">
        <v>7658</v>
      </c>
      <c r="C727" s="1326" t="s">
        <v>673</v>
      </c>
      <c r="D727" s="1187" t="s">
        <v>699</v>
      </c>
      <c r="E727" s="1171" t="s">
        <v>1346</v>
      </c>
      <c r="F727" s="1186" t="s">
        <v>1349</v>
      </c>
      <c r="G727" s="1343">
        <v>44790</v>
      </c>
      <c r="H727" s="1343">
        <v>44805</v>
      </c>
      <c r="I727" s="1173">
        <v>1</v>
      </c>
      <c r="J727" s="1173" t="s">
        <v>97</v>
      </c>
      <c r="K727" s="1174" t="s">
        <v>516</v>
      </c>
      <c r="L727" s="1175" t="s">
        <v>951</v>
      </c>
      <c r="M727" s="1176">
        <v>315000</v>
      </c>
      <c r="N727" s="1344" t="s">
        <v>772</v>
      </c>
      <c r="O727" s="1171" t="s">
        <v>915</v>
      </c>
      <c r="P727" s="1218" t="s">
        <v>759</v>
      </c>
      <c r="R727" s="1327"/>
      <c r="S727" s="1327"/>
      <c r="T727" s="1327">
        <f>+'PAA V30'!$R727-'PAA V30'!$S727</f>
        <v>0</v>
      </c>
      <c r="U727" s="1327"/>
      <c r="V727" s="1327"/>
      <c r="W727" s="1327"/>
    </row>
    <row r="728" spans="1:23" s="1204" customFormat="1" ht="105" hidden="1" x14ac:dyDescent="0.2">
      <c r="A728" s="1169">
        <v>2022814</v>
      </c>
      <c r="B728" s="1169">
        <v>7637</v>
      </c>
      <c r="C728" s="1326" t="s">
        <v>645</v>
      </c>
      <c r="D728" s="1187" t="s">
        <v>674</v>
      </c>
      <c r="E728" s="1171">
        <v>80111600</v>
      </c>
      <c r="F728" s="1171" t="s">
        <v>1350</v>
      </c>
      <c r="G728" s="1343">
        <v>44788</v>
      </c>
      <c r="H728" s="1343">
        <v>44819</v>
      </c>
      <c r="I728" s="1173">
        <v>3</v>
      </c>
      <c r="J728" s="1173" t="s">
        <v>677</v>
      </c>
      <c r="K728" s="1174" t="s">
        <v>678</v>
      </c>
      <c r="L728" s="1175" t="s">
        <v>951</v>
      </c>
      <c r="M728" s="1176">
        <v>18600000</v>
      </c>
      <c r="N728" s="1344" t="s">
        <v>707</v>
      </c>
      <c r="O728" s="1171" t="s">
        <v>681</v>
      </c>
      <c r="P728" s="1218" t="s">
        <v>759</v>
      </c>
      <c r="R728" s="1327"/>
      <c r="S728" s="1327"/>
      <c r="T728" s="1327">
        <f>+'PAA V30'!$R728-'PAA V30'!$S728</f>
        <v>0</v>
      </c>
      <c r="U728" s="1327"/>
      <c r="V728" s="1327"/>
      <c r="W728" s="1327"/>
    </row>
    <row r="729" spans="1:23" s="1204" customFormat="1" ht="105" hidden="1" x14ac:dyDescent="0.2">
      <c r="A729" s="1169">
        <v>2022815</v>
      </c>
      <c r="B729" s="1169">
        <v>7637</v>
      </c>
      <c r="C729" s="1326" t="s">
        <v>645</v>
      </c>
      <c r="D729" s="1187" t="s">
        <v>674</v>
      </c>
      <c r="E729" s="1171">
        <v>80111600</v>
      </c>
      <c r="F729" s="1171" t="s">
        <v>1351</v>
      </c>
      <c r="G729" s="1343">
        <v>44788</v>
      </c>
      <c r="H729" s="1343">
        <v>44819</v>
      </c>
      <c r="I729" s="1173">
        <v>3</v>
      </c>
      <c r="J729" s="1173" t="s">
        <v>677</v>
      </c>
      <c r="K729" s="1174" t="s">
        <v>678</v>
      </c>
      <c r="L729" s="1175" t="s">
        <v>951</v>
      </c>
      <c r="M729" s="1176">
        <v>20400000</v>
      </c>
      <c r="N729" s="1344" t="s">
        <v>707</v>
      </c>
      <c r="O729" s="1171" t="s">
        <v>681</v>
      </c>
      <c r="P729" s="1218" t="s">
        <v>759</v>
      </c>
      <c r="R729" s="1327"/>
      <c r="S729" s="1327"/>
      <c r="T729" s="1327">
        <f>+'PAA V30'!$R729-'PAA V30'!$S729</f>
        <v>0</v>
      </c>
      <c r="U729" s="1327"/>
      <c r="V729" s="1327"/>
      <c r="W729" s="1327"/>
    </row>
    <row r="730" spans="1:23" s="1204" customFormat="1" ht="105" hidden="1" x14ac:dyDescent="0.2">
      <c r="A730" s="1169">
        <v>2022816</v>
      </c>
      <c r="B730" s="1169">
        <v>7637</v>
      </c>
      <c r="C730" s="1326" t="s">
        <v>645</v>
      </c>
      <c r="D730" s="1187" t="s">
        <v>674</v>
      </c>
      <c r="E730" s="1171">
        <v>80111600</v>
      </c>
      <c r="F730" s="1171" t="s">
        <v>1352</v>
      </c>
      <c r="G730" s="1343">
        <v>44788</v>
      </c>
      <c r="H730" s="1343">
        <v>44819</v>
      </c>
      <c r="I730" s="1173">
        <v>3</v>
      </c>
      <c r="J730" s="1173" t="s">
        <v>677</v>
      </c>
      <c r="K730" s="1174" t="s">
        <v>678</v>
      </c>
      <c r="L730" s="1175" t="s">
        <v>951</v>
      </c>
      <c r="M730" s="1176">
        <v>20400000</v>
      </c>
      <c r="N730" s="1344" t="s">
        <v>707</v>
      </c>
      <c r="O730" s="1171" t="s">
        <v>681</v>
      </c>
      <c r="P730" s="1218" t="s">
        <v>759</v>
      </c>
      <c r="R730" s="1327"/>
      <c r="S730" s="1327"/>
      <c r="T730" s="1327">
        <f>+'PAA V30'!$R730-'PAA V30'!$S730</f>
        <v>0</v>
      </c>
      <c r="U730" s="1327"/>
      <c r="V730" s="1327"/>
      <c r="W730" s="1327"/>
    </row>
    <row r="731" spans="1:23" s="1204" customFormat="1" ht="105" hidden="1" x14ac:dyDescent="0.2">
      <c r="A731" s="1169">
        <v>2022817</v>
      </c>
      <c r="B731" s="1169">
        <v>7637</v>
      </c>
      <c r="C731" s="1326" t="s">
        <v>645</v>
      </c>
      <c r="D731" s="1187" t="s">
        <v>674</v>
      </c>
      <c r="E731" s="1171">
        <v>80111600</v>
      </c>
      <c r="F731" s="1171" t="s">
        <v>1353</v>
      </c>
      <c r="G731" s="1343">
        <v>44788</v>
      </c>
      <c r="H731" s="1343">
        <v>44819</v>
      </c>
      <c r="I731" s="1173">
        <v>3</v>
      </c>
      <c r="J731" s="1173" t="s">
        <v>677</v>
      </c>
      <c r="K731" s="1174" t="s">
        <v>678</v>
      </c>
      <c r="L731" s="1175" t="s">
        <v>951</v>
      </c>
      <c r="M731" s="1176">
        <v>18600000</v>
      </c>
      <c r="N731" s="1186" t="s">
        <v>680</v>
      </c>
      <c r="O731" s="1171" t="s">
        <v>681</v>
      </c>
      <c r="P731" s="1218" t="s">
        <v>759</v>
      </c>
      <c r="R731" s="1327"/>
      <c r="S731" s="1327"/>
      <c r="T731" s="1327">
        <f>+'PAA V30'!$R731-'PAA V30'!$S731</f>
        <v>0</v>
      </c>
      <c r="U731" s="1327"/>
      <c r="V731" s="1327"/>
      <c r="W731" s="1327"/>
    </row>
    <row r="732" spans="1:23" s="1204" customFormat="1" ht="105" hidden="1" x14ac:dyDescent="0.2">
      <c r="A732" s="1169">
        <v>2022818</v>
      </c>
      <c r="B732" s="1169">
        <v>7637</v>
      </c>
      <c r="C732" s="1326" t="s">
        <v>645</v>
      </c>
      <c r="D732" s="1187" t="s">
        <v>674</v>
      </c>
      <c r="E732" s="1171">
        <v>80111600</v>
      </c>
      <c r="F732" s="1171" t="s">
        <v>1354</v>
      </c>
      <c r="G732" s="1343">
        <v>44788</v>
      </c>
      <c r="H732" s="1343">
        <v>44819</v>
      </c>
      <c r="I732" s="1173">
        <v>2</v>
      </c>
      <c r="J732" s="1173" t="s">
        <v>677</v>
      </c>
      <c r="K732" s="1174" t="s">
        <v>678</v>
      </c>
      <c r="L732" s="1175" t="s">
        <v>951</v>
      </c>
      <c r="M732" s="1176">
        <v>10350000</v>
      </c>
      <c r="N732" s="1186" t="s">
        <v>680</v>
      </c>
      <c r="O732" s="1171" t="s">
        <v>681</v>
      </c>
      <c r="P732" s="1218" t="s">
        <v>759</v>
      </c>
      <c r="R732" s="1327"/>
      <c r="S732" s="1327"/>
      <c r="T732" s="1327">
        <f>+'PAA V30'!$R732-'PAA V30'!$S732</f>
        <v>0</v>
      </c>
      <c r="U732" s="1327"/>
      <c r="V732" s="1327"/>
      <c r="W732" s="1327"/>
    </row>
    <row r="733" spans="1:23" s="1204" customFormat="1" ht="105" hidden="1" x14ac:dyDescent="0.2">
      <c r="A733" s="1169">
        <v>2022819</v>
      </c>
      <c r="B733" s="1169">
        <v>7637</v>
      </c>
      <c r="C733" s="1326" t="s">
        <v>645</v>
      </c>
      <c r="D733" s="1187" t="s">
        <v>674</v>
      </c>
      <c r="E733" s="1171">
        <v>80111600</v>
      </c>
      <c r="F733" s="1171" t="s">
        <v>1355</v>
      </c>
      <c r="G733" s="1343">
        <v>44788</v>
      </c>
      <c r="H733" s="1343">
        <v>44819</v>
      </c>
      <c r="I733" s="1173">
        <v>3.5</v>
      </c>
      <c r="J733" s="1173" t="s">
        <v>677</v>
      </c>
      <c r="K733" s="1174" t="s">
        <v>678</v>
      </c>
      <c r="L733" s="1175" t="s">
        <v>951</v>
      </c>
      <c r="M733" s="1176">
        <v>13500000</v>
      </c>
      <c r="N733" s="1186" t="s">
        <v>680</v>
      </c>
      <c r="O733" s="1171" t="s">
        <v>681</v>
      </c>
      <c r="P733" s="1218" t="s">
        <v>759</v>
      </c>
      <c r="R733" s="1327"/>
      <c r="S733" s="1327"/>
      <c r="T733" s="1327">
        <f>+'PAA V30'!$R733-'PAA V30'!$S733</f>
        <v>0</v>
      </c>
      <c r="U733" s="1327"/>
      <c r="V733" s="1327"/>
      <c r="W733" s="1327"/>
    </row>
    <row r="734" spans="1:23" s="1204" customFormat="1" ht="105" hidden="1" x14ac:dyDescent="0.2">
      <c r="A734" s="1169">
        <v>2022820</v>
      </c>
      <c r="B734" s="1169">
        <v>7637</v>
      </c>
      <c r="C734" s="1326" t="s">
        <v>645</v>
      </c>
      <c r="D734" s="1187" t="s">
        <v>674</v>
      </c>
      <c r="E734" s="1171">
        <v>80111600</v>
      </c>
      <c r="F734" s="1171" t="s">
        <v>1356</v>
      </c>
      <c r="G734" s="1343">
        <v>44788</v>
      </c>
      <c r="H734" s="1343">
        <v>44819</v>
      </c>
      <c r="I734" s="1173">
        <v>3</v>
      </c>
      <c r="J734" s="1173" t="s">
        <v>677</v>
      </c>
      <c r="K734" s="1174" t="s">
        <v>678</v>
      </c>
      <c r="L734" s="1175" t="s">
        <v>951</v>
      </c>
      <c r="M734" s="1176">
        <v>9000000</v>
      </c>
      <c r="N734" s="1186" t="s">
        <v>680</v>
      </c>
      <c r="O734" s="1171" t="s">
        <v>681</v>
      </c>
      <c r="P734" s="1218" t="s">
        <v>759</v>
      </c>
      <c r="R734" s="1327"/>
      <c r="S734" s="1327"/>
      <c r="T734" s="1327">
        <f>+'PAA V30'!$R734-'PAA V30'!$S734</f>
        <v>0</v>
      </c>
      <c r="U734" s="1327"/>
      <c r="V734" s="1327"/>
      <c r="W734" s="1327"/>
    </row>
    <row r="735" spans="1:23" s="1204" customFormat="1" ht="105" hidden="1" x14ac:dyDescent="0.2">
      <c r="A735" s="1169">
        <v>2022821</v>
      </c>
      <c r="B735" s="1169">
        <v>7637</v>
      </c>
      <c r="C735" s="1326" t="s">
        <v>645</v>
      </c>
      <c r="D735" s="1187" t="s">
        <v>674</v>
      </c>
      <c r="E735" s="1171">
        <v>80111600</v>
      </c>
      <c r="F735" s="1171" t="s">
        <v>1357</v>
      </c>
      <c r="G735" s="1343">
        <v>44788</v>
      </c>
      <c r="H735" s="1343">
        <v>44819</v>
      </c>
      <c r="I735" s="1173">
        <v>3</v>
      </c>
      <c r="J735" s="1173" t="s">
        <v>677</v>
      </c>
      <c r="K735" s="1174" t="s">
        <v>678</v>
      </c>
      <c r="L735" s="1175" t="s">
        <v>951</v>
      </c>
      <c r="M735" s="1176">
        <f>18600000-18600000</f>
        <v>0</v>
      </c>
      <c r="N735" s="1344" t="s">
        <v>689</v>
      </c>
      <c r="O735" s="1171" t="s">
        <v>681</v>
      </c>
      <c r="P735" s="1218" t="s">
        <v>759</v>
      </c>
      <c r="R735" s="1327"/>
      <c r="S735" s="1327"/>
      <c r="T735" s="1327">
        <f>+'PAA V30'!$R735-'PAA V30'!$S735</f>
        <v>0</v>
      </c>
      <c r="U735" s="1327"/>
      <c r="V735" s="1327"/>
      <c r="W735" s="1327"/>
    </row>
    <row r="736" spans="1:23" s="1204" customFormat="1" ht="75" hidden="1" x14ac:dyDescent="0.2">
      <c r="A736" s="1169">
        <v>2022822</v>
      </c>
      <c r="B736" s="1169">
        <v>7655</v>
      </c>
      <c r="C736" s="1326" t="s">
        <v>648</v>
      </c>
      <c r="D736" s="1187" t="s">
        <v>690</v>
      </c>
      <c r="E736" s="1171" t="s">
        <v>781</v>
      </c>
      <c r="F736" s="1171" t="s">
        <v>1322</v>
      </c>
      <c r="G736" s="1343">
        <v>44805</v>
      </c>
      <c r="H736" s="1343">
        <v>44805</v>
      </c>
      <c r="I736" s="1173">
        <v>4</v>
      </c>
      <c r="J736" s="1173" t="s">
        <v>677</v>
      </c>
      <c r="K736" s="1174" t="s">
        <v>678</v>
      </c>
      <c r="L736" s="1175" t="s">
        <v>951</v>
      </c>
      <c r="M736" s="1176">
        <v>22000000</v>
      </c>
      <c r="N736" s="1344" t="s">
        <v>784</v>
      </c>
      <c r="O736" s="1171" t="s">
        <v>771</v>
      </c>
      <c r="P736" s="1218" t="s">
        <v>682</v>
      </c>
      <c r="R736" s="1327"/>
      <c r="S736" s="1327"/>
      <c r="T736" s="1327"/>
      <c r="U736" s="1327"/>
      <c r="V736" s="1327"/>
      <c r="W736" s="1327"/>
    </row>
    <row r="737" spans="1:23" s="1204" customFormat="1" ht="105" hidden="1" x14ac:dyDescent="0.2">
      <c r="A737" s="1169">
        <v>2022823</v>
      </c>
      <c r="B737" s="1169">
        <v>7637</v>
      </c>
      <c r="C737" s="1326" t="s">
        <v>645</v>
      </c>
      <c r="D737" s="1187" t="s">
        <v>674</v>
      </c>
      <c r="E737" s="1171">
        <v>80111600</v>
      </c>
      <c r="F737" s="1171" t="s">
        <v>1358</v>
      </c>
      <c r="G737" s="1343">
        <v>44805</v>
      </c>
      <c r="H737" s="1343">
        <v>44819</v>
      </c>
      <c r="I737" s="1173">
        <v>3</v>
      </c>
      <c r="J737" s="1173" t="s">
        <v>677</v>
      </c>
      <c r="K737" s="1174" t="s">
        <v>678</v>
      </c>
      <c r="L737" s="1175" t="s">
        <v>951</v>
      </c>
      <c r="M737" s="1176">
        <v>12000000</v>
      </c>
      <c r="N737" s="1186" t="s">
        <v>680</v>
      </c>
      <c r="O737" s="1171" t="s">
        <v>681</v>
      </c>
      <c r="P737" s="1218" t="s">
        <v>682</v>
      </c>
      <c r="R737" s="1327"/>
      <c r="S737" s="1327"/>
      <c r="T737" s="1327">
        <f>+'PAA V30'!$R737-'PAA V30'!$S737</f>
        <v>0</v>
      </c>
      <c r="U737" s="1327"/>
      <c r="V737" s="1327"/>
      <c r="W737" s="1327"/>
    </row>
    <row r="738" spans="1:23" s="1204" customFormat="1" ht="90" hidden="1" x14ac:dyDescent="0.2">
      <c r="A738" s="1169">
        <v>2022824</v>
      </c>
      <c r="B738" s="1169">
        <v>7658</v>
      </c>
      <c r="C738" s="1326" t="s">
        <v>673</v>
      </c>
      <c r="D738" s="1187" t="s">
        <v>693</v>
      </c>
      <c r="E738" s="1171">
        <v>80111600</v>
      </c>
      <c r="F738" s="1171" t="s">
        <v>1064</v>
      </c>
      <c r="G738" s="1343">
        <v>44819</v>
      </c>
      <c r="H738" s="1343">
        <v>44819</v>
      </c>
      <c r="I738" s="1173">
        <v>4</v>
      </c>
      <c r="J738" s="1173" t="s">
        <v>677</v>
      </c>
      <c r="K738" s="1174" t="s">
        <v>678</v>
      </c>
      <c r="L738" s="1175" t="s">
        <v>951</v>
      </c>
      <c r="M738" s="1176">
        <v>11000000</v>
      </c>
      <c r="N738" s="1344" t="s">
        <v>1032</v>
      </c>
      <c r="O738" s="1171" t="s">
        <v>1033</v>
      </c>
      <c r="P738" s="1218" t="s">
        <v>682</v>
      </c>
      <c r="R738" s="1327"/>
      <c r="S738" s="1327"/>
      <c r="T738" s="1327">
        <f>+'PAA V30'!$R738-'PAA V30'!$S738</f>
        <v>0</v>
      </c>
      <c r="U738" s="1327"/>
      <c r="V738" s="1327"/>
      <c r="W738" s="1327"/>
    </row>
    <row r="739" spans="1:23" s="1204" customFormat="1" ht="90" hidden="1" x14ac:dyDescent="0.2">
      <c r="A739" s="1169">
        <v>2022825</v>
      </c>
      <c r="B739" s="1169">
        <v>7658</v>
      </c>
      <c r="C739" s="1326" t="s">
        <v>673</v>
      </c>
      <c r="D739" s="1187" t="s">
        <v>693</v>
      </c>
      <c r="E739" s="1171">
        <v>80111600</v>
      </c>
      <c r="F739" s="1171" t="s">
        <v>1062</v>
      </c>
      <c r="G739" s="1343">
        <v>44819</v>
      </c>
      <c r="H739" s="1343">
        <v>44819</v>
      </c>
      <c r="I739" s="1173">
        <v>4</v>
      </c>
      <c r="J739" s="1173" t="s">
        <v>677</v>
      </c>
      <c r="K739" s="1174" t="s">
        <v>678</v>
      </c>
      <c r="L739" s="1175" t="s">
        <v>951</v>
      </c>
      <c r="M739" s="1176">
        <v>9800000</v>
      </c>
      <c r="N739" s="1344" t="s">
        <v>1032</v>
      </c>
      <c r="O739" s="1171" t="s">
        <v>1033</v>
      </c>
      <c r="P739" s="1218" t="s">
        <v>682</v>
      </c>
      <c r="R739" s="1327"/>
      <c r="S739" s="1327"/>
      <c r="T739" s="1327">
        <f>+'PAA V30'!$R739-'PAA V30'!$S739</f>
        <v>0</v>
      </c>
      <c r="U739" s="1327"/>
      <c r="V739" s="1327"/>
      <c r="W739" s="1327"/>
    </row>
    <row r="740" spans="1:23" s="1204" customFormat="1" ht="90" hidden="1" x14ac:dyDescent="0.2">
      <c r="A740" s="1169">
        <v>2022827</v>
      </c>
      <c r="B740" s="1169">
        <v>7658</v>
      </c>
      <c r="C740" s="1326" t="s">
        <v>673</v>
      </c>
      <c r="D740" s="1187" t="s">
        <v>693</v>
      </c>
      <c r="E740" s="1171">
        <v>10111306</v>
      </c>
      <c r="F740" s="1171" t="s">
        <v>1359</v>
      </c>
      <c r="G740" s="1343">
        <v>44805</v>
      </c>
      <c r="H740" s="1343">
        <v>44849</v>
      </c>
      <c r="I740" s="1173">
        <v>2</v>
      </c>
      <c r="J740" s="1173" t="s">
        <v>700</v>
      </c>
      <c r="K740" s="1174" t="s">
        <v>774</v>
      </c>
      <c r="L740" s="1175" t="s">
        <v>951</v>
      </c>
      <c r="M740" s="1176">
        <v>30000000</v>
      </c>
      <c r="N740" s="1344" t="s">
        <v>1032</v>
      </c>
      <c r="O740" s="1171" t="s">
        <v>1033</v>
      </c>
      <c r="P740" s="1218" t="s">
        <v>682</v>
      </c>
      <c r="R740" s="1327"/>
      <c r="S740" s="1327"/>
      <c r="T740" s="1327">
        <f>+'PAA V30'!$R740-'PAA V30'!$S740</f>
        <v>0</v>
      </c>
      <c r="U740" s="1327"/>
      <c r="V740" s="1327"/>
      <c r="W740" s="1327"/>
    </row>
    <row r="741" spans="1:23" s="1204" customFormat="1" ht="90" hidden="1" x14ac:dyDescent="0.2">
      <c r="A741" s="1169">
        <v>2022828</v>
      </c>
      <c r="B741" s="1169">
        <v>7658</v>
      </c>
      <c r="C741" s="1326" t="s">
        <v>673</v>
      </c>
      <c r="D741" s="1187" t="s">
        <v>693</v>
      </c>
      <c r="E741" s="1171">
        <v>77102002</v>
      </c>
      <c r="F741" s="1171" t="s">
        <v>1360</v>
      </c>
      <c r="G741" s="1343">
        <v>44819</v>
      </c>
      <c r="H741" s="1343">
        <v>44849</v>
      </c>
      <c r="I741" s="1173">
        <v>2</v>
      </c>
      <c r="J741" s="1173" t="s">
        <v>700</v>
      </c>
      <c r="K741" s="1174" t="s">
        <v>678</v>
      </c>
      <c r="L741" s="1175" t="s">
        <v>951</v>
      </c>
      <c r="M741" s="1176">
        <f>20000000-1720669-3479331</f>
        <v>14800000</v>
      </c>
      <c r="N741" s="1344" t="s">
        <v>1032</v>
      </c>
      <c r="O741" s="1171" t="s">
        <v>1033</v>
      </c>
      <c r="P741" s="1218" t="s">
        <v>682</v>
      </c>
      <c r="R741" s="1327"/>
      <c r="S741" s="1327"/>
      <c r="T741" s="1327">
        <f>+'PAA V30'!$R741-'PAA V30'!$S741</f>
        <v>0</v>
      </c>
      <c r="U741" s="1327"/>
      <c r="V741" s="1327"/>
      <c r="W741" s="1327"/>
    </row>
    <row r="742" spans="1:23" s="1204" customFormat="1" ht="105" hidden="1" x14ac:dyDescent="0.2">
      <c r="A742" s="1169">
        <v>2022829</v>
      </c>
      <c r="B742" s="1169">
        <v>7637</v>
      </c>
      <c r="C742" s="1326" t="s">
        <v>645</v>
      </c>
      <c r="D742" s="1187" t="s">
        <v>674</v>
      </c>
      <c r="E742" s="1171">
        <v>80111600</v>
      </c>
      <c r="F742" s="1171" t="s">
        <v>1361</v>
      </c>
      <c r="G742" s="1343">
        <v>44805</v>
      </c>
      <c r="H742" s="1343">
        <v>44819</v>
      </c>
      <c r="I742" s="1173">
        <v>2</v>
      </c>
      <c r="J742" s="1173" t="s">
        <v>677</v>
      </c>
      <c r="K742" s="1174" t="s">
        <v>678</v>
      </c>
      <c r="L742" s="1175" t="s">
        <v>951</v>
      </c>
      <c r="M742" s="1176">
        <v>10000000</v>
      </c>
      <c r="N742" s="1186" t="s">
        <v>680</v>
      </c>
      <c r="O742" s="1171" t="s">
        <v>681</v>
      </c>
      <c r="P742" s="1218" t="s">
        <v>682</v>
      </c>
      <c r="R742" s="1327"/>
      <c r="S742" s="1327"/>
      <c r="T742" s="1327">
        <f>+'PAA V30'!$R742-'PAA V30'!$S742</f>
        <v>0</v>
      </c>
      <c r="U742" s="1327"/>
      <c r="V742" s="1327"/>
      <c r="W742" s="1327"/>
    </row>
    <row r="743" spans="1:23" s="1204" customFormat="1" ht="75" hidden="1" x14ac:dyDescent="0.2">
      <c r="A743" s="1169">
        <v>2022830</v>
      </c>
      <c r="B743" s="1169">
        <v>7655</v>
      </c>
      <c r="C743" s="1326" t="s">
        <v>648</v>
      </c>
      <c r="D743" s="1187" t="s">
        <v>696</v>
      </c>
      <c r="E743" s="1171">
        <v>80111600</v>
      </c>
      <c r="F743" s="1171" t="s">
        <v>1362</v>
      </c>
      <c r="G743" s="1343">
        <v>44817</v>
      </c>
      <c r="H743" s="1343">
        <v>44820</v>
      </c>
      <c r="I743" s="1173">
        <v>4</v>
      </c>
      <c r="J743" s="1173" t="s">
        <v>677</v>
      </c>
      <c r="K743" s="1174" t="s">
        <v>678</v>
      </c>
      <c r="L743" s="1175" t="s">
        <v>951</v>
      </c>
      <c r="M743" s="1176">
        <v>12916800</v>
      </c>
      <c r="N743" s="1344" t="s">
        <v>784</v>
      </c>
      <c r="O743" s="1171" t="s">
        <v>771</v>
      </c>
      <c r="P743" s="1218" t="s">
        <v>759</v>
      </c>
      <c r="R743" s="1327"/>
      <c r="S743" s="1327"/>
      <c r="T743" s="1327">
        <f>+'PAA V30'!$R743-'PAA V30'!$S743</f>
        <v>0</v>
      </c>
      <c r="U743" s="1327"/>
      <c r="V743" s="1327"/>
      <c r="W743" s="1327"/>
    </row>
    <row r="744" spans="1:23" s="1204" customFormat="1" ht="75" hidden="1" x14ac:dyDescent="0.2">
      <c r="A744" s="1169">
        <v>2022831</v>
      </c>
      <c r="B744" s="1169">
        <v>7655</v>
      </c>
      <c r="C744" s="1326" t="s">
        <v>648</v>
      </c>
      <c r="D744" s="1187" t="s">
        <v>696</v>
      </c>
      <c r="E744" s="1171">
        <v>80111600</v>
      </c>
      <c r="F744" s="1171" t="s">
        <v>1363</v>
      </c>
      <c r="G744" s="1343">
        <v>44817</v>
      </c>
      <c r="H744" s="1343">
        <v>44820</v>
      </c>
      <c r="I744" s="1173">
        <v>3.5</v>
      </c>
      <c r="J744" s="1173" t="s">
        <v>677</v>
      </c>
      <c r="K744" s="1174" t="s">
        <v>678</v>
      </c>
      <c r="L744" s="1175" t="s">
        <v>951</v>
      </c>
      <c r="M744" s="1176">
        <v>14055300</v>
      </c>
      <c r="N744" s="1344" t="s">
        <v>784</v>
      </c>
      <c r="O744" s="1171" t="s">
        <v>771</v>
      </c>
      <c r="P744" s="1218" t="s">
        <v>759</v>
      </c>
      <c r="R744" s="1327"/>
      <c r="S744" s="1327"/>
      <c r="T744" s="1327">
        <f>+'PAA V30'!$R744-'PAA V30'!$S744</f>
        <v>0</v>
      </c>
      <c r="U744" s="1327"/>
      <c r="V744" s="1327"/>
      <c r="W744" s="1327"/>
    </row>
    <row r="745" spans="1:23" s="1204" customFormat="1" ht="75" hidden="1" x14ac:dyDescent="0.2">
      <c r="A745" s="1169">
        <v>2022832</v>
      </c>
      <c r="B745" s="1169">
        <v>7655</v>
      </c>
      <c r="C745" s="1326" t="s">
        <v>648</v>
      </c>
      <c r="D745" s="1187" t="s">
        <v>696</v>
      </c>
      <c r="E745" s="1171">
        <v>80111600</v>
      </c>
      <c r="F745" s="1171" t="s">
        <v>1364</v>
      </c>
      <c r="G745" s="1343">
        <v>44817</v>
      </c>
      <c r="H745" s="1343">
        <v>44820</v>
      </c>
      <c r="I745" s="1173">
        <v>4</v>
      </c>
      <c r="J745" s="1173" t="s">
        <v>677</v>
      </c>
      <c r="K745" s="1174" t="s">
        <v>678</v>
      </c>
      <c r="L745" s="1175" t="s">
        <v>951</v>
      </c>
      <c r="M745" s="1176">
        <v>20010000</v>
      </c>
      <c r="N745" s="1344" t="s">
        <v>784</v>
      </c>
      <c r="O745" s="1171" t="s">
        <v>771</v>
      </c>
      <c r="P745" s="1218" t="s">
        <v>759</v>
      </c>
      <c r="R745" s="1327"/>
      <c r="S745" s="1327"/>
      <c r="T745" s="1327">
        <f>+'PAA V30'!$R745-'PAA V30'!$S745</f>
        <v>0</v>
      </c>
      <c r="U745" s="1327"/>
      <c r="V745" s="1327"/>
      <c r="W745" s="1327"/>
    </row>
    <row r="746" spans="1:23" s="1204" customFormat="1" ht="75" hidden="1" x14ac:dyDescent="0.2">
      <c r="A746" s="1169">
        <v>2022833</v>
      </c>
      <c r="B746" s="1169">
        <v>7655</v>
      </c>
      <c r="C746" s="1326" t="s">
        <v>648</v>
      </c>
      <c r="D746" s="1187" t="s">
        <v>696</v>
      </c>
      <c r="E746" s="1171">
        <v>80111600</v>
      </c>
      <c r="F746" s="1171" t="s">
        <v>1365</v>
      </c>
      <c r="G746" s="1343">
        <v>44819</v>
      </c>
      <c r="H746" s="1343">
        <v>44823</v>
      </c>
      <c r="I746" s="1173">
        <v>3</v>
      </c>
      <c r="J746" s="1173" t="s">
        <v>677</v>
      </c>
      <c r="K746" s="1174" t="s">
        <v>678</v>
      </c>
      <c r="L746" s="1175" t="s">
        <v>951</v>
      </c>
      <c r="M746" s="1176">
        <v>15007500</v>
      </c>
      <c r="N746" s="1344" t="s">
        <v>784</v>
      </c>
      <c r="O746" s="1171" t="s">
        <v>771</v>
      </c>
      <c r="P746" s="1218" t="s">
        <v>759</v>
      </c>
      <c r="R746" s="1327"/>
      <c r="S746" s="1327"/>
      <c r="T746" s="1327">
        <f>+'PAA V30'!$R746-'PAA V30'!$S746</f>
        <v>0</v>
      </c>
      <c r="U746" s="1327"/>
      <c r="V746" s="1327"/>
      <c r="W746" s="1327"/>
    </row>
    <row r="747" spans="1:23" s="1204" customFormat="1" ht="75" hidden="1" x14ac:dyDescent="0.2">
      <c r="A747" s="1169">
        <v>2022834</v>
      </c>
      <c r="B747" s="1169">
        <v>7655</v>
      </c>
      <c r="C747" s="1326" t="s">
        <v>648</v>
      </c>
      <c r="D747" s="1187" t="s">
        <v>696</v>
      </c>
      <c r="E747" s="1171">
        <v>80111600</v>
      </c>
      <c r="F747" s="1171" t="s">
        <v>1366</v>
      </c>
      <c r="G747" s="1343">
        <v>44824</v>
      </c>
      <c r="H747" s="1343">
        <v>44827</v>
      </c>
      <c r="I747" s="1173">
        <v>3</v>
      </c>
      <c r="J747" s="1173" t="s">
        <v>677</v>
      </c>
      <c r="K747" s="1174" t="s">
        <v>678</v>
      </c>
      <c r="L747" s="1175" t="s">
        <v>951</v>
      </c>
      <c r="M747" s="1176">
        <v>15750633</v>
      </c>
      <c r="N747" s="1344" t="s">
        <v>784</v>
      </c>
      <c r="O747" s="1171" t="s">
        <v>771</v>
      </c>
      <c r="P747" s="1218" t="s">
        <v>759</v>
      </c>
      <c r="R747" s="1327"/>
      <c r="S747" s="1327"/>
      <c r="T747" s="1327">
        <f>+'PAA V30'!$R747-'PAA V30'!$S747</f>
        <v>0</v>
      </c>
      <c r="U747" s="1327"/>
      <c r="V747" s="1327"/>
      <c r="W747" s="1327"/>
    </row>
    <row r="748" spans="1:23" s="1204" customFormat="1" ht="120" hidden="1" x14ac:dyDescent="0.2">
      <c r="A748" s="1169">
        <v>2022835</v>
      </c>
      <c r="B748" s="1169">
        <v>7655</v>
      </c>
      <c r="C748" s="1326" t="s">
        <v>648</v>
      </c>
      <c r="D748" s="1187" t="s">
        <v>696</v>
      </c>
      <c r="E748" s="1171">
        <v>80111600</v>
      </c>
      <c r="F748" s="1171" t="s">
        <v>1367</v>
      </c>
      <c r="G748" s="1343">
        <v>44824</v>
      </c>
      <c r="H748" s="1343">
        <v>44827</v>
      </c>
      <c r="I748" s="1173">
        <v>3.5</v>
      </c>
      <c r="J748" s="1173" t="s">
        <v>677</v>
      </c>
      <c r="K748" s="1174" t="s">
        <v>678</v>
      </c>
      <c r="L748" s="1175" t="s">
        <v>951</v>
      </c>
      <c r="M748" s="1176">
        <v>14055300</v>
      </c>
      <c r="N748" s="1344" t="s">
        <v>784</v>
      </c>
      <c r="O748" s="1171" t="s">
        <v>771</v>
      </c>
      <c r="P748" s="1218" t="s">
        <v>759</v>
      </c>
      <c r="R748" s="1327"/>
      <c r="S748" s="1327"/>
      <c r="T748" s="1327">
        <f>+'PAA V30'!$R748-'PAA V30'!$S748</f>
        <v>0</v>
      </c>
      <c r="U748" s="1327"/>
      <c r="V748" s="1327"/>
      <c r="W748" s="1327"/>
    </row>
    <row r="749" spans="1:23" s="1204" customFormat="1" ht="75" hidden="1" x14ac:dyDescent="0.2">
      <c r="A749" s="1169">
        <v>2022836</v>
      </c>
      <c r="B749" s="1169">
        <v>7655</v>
      </c>
      <c r="C749" s="1326" t="s">
        <v>648</v>
      </c>
      <c r="D749" s="1187" t="s">
        <v>696</v>
      </c>
      <c r="E749" s="1171">
        <v>80111600</v>
      </c>
      <c r="F749" s="1171" t="s">
        <v>1368</v>
      </c>
      <c r="G749" s="1343">
        <v>44826</v>
      </c>
      <c r="H749" s="1343">
        <v>44829</v>
      </c>
      <c r="I749" s="1173">
        <v>2</v>
      </c>
      <c r="J749" s="1173" t="s">
        <v>677</v>
      </c>
      <c r="K749" s="1174" t="s">
        <v>678</v>
      </c>
      <c r="L749" s="1175" t="s">
        <v>951</v>
      </c>
      <c r="M749" s="1176">
        <v>7700000</v>
      </c>
      <c r="N749" s="1344" t="s">
        <v>784</v>
      </c>
      <c r="O749" s="1171" t="s">
        <v>771</v>
      </c>
      <c r="P749" s="1218" t="s">
        <v>759</v>
      </c>
      <c r="R749" s="1327"/>
      <c r="S749" s="1327"/>
      <c r="T749" s="1327">
        <f>+'PAA V30'!$R749-'PAA V30'!$S749</f>
        <v>0</v>
      </c>
      <c r="U749" s="1327"/>
      <c r="V749" s="1327"/>
      <c r="W749" s="1327"/>
    </row>
    <row r="750" spans="1:23" s="1204" customFormat="1" ht="75" hidden="1" x14ac:dyDescent="0.2">
      <c r="A750" s="1169">
        <v>2022837</v>
      </c>
      <c r="B750" s="1169">
        <v>7655</v>
      </c>
      <c r="C750" s="1326" t="s">
        <v>648</v>
      </c>
      <c r="D750" s="1187" t="s">
        <v>696</v>
      </c>
      <c r="E750" s="1171">
        <v>80111600</v>
      </c>
      <c r="F750" s="1171" t="s">
        <v>1369</v>
      </c>
      <c r="G750" s="1343">
        <v>44831</v>
      </c>
      <c r="H750" s="1343">
        <v>44834</v>
      </c>
      <c r="I750" s="1173">
        <v>2.5</v>
      </c>
      <c r="J750" s="1173" t="s">
        <v>677</v>
      </c>
      <c r="K750" s="1174" t="s">
        <v>678</v>
      </c>
      <c r="L750" s="1175" t="s">
        <v>951</v>
      </c>
      <c r="M750" s="1176">
        <v>10867500</v>
      </c>
      <c r="N750" s="1344" t="s">
        <v>784</v>
      </c>
      <c r="O750" s="1171" t="s">
        <v>771</v>
      </c>
      <c r="P750" s="1218" t="s">
        <v>759</v>
      </c>
      <c r="R750" s="1327"/>
      <c r="S750" s="1327"/>
      <c r="T750" s="1327">
        <f>+'PAA V30'!$R750-'PAA V30'!$S750</f>
        <v>0</v>
      </c>
      <c r="U750" s="1327"/>
      <c r="V750" s="1327"/>
      <c r="W750" s="1327"/>
    </row>
    <row r="751" spans="1:23" s="1204" customFormat="1" ht="75" hidden="1" x14ac:dyDescent="0.2">
      <c r="A751" s="1169">
        <v>2022840</v>
      </c>
      <c r="B751" s="1169">
        <v>7655</v>
      </c>
      <c r="C751" s="1326" t="s">
        <v>648</v>
      </c>
      <c r="D751" s="1187" t="s">
        <v>696</v>
      </c>
      <c r="E751" s="1171">
        <v>80111600</v>
      </c>
      <c r="F751" s="1171" t="s">
        <v>851</v>
      </c>
      <c r="G751" s="1343">
        <v>44814</v>
      </c>
      <c r="H751" s="1343">
        <v>44821</v>
      </c>
      <c r="I751" s="1173">
        <v>3</v>
      </c>
      <c r="J751" s="1173" t="s">
        <v>677</v>
      </c>
      <c r="K751" s="1174" t="s">
        <v>678</v>
      </c>
      <c r="L751" s="1175" t="s">
        <v>951</v>
      </c>
      <c r="M751" s="1176">
        <v>16509700</v>
      </c>
      <c r="N751" s="1344" t="s">
        <v>784</v>
      </c>
      <c r="O751" s="1171" t="s">
        <v>771</v>
      </c>
      <c r="P751" s="1218" t="s">
        <v>682</v>
      </c>
      <c r="R751" s="1327"/>
      <c r="S751" s="1327"/>
      <c r="T751" s="1327">
        <f>+'PAA V30'!$R751-'PAA V30'!$S751</f>
        <v>0</v>
      </c>
      <c r="U751" s="1327"/>
      <c r="V751" s="1327"/>
      <c r="W751" s="1327"/>
    </row>
    <row r="752" spans="1:23" s="1204" customFormat="1" ht="75" hidden="1" x14ac:dyDescent="0.2">
      <c r="A752" s="1169">
        <v>2022841</v>
      </c>
      <c r="B752" s="1169">
        <v>7655</v>
      </c>
      <c r="C752" s="1326" t="s">
        <v>648</v>
      </c>
      <c r="D752" s="1187" t="s">
        <v>696</v>
      </c>
      <c r="E752" s="1171">
        <v>80111600</v>
      </c>
      <c r="F752" s="1171" t="s">
        <v>1370</v>
      </c>
      <c r="G752" s="1343">
        <v>44814</v>
      </c>
      <c r="H752" s="1343">
        <v>44821</v>
      </c>
      <c r="I752" s="1173">
        <v>4</v>
      </c>
      <c r="J752" s="1173" t="s">
        <v>677</v>
      </c>
      <c r="K752" s="1174" t="s">
        <v>678</v>
      </c>
      <c r="L752" s="1175" t="s">
        <v>951</v>
      </c>
      <c r="M752" s="1176">
        <v>13400000</v>
      </c>
      <c r="N752" s="1344" t="s">
        <v>784</v>
      </c>
      <c r="O752" s="1171" t="s">
        <v>771</v>
      </c>
      <c r="P752" s="1218" t="s">
        <v>682</v>
      </c>
      <c r="R752" s="1327"/>
      <c r="S752" s="1327"/>
      <c r="T752" s="1327">
        <f>+'PAA V30'!$R752-'PAA V30'!$S752</f>
        <v>0</v>
      </c>
      <c r="U752" s="1327"/>
      <c r="V752" s="1327"/>
      <c r="W752" s="1327"/>
    </row>
    <row r="753" spans="1:23" s="1204" customFormat="1" ht="75" hidden="1" x14ac:dyDescent="0.2">
      <c r="A753" s="1169">
        <v>2022842</v>
      </c>
      <c r="B753" s="1169">
        <v>7658</v>
      </c>
      <c r="C753" s="1326" t="s">
        <v>673</v>
      </c>
      <c r="D753" s="1187" t="s">
        <v>696</v>
      </c>
      <c r="E753" s="1171">
        <v>80111600</v>
      </c>
      <c r="F753" s="1171" t="s">
        <v>1371</v>
      </c>
      <c r="G753" s="1343">
        <v>44822</v>
      </c>
      <c r="H753" s="1343">
        <v>44825</v>
      </c>
      <c r="I753" s="1173">
        <v>3</v>
      </c>
      <c r="J753" s="1173" t="s">
        <v>677</v>
      </c>
      <c r="K753" s="1174" t="s">
        <v>678</v>
      </c>
      <c r="L753" s="1175" t="s">
        <v>951</v>
      </c>
      <c r="M753" s="1176">
        <v>7350000</v>
      </c>
      <c r="N753" s="1344" t="s">
        <v>765</v>
      </c>
      <c r="O753" s="1171" t="s">
        <v>764</v>
      </c>
      <c r="P753" s="1218" t="s">
        <v>759</v>
      </c>
      <c r="R753" s="1327"/>
      <c r="S753" s="1327"/>
      <c r="T753" s="1327">
        <f>+'PAA V30'!$R753-'PAA V30'!$S753</f>
        <v>0</v>
      </c>
      <c r="U753" s="1327"/>
      <c r="V753" s="1327"/>
      <c r="W753" s="1327"/>
    </row>
    <row r="754" spans="1:23" s="1204" customFormat="1" ht="75" hidden="1" x14ac:dyDescent="0.2">
      <c r="A754" s="1169">
        <v>2022843</v>
      </c>
      <c r="B754" s="1169">
        <v>7658</v>
      </c>
      <c r="C754" s="1326" t="s">
        <v>673</v>
      </c>
      <c r="D754" s="1187" t="s">
        <v>696</v>
      </c>
      <c r="E754" s="1171">
        <v>80111600</v>
      </c>
      <c r="F754" s="1171" t="s">
        <v>1372</v>
      </c>
      <c r="G754" s="1343">
        <v>44824</v>
      </c>
      <c r="H754" s="1343">
        <v>44827</v>
      </c>
      <c r="I754" s="1173">
        <v>4</v>
      </c>
      <c r="J754" s="1173" t="s">
        <v>677</v>
      </c>
      <c r="K754" s="1174" t="s">
        <v>678</v>
      </c>
      <c r="L754" s="1175" t="s">
        <v>951</v>
      </c>
      <c r="M754" s="1176">
        <v>15939000</v>
      </c>
      <c r="N754" s="1344" t="s">
        <v>765</v>
      </c>
      <c r="O754" s="1171" t="s">
        <v>764</v>
      </c>
      <c r="P754" s="1218" t="s">
        <v>759</v>
      </c>
      <c r="R754" s="1327"/>
      <c r="S754" s="1327"/>
      <c r="T754" s="1327">
        <f>+'PAA V30'!$R754-'PAA V30'!$S754</f>
        <v>0</v>
      </c>
      <c r="U754" s="1327"/>
      <c r="V754" s="1327"/>
      <c r="W754" s="1327"/>
    </row>
    <row r="755" spans="1:23" s="1204" customFormat="1" ht="75" hidden="1" x14ac:dyDescent="0.2">
      <c r="A755" s="1169">
        <v>2022844</v>
      </c>
      <c r="B755" s="1169">
        <v>7658</v>
      </c>
      <c r="C755" s="1326" t="s">
        <v>673</v>
      </c>
      <c r="D755" s="1187" t="s">
        <v>696</v>
      </c>
      <c r="E755" s="1171">
        <v>80111600</v>
      </c>
      <c r="F755" s="1171" t="s">
        <v>1373</v>
      </c>
      <c r="G755" s="1343">
        <v>44814</v>
      </c>
      <c r="H755" s="1343">
        <v>44821</v>
      </c>
      <c r="I755" s="1173">
        <v>6</v>
      </c>
      <c r="J755" s="1173" t="s">
        <v>677</v>
      </c>
      <c r="K755" s="1174" t="s">
        <v>678</v>
      </c>
      <c r="L755" s="1175" t="s">
        <v>951</v>
      </c>
      <c r="M755" s="1176">
        <f>16500000-1439533-4060467</f>
        <v>11000000</v>
      </c>
      <c r="N755" s="1344" t="s">
        <v>765</v>
      </c>
      <c r="O755" s="1171" t="s">
        <v>764</v>
      </c>
      <c r="P755" s="1218" t="s">
        <v>682</v>
      </c>
      <c r="R755" s="1327"/>
      <c r="S755" s="1327"/>
      <c r="T755" s="1327">
        <f>+'PAA V30'!$R755-'PAA V30'!$S755</f>
        <v>0</v>
      </c>
      <c r="U755" s="1327"/>
      <c r="V755" s="1327"/>
      <c r="W755" s="1327"/>
    </row>
    <row r="756" spans="1:23" s="1204" customFormat="1" ht="90" hidden="1" x14ac:dyDescent="0.2">
      <c r="A756" s="1169">
        <v>2022845</v>
      </c>
      <c r="B756" s="1169">
        <v>7655</v>
      </c>
      <c r="C756" s="1326" t="s">
        <v>648</v>
      </c>
      <c r="D756" s="1187" t="s">
        <v>690</v>
      </c>
      <c r="E756" s="1171" t="s">
        <v>781</v>
      </c>
      <c r="F756" s="1171" t="s">
        <v>1374</v>
      </c>
      <c r="G756" s="1343">
        <v>44805</v>
      </c>
      <c r="H756" s="1343">
        <v>44814</v>
      </c>
      <c r="I756" s="1173">
        <v>4</v>
      </c>
      <c r="J756" s="1173" t="s">
        <v>677</v>
      </c>
      <c r="K756" s="1174" t="s">
        <v>678</v>
      </c>
      <c r="L756" s="1175" t="s">
        <v>951</v>
      </c>
      <c r="M756" s="1176">
        <v>36000000</v>
      </c>
      <c r="N756" s="1344" t="s">
        <v>784</v>
      </c>
      <c r="O756" s="1171" t="s">
        <v>771</v>
      </c>
      <c r="P756" s="1350" t="s">
        <v>682</v>
      </c>
      <c r="R756" s="1327"/>
      <c r="S756" s="1327"/>
      <c r="T756" s="1327">
        <f>+'PAA V30'!$R756-'PAA V30'!$S756</f>
        <v>0</v>
      </c>
      <c r="U756" s="1327"/>
      <c r="V756" s="1327"/>
      <c r="W756" s="1327"/>
    </row>
    <row r="757" spans="1:23" s="1204" customFormat="1" ht="105" hidden="1" x14ac:dyDescent="0.2">
      <c r="A757" s="1169">
        <v>2022846</v>
      </c>
      <c r="B757" s="1169" t="s">
        <v>459</v>
      </c>
      <c r="C757" s="1326"/>
      <c r="D757" s="1187" t="s">
        <v>674</v>
      </c>
      <c r="E757" s="1171">
        <v>81111811</v>
      </c>
      <c r="F757" s="1171" t="s">
        <v>1375</v>
      </c>
      <c r="G757" s="1343">
        <v>44866</v>
      </c>
      <c r="H757" s="1343">
        <v>44876</v>
      </c>
      <c r="I757" s="1173">
        <v>3</v>
      </c>
      <c r="J757" s="1173" t="s">
        <v>721</v>
      </c>
      <c r="K757" s="1174" t="s">
        <v>678</v>
      </c>
      <c r="L757" s="1175" t="s">
        <v>951</v>
      </c>
      <c r="M757" s="1176">
        <v>70867180</v>
      </c>
      <c r="N757" s="1344"/>
      <c r="O757" s="1171"/>
      <c r="P757" s="1350" t="s">
        <v>759</v>
      </c>
      <c r="R757" s="1327"/>
      <c r="S757" s="1327"/>
      <c r="T757" s="1327">
        <f>+'PAA V30'!$R757-'PAA V30'!$S757</f>
        <v>0</v>
      </c>
      <c r="U757" s="1327"/>
      <c r="V757" s="1327"/>
      <c r="W757" s="1327"/>
    </row>
    <row r="758" spans="1:23" s="1204" customFormat="1" ht="75" hidden="1" x14ac:dyDescent="0.2">
      <c r="A758" s="1169">
        <v>2022847</v>
      </c>
      <c r="B758" s="1169">
        <v>7655</v>
      </c>
      <c r="C758" s="1326" t="s">
        <v>648</v>
      </c>
      <c r="D758" s="1187" t="s">
        <v>683</v>
      </c>
      <c r="E758" s="1171">
        <v>80111600</v>
      </c>
      <c r="F758" s="1171" t="s">
        <v>1376</v>
      </c>
      <c r="G758" s="1343">
        <v>44814</v>
      </c>
      <c r="H758" s="1343">
        <v>44815</v>
      </c>
      <c r="I758" s="1173">
        <v>3.6</v>
      </c>
      <c r="J758" s="1173" t="s">
        <v>677</v>
      </c>
      <c r="K758" s="1174" t="s">
        <v>678</v>
      </c>
      <c r="L758" s="1175" t="s">
        <v>951</v>
      </c>
      <c r="M758" s="1176">
        <v>25666667</v>
      </c>
      <c r="N758" s="1344" t="s">
        <v>784</v>
      </c>
      <c r="O758" s="1171" t="s">
        <v>771</v>
      </c>
      <c r="P758" s="1218" t="s">
        <v>682</v>
      </c>
      <c r="R758" s="1327"/>
      <c r="S758" s="1327"/>
      <c r="T758" s="1327">
        <f>+'PAA V30'!$R758-'PAA V30'!$S758</f>
        <v>0</v>
      </c>
      <c r="U758" s="1327"/>
      <c r="V758" s="1327"/>
      <c r="W758" s="1327"/>
    </row>
    <row r="759" spans="1:23" s="1204" customFormat="1" ht="75" hidden="1" x14ac:dyDescent="0.2">
      <c r="A759" s="1169">
        <v>2022848</v>
      </c>
      <c r="B759" s="1169">
        <v>7655</v>
      </c>
      <c r="C759" s="1326" t="s">
        <v>648</v>
      </c>
      <c r="D759" s="1187" t="s">
        <v>683</v>
      </c>
      <c r="E759" s="1171">
        <v>80111600</v>
      </c>
      <c r="F759" s="1171" t="s">
        <v>1377</v>
      </c>
      <c r="G759" s="1343">
        <v>44814</v>
      </c>
      <c r="H759" s="1343">
        <v>44815</v>
      </c>
      <c r="I759" s="1173">
        <v>3.6</v>
      </c>
      <c r="J759" s="1173" t="s">
        <v>677</v>
      </c>
      <c r="K759" s="1174" t="s">
        <v>678</v>
      </c>
      <c r="L759" s="1175" t="s">
        <v>951</v>
      </c>
      <c r="M759" s="1176">
        <v>20166667</v>
      </c>
      <c r="N759" s="1344" t="s">
        <v>784</v>
      </c>
      <c r="O759" s="1171" t="s">
        <v>771</v>
      </c>
      <c r="P759" s="1218" t="s">
        <v>682</v>
      </c>
      <c r="R759" s="1327"/>
      <c r="S759" s="1327"/>
      <c r="T759" s="1327">
        <f>+'PAA V30'!$R759-'PAA V30'!$S759</f>
        <v>0</v>
      </c>
      <c r="U759" s="1327"/>
      <c r="V759" s="1327"/>
      <c r="W759" s="1327"/>
    </row>
    <row r="760" spans="1:23" s="1204" customFormat="1" ht="75" hidden="1" x14ac:dyDescent="0.2">
      <c r="A760" s="1169">
        <v>2022851</v>
      </c>
      <c r="B760" s="1169" t="s">
        <v>459</v>
      </c>
      <c r="C760" s="1326"/>
      <c r="D760" s="1187" t="s">
        <v>690</v>
      </c>
      <c r="E760" s="1171">
        <v>841315</v>
      </c>
      <c r="F760" s="1171" t="s">
        <v>1378</v>
      </c>
      <c r="G760" s="1343">
        <v>44819</v>
      </c>
      <c r="H760" s="1343">
        <v>44822</v>
      </c>
      <c r="I760" s="1173">
        <v>7</v>
      </c>
      <c r="J760" s="1173" t="s">
        <v>700</v>
      </c>
      <c r="K760" s="1174" t="s">
        <v>678</v>
      </c>
      <c r="L760" s="1175" t="s">
        <v>951</v>
      </c>
      <c r="M760" s="1176">
        <v>17000000</v>
      </c>
      <c r="N760" s="1344"/>
      <c r="O760" s="1171"/>
      <c r="P760" s="1350" t="s">
        <v>682</v>
      </c>
      <c r="R760" s="1327"/>
      <c r="S760" s="1327"/>
      <c r="T760" s="1327">
        <f>+'PAA V30'!$R760-'PAA V30'!$S760</f>
        <v>0</v>
      </c>
      <c r="U760" s="1327"/>
      <c r="V760" s="1327"/>
      <c r="W760" s="1327"/>
    </row>
    <row r="761" spans="1:23" s="1204" customFormat="1" ht="120" hidden="1" x14ac:dyDescent="0.2">
      <c r="A761" s="1169">
        <v>2022852</v>
      </c>
      <c r="B761" s="1169">
        <v>7658</v>
      </c>
      <c r="C761" s="1326" t="s">
        <v>673</v>
      </c>
      <c r="D761" s="1187" t="s">
        <v>690</v>
      </c>
      <c r="E761" s="1171">
        <v>80111600</v>
      </c>
      <c r="F761" s="1171" t="s">
        <v>1379</v>
      </c>
      <c r="G761" s="1343">
        <v>44819</v>
      </c>
      <c r="H761" s="1343">
        <v>44814</v>
      </c>
      <c r="I761" s="1173">
        <v>3</v>
      </c>
      <c r="J761" s="1173" t="s">
        <v>677</v>
      </c>
      <c r="K761" s="1174" t="s">
        <v>678</v>
      </c>
      <c r="L761" s="1175" t="s">
        <v>951</v>
      </c>
      <c r="M761" s="1176">
        <v>8250000</v>
      </c>
      <c r="N761" s="1344" t="s">
        <v>931</v>
      </c>
      <c r="O761" s="1171" t="s">
        <v>915</v>
      </c>
      <c r="P761" s="1218" t="s">
        <v>682</v>
      </c>
      <c r="R761" s="1327"/>
      <c r="S761" s="1327"/>
      <c r="T761" s="1327">
        <f>+'PAA V30'!$R761-'PAA V30'!$S761</f>
        <v>0</v>
      </c>
      <c r="U761" s="1327"/>
      <c r="V761" s="1327"/>
      <c r="W761" s="1327"/>
    </row>
    <row r="762" spans="1:23" s="1204" customFormat="1" ht="75" hidden="1" x14ac:dyDescent="0.2">
      <c r="A762" s="1169">
        <v>2022853</v>
      </c>
      <c r="B762" s="1169">
        <v>7655</v>
      </c>
      <c r="C762" s="1326" t="s">
        <v>648</v>
      </c>
      <c r="D762" s="1187" t="s">
        <v>696</v>
      </c>
      <c r="E762" s="1171">
        <v>80111600</v>
      </c>
      <c r="F762" s="1171" t="s">
        <v>1380</v>
      </c>
      <c r="G762" s="1343">
        <v>44816</v>
      </c>
      <c r="H762" s="1343">
        <v>44820</v>
      </c>
      <c r="I762" s="1173">
        <v>3</v>
      </c>
      <c r="J762" s="1173" t="s">
        <v>677</v>
      </c>
      <c r="K762" s="1174" t="s">
        <v>678</v>
      </c>
      <c r="L762" s="1175" t="s">
        <v>951</v>
      </c>
      <c r="M762" s="1176">
        <v>13041000</v>
      </c>
      <c r="N762" s="1344" t="s">
        <v>784</v>
      </c>
      <c r="O762" s="1171" t="s">
        <v>771</v>
      </c>
      <c r="P762" s="1218" t="s">
        <v>759</v>
      </c>
      <c r="R762" s="1327"/>
      <c r="S762" s="1327"/>
      <c r="T762" s="1327">
        <f>+'PAA V30'!$R762-'PAA V30'!$S762</f>
        <v>0</v>
      </c>
      <c r="U762" s="1327"/>
      <c r="V762" s="1327"/>
      <c r="W762" s="1327"/>
    </row>
    <row r="763" spans="1:23" s="1204" customFormat="1" ht="75" hidden="1" x14ac:dyDescent="0.2">
      <c r="A763" s="1169">
        <v>2022854</v>
      </c>
      <c r="B763" s="1169">
        <v>7655</v>
      </c>
      <c r="C763" s="1326" t="s">
        <v>648</v>
      </c>
      <c r="D763" s="1187" t="s">
        <v>696</v>
      </c>
      <c r="E763" s="1171">
        <v>80111600</v>
      </c>
      <c r="F763" s="1171" t="s">
        <v>1381</v>
      </c>
      <c r="G763" s="1343">
        <v>44846</v>
      </c>
      <c r="H763" s="1343">
        <v>44850</v>
      </c>
      <c r="I763" s="1173">
        <v>3</v>
      </c>
      <c r="J763" s="1173" t="s">
        <v>677</v>
      </c>
      <c r="K763" s="1174" t="s">
        <v>678</v>
      </c>
      <c r="L763" s="1175" t="s">
        <v>951</v>
      </c>
      <c r="M763" s="1176">
        <v>15300000</v>
      </c>
      <c r="N763" s="1344" t="s">
        <v>784</v>
      </c>
      <c r="O763" s="1171" t="s">
        <v>771</v>
      </c>
      <c r="P763" s="1218" t="s">
        <v>759</v>
      </c>
      <c r="R763" s="1327"/>
      <c r="S763" s="1327"/>
      <c r="T763" s="1327">
        <f>+'PAA V30'!$R763-'PAA V30'!$S763</f>
        <v>0</v>
      </c>
      <c r="U763" s="1327"/>
      <c r="V763" s="1327"/>
      <c r="W763" s="1327"/>
    </row>
    <row r="764" spans="1:23" s="1204" customFormat="1" ht="75" hidden="1" x14ac:dyDescent="0.2">
      <c r="A764" s="1169">
        <v>2022855</v>
      </c>
      <c r="B764" s="1169">
        <v>7655</v>
      </c>
      <c r="C764" s="1326" t="s">
        <v>648</v>
      </c>
      <c r="D764" s="1187" t="s">
        <v>696</v>
      </c>
      <c r="E764" s="1171">
        <v>80111600</v>
      </c>
      <c r="F764" s="1171" t="s">
        <v>1382</v>
      </c>
      <c r="G764" s="1343">
        <v>44851</v>
      </c>
      <c r="H764" s="1343">
        <v>44859</v>
      </c>
      <c r="I764" s="1173">
        <v>3</v>
      </c>
      <c r="J764" s="1173" t="s">
        <v>677</v>
      </c>
      <c r="K764" s="1174" t="s">
        <v>678</v>
      </c>
      <c r="L764" s="1175" t="s">
        <v>951</v>
      </c>
      <c r="M764" s="1176">
        <v>13260000</v>
      </c>
      <c r="N764" s="1344" t="s">
        <v>784</v>
      </c>
      <c r="O764" s="1171" t="s">
        <v>771</v>
      </c>
      <c r="P764" s="1218" t="s">
        <v>759</v>
      </c>
      <c r="R764" s="1327"/>
      <c r="S764" s="1327"/>
      <c r="T764" s="1327">
        <f>+'PAA V30'!$R764-'PAA V30'!$S764</f>
        <v>0</v>
      </c>
      <c r="U764" s="1327"/>
      <c r="V764" s="1327"/>
      <c r="W764" s="1327"/>
    </row>
    <row r="765" spans="1:23" s="1204" customFormat="1" ht="75" hidden="1" x14ac:dyDescent="0.2">
      <c r="A765" s="1169">
        <v>2022856</v>
      </c>
      <c r="B765" s="1169">
        <v>7658</v>
      </c>
      <c r="C765" s="1326" t="s">
        <v>673</v>
      </c>
      <c r="D765" s="1187" t="s">
        <v>696</v>
      </c>
      <c r="E765" s="1171">
        <v>80111600</v>
      </c>
      <c r="F765" s="1171" t="s">
        <v>984</v>
      </c>
      <c r="G765" s="1343">
        <v>44820</v>
      </c>
      <c r="H765" s="1343">
        <v>44823</v>
      </c>
      <c r="I765" s="1173">
        <v>3</v>
      </c>
      <c r="J765" s="1173" t="s">
        <v>677</v>
      </c>
      <c r="K765" s="1174" t="s">
        <v>678</v>
      </c>
      <c r="L765" s="1175" t="s">
        <v>951</v>
      </c>
      <c r="M765" s="1176">
        <v>21000000</v>
      </c>
      <c r="N765" s="1344" t="s">
        <v>765</v>
      </c>
      <c r="O765" s="1171" t="s">
        <v>764</v>
      </c>
      <c r="P765" s="1218" t="s">
        <v>682</v>
      </c>
      <c r="R765" s="1327"/>
      <c r="S765" s="1327"/>
      <c r="T765" s="1327">
        <f>+'PAA V30'!$R765-'PAA V30'!$S765</f>
        <v>0</v>
      </c>
      <c r="U765" s="1327"/>
      <c r="V765" s="1327"/>
      <c r="W765" s="1327"/>
    </row>
    <row r="766" spans="1:23" s="1204" customFormat="1" ht="105" hidden="1" x14ac:dyDescent="0.2">
      <c r="A766" s="1169">
        <v>2022857</v>
      </c>
      <c r="B766" s="1169">
        <v>7637</v>
      </c>
      <c r="C766" s="1326" t="s">
        <v>645</v>
      </c>
      <c r="D766" s="1187" t="s">
        <v>674</v>
      </c>
      <c r="E766" s="1171">
        <v>80111600</v>
      </c>
      <c r="F766" s="1171" t="s">
        <v>1383</v>
      </c>
      <c r="G766" s="1343">
        <v>44819</v>
      </c>
      <c r="H766" s="1343">
        <v>44849</v>
      </c>
      <c r="I766" s="1173">
        <v>2</v>
      </c>
      <c r="J766" s="1173" t="s">
        <v>677</v>
      </c>
      <c r="K766" s="1174" t="s">
        <v>678</v>
      </c>
      <c r="L766" s="1175" t="s">
        <v>951</v>
      </c>
      <c r="M766" s="1176">
        <v>13600000</v>
      </c>
      <c r="N766" s="1186" t="s">
        <v>680</v>
      </c>
      <c r="O766" s="1171" t="s">
        <v>681</v>
      </c>
      <c r="P766" s="1218" t="s">
        <v>682</v>
      </c>
      <c r="R766" s="1327"/>
      <c r="S766" s="1327"/>
      <c r="T766" s="1327">
        <f>+'PAA V30'!$R766-'PAA V30'!$S766</f>
        <v>0</v>
      </c>
      <c r="U766" s="1327"/>
      <c r="V766" s="1327"/>
      <c r="W766" s="1327"/>
    </row>
    <row r="767" spans="1:23" s="1204" customFormat="1" ht="120" hidden="1" x14ac:dyDescent="0.2">
      <c r="A767" s="1169">
        <v>2022858</v>
      </c>
      <c r="B767" s="1169">
        <v>7658</v>
      </c>
      <c r="C767" s="1326" t="s">
        <v>673</v>
      </c>
      <c r="D767" s="1187" t="s">
        <v>702</v>
      </c>
      <c r="E767" s="1199">
        <v>80111600</v>
      </c>
      <c r="F767" s="1187" t="s">
        <v>1384</v>
      </c>
      <c r="G767" s="1345">
        <v>44824</v>
      </c>
      <c r="H767" s="1345">
        <v>44828</v>
      </c>
      <c r="I767" s="1173">
        <v>1</v>
      </c>
      <c r="J767" s="1173" t="s">
        <v>677</v>
      </c>
      <c r="K767" s="1174" t="s">
        <v>678</v>
      </c>
      <c r="L767" s="1175" t="s">
        <v>951</v>
      </c>
      <c r="M767" s="1176">
        <f>6000000+2250000</f>
        <v>8250000</v>
      </c>
      <c r="N767" s="1361" t="s">
        <v>1002</v>
      </c>
      <c r="O767" s="1199" t="s">
        <v>915</v>
      </c>
      <c r="P767" s="1218" t="s">
        <v>759</v>
      </c>
      <c r="R767" s="1327"/>
      <c r="S767" s="1327"/>
      <c r="T767" s="1327">
        <f>+'PAA V30'!$R767-'PAA V30'!$S767</f>
        <v>0</v>
      </c>
      <c r="U767" s="1327"/>
      <c r="V767" s="1327"/>
      <c r="W767" s="1327"/>
    </row>
    <row r="768" spans="1:23" s="1204" customFormat="1" ht="105" hidden="1" x14ac:dyDescent="0.2">
      <c r="A768" s="1169">
        <v>2022859</v>
      </c>
      <c r="B768" s="1169">
        <v>7655</v>
      </c>
      <c r="C768" s="1326" t="s">
        <v>648</v>
      </c>
      <c r="D768" s="1187" t="s">
        <v>690</v>
      </c>
      <c r="E768" s="1171" t="s">
        <v>781</v>
      </c>
      <c r="F768" s="1171" t="s">
        <v>1385</v>
      </c>
      <c r="G768" s="1343">
        <v>44788</v>
      </c>
      <c r="H768" s="1343">
        <v>44778</v>
      </c>
      <c r="I768" s="1173">
        <v>1</v>
      </c>
      <c r="J768" s="1173" t="s">
        <v>677</v>
      </c>
      <c r="K768" s="1174" t="s">
        <v>678</v>
      </c>
      <c r="L768" s="1175" t="s">
        <v>951</v>
      </c>
      <c r="M768" s="1176">
        <v>2750000</v>
      </c>
      <c r="N768" s="1344" t="s">
        <v>784</v>
      </c>
      <c r="O768" s="1171" t="s">
        <v>771</v>
      </c>
      <c r="P768" s="1218" t="s">
        <v>759</v>
      </c>
      <c r="R768" s="1327"/>
      <c r="S768" s="1327"/>
      <c r="T768" s="1327">
        <f>+'PAA V30'!$R768-'PAA V30'!$S768</f>
        <v>0</v>
      </c>
      <c r="U768" s="1327"/>
      <c r="V768" s="1327"/>
      <c r="W768" s="1327"/>
    </row>
    <row r="769" spans="1:23" s="1204" customFormat="1" ht="120" hidden="1" x14ac:dyDescent="0.2">
      <c r="A769" s="1169">
        <v>2022860</v>
      </c>
      <c r="B769" s="1169">
        <v>7658</v>
      </c>
      <c r="C769" s="1326" t="s">
        <v>673</v>
      </c>
      <c r="D769" s="1187" t="s">
        <v>699</v>
      </c>
      <c r="E769" s="1171"/>
      <c r="F769" s="1186" t="s">
        <v>1386</v>
      </c>
      <c r="G769" s="1343">
        <v>44849</v>
      </c>
      <c r="H769" s="1343">
        <v>44849</v>
      </c>
      <c r="I769" s="1173" t="s">
        <v>97</v>
      </c>
      <c r="J769" s="1173" t="s">
        <v>97</v>
      </c>
      <c r="K769" s="1174" t="s">
        <v>516</v>
      </c>
      <c r="L769" s="1175" t="s">
        <v>951</v>
      </c>
      <c r="M769" s="1176">
        <v>7391030</v>
      </c>
      <c r="N769" s="1344" t="s">
        <v>772</v>
      </c>
      <c r="O769" s="1171" t="s">
        <v>915</v>
      </c>
      <c r="P769" s="1218" t="s">
        <v>759</v>
      </c>
      <c r="R769" s="1327"/>
      <c r="S769" s="1327"/>
      <c r="T769" s="1327">
        <f>+'PAA V30'!$R769-'PAA V30'!$S769</f>
        <v>0</v>
      </c>
      <c r="U769" s="1327"/>
      <c r="V769" s="1327"/>
      <c r="W769" s="1327"/>
    </row>
    <row r="770" spans="1:23" s="1204" customFormat="1" ht="120" hidden="1" x14ac:dyDescent="0.2">
      <c r="A770" s="1169">
        <v>2022862</v>
      </c>
      <c r="B770" s="1169">
        <v>7658</v>
      </c>
      <c r="C770" s="1326" t="s">
        <v>673</v>
      </c>
      <c r="D770" s="1187" t="s">
        <v>702</v>
      </c>
      <c r="E770" s="1171">
        <v>80111600</v>
      </c>
      <c r="F770" s="1171" t="s">
        <v>1387</v>
      </c>
      <c r="G770" s="1343">
        <v>44866</v>
      </c>
      <c r="H770" s="1343">
        <v>44885</v>
      </c>
      <c r="I770" s="1173">
        <v>0.5</v>
      </c>
      <c r="J770" s="1173" t="s">
        <v>677</v>
      </c>
      <c r="K770" s="1174" t="s">
        <v>678</v>
      </c>
      <c r="L770" s="1175" t="s">
        <v>951</v>
      </c>
      <c r="M770" s="1176">
        <v>750000</v>
      </c>
      <c r="N770" s="1344" t="s">
        <v>1002</v>
      </c>
      <c r="O770" s="1171" t="s">
        <v>915</v>
      </c>
      <c r="P770" s="1218" t="s">
        <v>759</v>
      </c>
      <c r="R770" s="1327"/>
      <c r="S770" s="1327"/>
      <c r="T770" s="1327">
        <f>+'PAA V30'!$R770-'PAA V30'!$S770</f>
        <v>0</v>
      </c>
      <c r="U770" s="1327"/>
      <c r="V770" s="1327"/>
      <c r="W770" s="1327"/>
    </row>
    <row r="771" spans="1:23" s="1204" customFormat="1" ht="120" hidden="1" x14ac:dyDescent="0.2">
      <c r="A771" s="1169">
        <v>2022863</v>
      </c>
      <c r="B771" s="1169">
        <v>7658</v>
      </c>
      <c r="C771" s="1326" t="s">
        <v>673</v>
      </c>
      <c r="D771" s="1187" t="s">
        <v>702</v>
      </c>
      <c r="E771" s="1171">
        <v>80111600</v>
      </c>
      <c r="F771" s="1171" t="s">
        <v>1388</v>
      </c>
      <c r="G771" s="1343">
        <v>44866</v>
      </c>
      <c r="H771" s="1343">
        <v>44885</v>
      </c>
      <c r="I771" s="1173">
        <v>0.5</v>
      </c>
      <c r="J771" s="1173" t="s">
        <v>677</v>
      </c>
      <c r="K771" s="1174" t="s">
        <v>678</v>
      </c>
      <c r="L771" s="1175" t="s">
        <v>951</v>
      </c>
      <c r="M771" s="1176">
        <v>558333</v>
      </c>
      <c r="N771" s="1344" t="s">
        <v>1002</v>
      </c>
      <c r="O771" s="1171" t="s">
        <v>915</v>
      </c>
      <c r="P771" s="1218" t="s">
        <v>759</v>
      </c>
      <c r="R771" s="1327"/>
      <c r="S771" s="1327"/>
      <c r="T771" s="1327">
        <f>+'PAA V30'!$R771-'PAA V30'!$S771</f>
        <v>0</v>
      </c>
      <c r="U771" s="1327"/>
      <c r="V771" s="1327"/>
      <c r="W771" s="1327"/>
    </row>
    <row r="772" spans="1:23" s="1204" customFormat="1" ht="120" hidden="1" x14ac:dyDescent="0.2">
      <c r="A772" s="1169">
        <v>2022864</v>
      </c>
      <c r="B772" s="1169">
        <v>7658</v>
      </c>
      <c r="C772" s="1326" t="s">
        <v>673</v>
      </c>
      <c r="D772" s="1187" t="s">
        <v>702</v>
      </c>
      <c r="E772" s="1171">
        <v>80111600</v>
      </c>
      <c r="F772" s="1171" t="s">
        <v>1389</v>
      </c>
      <c r="G772" s="1343">
        <v>44866</v>
      </c>
      <c r="H772" s="1343">
        <v>44885</v>
      </c>
      <c r="I772" s="1173">
        <v>0.5</v>
      </c>
      <c r="J772" s="1173" t="s">
        <v>677</v>
      </c>
      <c r="K772" s="1174" t="s">
        <v>678</v>
      </c>
      <c r="L772" s="1175" t="s">
        <v>951</v>
      </c>
      <c r="M772" s="1176">
        <v>750000</v>
      </c>
      <c r="N772" s="1344" t="s">
        <v>1002</v>
      </c>
      <c r="O772" s="1171" t="s">
        <v>915</v>
      </c>
      <c r="P772" s="1218" t="s">
        <v>759</v>
      </c>
      <c r="R772" s="1327"/>
      <c r="S772" s="1327"/>
      <c r="T772" s="1327">
        <f>+'PAA V30'!$R772-'PAA V30'!$S772</f>
        <v>0</v>
      </c>
      <c r="U772" s="1327"/>
      <c r="V772" s="1327"/>
      <c r="W772" s="1327"/>
    </row>
    <row r="773" spans="1:23" s="1204" customFormat="1" ht="75" hidden="1" x14ac:dyDescent="0.2">
      <c r="A773" s="1169">
        <v>2022865</v>
      </c>
      <c r="B773" s="1169">
        <v>7655</v>
      </c>
      <c r="C773" s="1326" t="s">
        <v>648</v>
      </c>
      <c r="D773" s="1187" t="s">
        <v>646</v>
      </c>
      <c r="E773" s="1171">
        <v>80111600</v>
      </c>
      <c r="F773" s="1171" t="s">
        <v>1390</v>
      </c>
      <c r="G773" s="1343">
        <v>44835</v>
      </c>
      <c r="H773" s="1343" t="s">
        <v>1391</v>
      </c>
      <c r="I773" s="1173">
        <v>3</v>
      </c>
      <c r="J773" s="1173" t="s">
        <v>677</v>
      </c>
      <c r="K773" s="1174" t="s">
        <v>678</v>
      </c>
      <c r="L773" s="1175" t="s">
        <v>951</v>
      </c>
      <c r="M773" s="1176">
        <v>19500000</v>
      </c>
      <c r="N773" s="1344" t="s">
        <v>784</v>
      </c>
      <c r="O773" s="1171" t="s">
        <v>771</v>
      </c>
      <c r="P773" s="1218" t="s">
        <v>682</v>
      </c>
      <c r="R773" s="1327"/>
      <c r="S773" s="1327"/>
      <c r="T773" s="1327">
        <f>+'PAA V30'!$R773-'PAA V30'!$S773</f>
        <v>0</v>
      </c>
      <c r="U773" s="1327"/>
      <c r="V773" s="1327"/>
      <c r="W773" s="1327"/>
    </row>
    <row r="774" spans="1:23" s="1204" customFormat="1" ht="75" hidden="1" x14ac:dyDescent="0.2">
      <c r="A774" s="1169">
        <v>2022866</v>
      </c>
      <c r="B774" s="1169">
        <v>7655</v>
      </c>
      <c r="C774" s="1326" t="s">
        <v>648</v>
      </c>
      <c r="D774" s="1187" t="s">
        <v>690</v>
      </c>
      <c r="E774" s="1171" t="s">
        <v>781</v>
      </c>
      <c r="F774" s="1171" t="s">
        <v>1392</v>
      </c>
      <c r="G774" s="1343">
        <v>44837</v>
      </c>
      <c r="H774" s="1343">
        <v>44831</v>
      </c>
      <c r="I774" s="1173">
        <v>3</v>
      </c>
      <c r="J774" s="1173" t="s">
        <v>677</v>
      </c>
      <c r="K774" s="1174" t="s">
        <v>678</v>
      </c>
      <c r="L774" s="1175" t="s">
        <v>951</v>
      </c>
      <c r="M774" s="1176">
        <v>21900000</v>
      </c>
      <c r="N774" s="1344" t="s">
        <v>784</v>
      </c>
      <c r="O774" s="1171" t="s">
        <v>771</v>
      </c>
      <c r="P774" s="1218" t="s">
        <v>682</v>
      </c>
      <c r="R774" s="1327"/>
      <c r="S774" s="1327"/>
      <c r="T774" s="1327">
        <f>+'PAA V30'!$R774-'PAA V30'!$S774</f>
        <v>0</v>
      </c>
      <c r="U774" s="1327"/>
      <c r="V774" s="1327"/>
      <c r="W774" s="1327"/>
    </row>
    <row r="775" spans="1:23" s="1204" customFormat="1" ht="75" hidden="1" x14ac:dyDescent="0.2">
      <c r="A775" s="1169">
        <v>2022867</v>
      </c>
      <c r="B775" s="1169">
        <v>7655</v>
      </c>
      <c r="C775" s="1326" t="s">
        <v>648</v>
      </c>
      <c r="D775" s="1187" t="s">
        <v>690</v>
      </c>
      <c r="E775" s="1171" t="s">
        <v>781</v>
      </c>
      <c r="F775" s="1171" t="s">
        <v>1393</v>
      </c>
      <c r="G775" s="1343">
        <v>44837</v>
      </c>
      <c r="H775" s="1343">
        <v>44831</v>
      </c>
      <c r="I775" s="1173">
        <v>3</v>
      </c>
      <c r="J775" s="1173" t="s">
        <v>677</v>
      </c>
      <c r="K775" s="1174" t="s">
        <v>678</v>
      </c>
      <c r="L775" s="1175" t="s">
        <v>951</v>
      </c>
      <c r="M775" s="1176">
        <v>8250000</v>
      </c>
      <c r="N775" s="1344" t="s">
        <v>784</v>
      </c>
      <c r="O775" s="1171" t="s">
        <v>771</v>
      </c>
      <c r="P775" s="1218" t="s">
        <v>682</v>
      </c>
      <c r="R775" s="1327"/>
      <c r="S775" s="1327"/>
      <c r="T775" s="1327">
        <f>+'PAA V30'!$R775-'PAA V30'!$S775</f>
        <v>0</v>
      </c>
      <c r="U775" s="1327"/>
      <c r="V775" s="1327"/>
      <c r="W775" s="1327"/>
    </row>
    <row r="776" spans="1:23" s="1204" customFormat="1" ht="45" hidden="1" x14ac:dyDescent="0.2">
      <c r="A776" s="1169">
        <v>2022868</v>
      </c>
      <c r="B776" s="1169" t="s">
        <v>459</v>
      </c>
      <c r="C776" s="1326"/>
      <c r="D776" s="1187" t="s">
        <v>690</v>
      </c>
      <c r="E776" s="1171" t="s">
        <v>1160</v>
      </c>
      <c r="F776" s="1186" t="s">
        <v>1394</v>
      </c>
      <c r="G776" s="1343">
        <v>44841</v>
      </c>
      <c r="H776" s="1343">
        <v>44848</v>
      </c>
      <c r="I776" s="1173">
        <v>4</v>
      </c>
      <c r="J776" s="1173" t="s">
        <v>677</v>
      </c>
      <c r="K776" s="1174" t="s">
        <v>678</v>
      </c>
      <c r="L776" s="1175" t="s">
        <v>951</v>
      </c>
      <c r="M776" s="1176">
        <v>4241920</v>
      </c>
      <c r="N776" s="1344"/>
      <c r="O776" s="1171"/>
      <c r="P776" s="1218" t="s">
        <v>682</v>
      </c>
      <c r="R776" s="1327"/>
      <c r="S776" s="1327"/>
      <c r="T776" s="1327">
        <f>+'PAA V30'!$R776-'PAA V30'!$S776</f>
        <v>0</v>
      </c>
      <c r="U776" s="1327"/>
      <c r="V776" s="1327"/>
      <c r="W776" s="1327"/>
    </row>
    <row r="777" spans="1:23" s="1204" customFormat="1" ht="45" hidden="1" x14ac:dyDescent="0.2">
      <c r="A777" s="1169">
        <v>2022869</v>
      </c>
      <c r="B777" s="1169" t="s">
        <v>459</v>
      </c>
      <c r="C777" s="1326"/>
      <c r="D777" s="1187" t="s">
        <v>690</v>
      </c>
      <c r="E777" s="1171" t="s">
        <v>1160</v>
      </c>
      <c r="F777" s="1186" t="s">
        <v>1395</v>
      </c>
      <c r="G777" s="1343">
        <v>44841</v>
      </c>
      <c r="H777" s="1343">
        <v>44848</v>
      </c>
      <c r="I777" s="1173">
        <v>4</v>
      </c>
      <c r="J777" s="1173" t="s">
        <v>677</v>
      </c>
      <c r="K777" s="1174" t="s">
        <v>678</v>
      </c>
      <c r="L777" s="1175" t="s">
        <v>951</v>
      </c>
      <c r="M777" s="1176">
        <v>14107091</v>
      </c>
      <c r="N777" s="1344"/>
      <c r="O777" s="1171"/>
      <c r="P777" s="1218" t="s">
        <v>682</v>
      </c>
      <c r="R777" s="1327"/>
      <c r="S777" s="1327"/>
      <c r="T777" s="1327">
        <f>+'PAA V30'!$R777-'PAA V30'!$S777</f>
        <v>0</v>
      </c>
      <c r="U777" s="1327"/>
      <c r="V777" s="1327"/>
      <c r="W777" s="1327"/>
    </row>
    <row r="778" spans="1:23" s="1204" customFormat="1" ht="60" hidden="1" x14ac:dyDescent="0.2">
      <c r="A778" s="1169">
        <v>2022870</v>
      </c>
      <c r="B778" s="1169" t="s">
        <v>459</v>
      </c>
      <c r="C778" s="1326"/>
      <c r="D778" s="1187" t="s">
        <v>690</v>
      </c>
      <c r="E778" s="1171" t="s">
        <v>1139</v>
      </c>
      <c r="F778" s="1186" t="s">
        <v>1396</v>
      </c>
      <c r="G778" s="1343">
        <v>44841</v>
      </c>
      <c r="H778" s="1343">
        <v>44848</v>
      </c>
      <c r="I778" s="1173" t="s">
        <v>97</v>
      </c>
      <c r="J778" s="1173" t="s">
        <v>700</v>
      </c>
      <c r="K778" s="1174" t="s">
        <v>678</v>
      </c>
      <c r="L778" s="1175" t="s">
        <v>951</v>
      </c>
      <c r="M778" s="1176">
        <v>21704311</v>
      </c>
      <c r="N778" s="1344"/>
      <c r="O778" s="1171"/>
      <c r="P778" s="1218" t="s">
        <v>759</v>
      </c>
      <c r="R778" s="1327"/>
      <c r="S778" s="1327"/>
      <c r="T778" s="1327">
        <f>+'PAA V30'!$R778-'PAA V30'!$S778</f>
        <v>0</v>
      </c>
      <c r="U778" s="1327"/>
      <c r="V778" s="1327"/>
      <c r="W778" s="1327"/>
    </row>
    <row r="779" spans="1:23" s="1204" customFormat="1" ht="90" hidden="1" x14ac:dyDescent="0.2">
      <c r="A779" s="1169">
        <v>2022871</v>
      </c>
      <c r="B779" s="1169">
        <v>7658</v>
      </c>
      <c r="C779" s="1326" t="s">
        <v>673</v>
      </c>
      <c r="D779" s="1187" t="s">
        <v>690</v>
      </c>
      <c r="E779" s="1171" t="s">
        <v>1397</v>
      </c>
      <c r="F779" s="1171" t="s">
        <v>1398</v>
      </c>
      <c r="G779" s="1343">
        <v>44841</v>
      </c>
      <c r="H779" s="1343">
        <v>44870</v>
      </c>
      <c r="I779" s="1173">
        <v>4</v>
      </c>
      <c r="J779" s="1173" t="s">
        <v>675</v>
      </c>
      <c r="K779" s="1174" t="s">
        <v>774</v>
      </c>
      <c r="L779" s="1175" t="s">
        <v>951</v>
      </c>
      <c r="M779" s="1176">
        <v>70643252</v>
      </c>
      <c r="N779" s="1344" t="s">
        <v>778</v>
      </c>
      <c r="O779" s="1171" t="s">
        <v>975</v>
      </c>
      <c r="P779" s="1218" t="s">
        <v>682</v>
      </c>
      <c r="R779" s="1327"/>
      <c r="S779" s="1327"/>
      <c r="T779" s="1327">
        <f>+'PAA V30'!$R779-'PAA V30'!$S779</f>
        <v>0</v>
      </c>
      <c r="U779" s="1327"/>
      <c r="V779" s="1327"/>
      <c r="W779" s="1327"/>
    </row>
    <row r="780" spans="1:23" s="1204" customFormat="1" ht="105" hidden="1" x14ac:dyDescent="0.2">
      <c r="A780" s="1169">
        <v>2022872</v>
      </c>
      <c r="B780" s="1169">
        <v>7637</v>
      </c>
      <c r="C780" s="1326" t="s">
        <v>645</v>
      </c>
      <c r="D780" s="1187" t="s">
        <v>674</v>
      </c>
      <c r="E780" s="1171" t="s">
        <v>1399</v>
      </c>
      <c r="F780" s="1186" t="s">
        <v>1400</v>
      </c>
      <c r="G780" s="1343">
        <v>44844</v>
      </c>
      <c r="H780" s="1343">
        <v>44854</v>
      </c>
      <c r="I780" s="1173">
        <v>2</v>
      </c>
      <c r="J780" s="1173" t="s">
        <v>721</v>
      </c>
      <c r="K780" s="1174" t="s">
        <v>678</v>
      </c>
      <c r="L780" s="1175" t="s">
        <v>738</v>
      </c>
      <c r="M780" s="1176">
        <v>15000000</v>
      </c>
      <c r="N780" s="1186" t="s">
        <v>680</v>
      </c>
      <c r="O780" s="1171" t="s">
        <v>681</v>
      </c>
      <c r="P780" s="1218" t="s">
        <v>682</v>
      </c>
      <c r="R780" s="1327"/>
      <c r="S780" s="1327"/>
      <c r="T780" s="1327">
        <f>+'PAA V30'!$R780-'PAA V30'!$S780</f>
        <v>0</v>
      </c>
      <c r="U780" s="1327"/>
      <c r="V780" s="1327"/>
      <c r="W780" s="1327"/>
    </row>
    <row r="781" spans="1:23" s="1204" customFormat="1" ht="75" hidden="1" x14ac:dyDescent="0.2">
      <c r="A781" s="1169">
        <v>2022873</v>
      </c>
      <c r="B781" s="1169">
        <v>7658</v>
      </c>
      <c r="C781" s="1326" t="s">
        <v>673</v>
      </c>
      <c r="D781" s="1187" t="s">
        <v>696</v>
      </c>
      <c r="E781" s="1171">
        <v>80111600</v>
      </c>
      <c r="F781" s="1171" t="s">
        <v>1401</v>
      </c>
      <c r="G781" s="1343">
        <v>44866</v>
      </c>
      <c r="H781" s="1343">
        <v>44868</v>
      </c>
      <c r="I781" s="1173">
        <v>1</v>
      </c>
      <c r="J781" s="1173" t="s">
        <v>677</v>
      </c>
      <c r="K781" s="1174" t="s">
        <v>678</v>
      </c>
      <c r="L781" s="1175" t="s">
        <v>679</v>
      </c>
      <c r="M781" s="1176">
        <v>2691000</v>
      </c>
      <c r="N781" s="1344" t="s">
        <v>765</v>
      </c>
      <c r="O781" s="1171" t="s">
        <v>764</v>
      </c>
      <c r="P781" s="1218" t="s">
        <v>759</v>
      </c>
      <c r="R781" s="1327"/>
      <c r="S781" s="1327"/>
      <c r="T781" s="1327">
        <f>+'PAA V30'!$R781-'PAA V30'!$S781</f>
        <v>0</v>
      </c>
      <c r="U781" s="1327"/>
      <c r="V781" s="1327"/>
      <c r="W781" s="1327"/>
    </row>
    <row r="782" spans="1:23" s="1204" customFormat="1" ht="75" hidden="1" x14ac:dyDescent="0.2">
      <c r="A782" s="1169">
        <v>2022874</v>
      </c>
      <c r="B782" s="1169">
        <v>7658</v>
      </c>
      <c r="C782" s="1326" t="s">
        <v>673</v>
      </c>
      <c r="D782" s="1187" t="s">
        <v>696</v>
      </c>
      <c r="E782" s="1171">
        <v>80111600</v>
      </c>
      <c r="F782" s="1171" t="s">
        <v>1402</v>
      </c>
      <c r="G782" s="1343">
        <v>44866</v>
      </c>
      <c r="H782" s="1343">
        <v>44868</v>
      </c>
      <c r="I782" s="1173">
        <v>1</v>
      </c>
      <c r="J782" s="1173" t="s">
        <v>677</v>
      </c>
      <c r="K782" s="1174" t="s">
        <v>678</v>
      </c>
      <c r="L782" s="1175" t="s">
        <v>679</v>
      </c>
      <c r="M782" s="1176">
        <f>3477600+869400</f>
        <v>4347000</v>
      </c>
      <c r="N782" s="1344" t="s">
        <v>765</v>
      </c>
      <c r="O782" s="1171" t="s">
        <v>764</v>
      </c>
      <c r="P782" s="1218" t="s">
        <v>759</v>
      </c>
      <c r="R782" s="1327"/>
      <c r="S782" s="1327"/>
      <c r="T782" s="1327">
        <f>+'PAA V30'!$R782-'PAA V30'!$S782</f>
        <v>0</v>
      </c>
      <c r="U782" s="1327"/>
      <c r="V782" s="1327"/>
      <c r="W782" s="1327"/>
    </row>
    <row r="783" spans="1:23" s="1204" customFormat="1" ht="75" hidden="1" x14ac:dyDescent="0.2">
      <c r="A783" s="1169">
        <v>2022875</v>
      </c>
      <c r="B783" s="1169">
        <v>7658</v>
      </c>
      <c r="C783" s="1326" t="s">
        <v>673</v>
      </c>
      <c r="D783" s="1187" t="s">
        <v>696</v>
      </c>
      <c r="E783" s="1171">
        <v>80111600</v>
      </c>
      <c r="F783" s="1171" t="s">
        <v>1403</v>
      </c>
      <c r="G783" s="1343">
        <v>44866</v>
      </c>
      <c r="H783" s="1343">
        <v>44868</v>
      </c>
      <c r="I783" s="1173">
        <v>1</v>
      </c>
      <c r="J783" s="1173" t="s">
        <v>677</v>
      </c>
      <c r="K783" s="1174" t="s">
        <v>678</v>
      </c>
      <c r="L783" s="1175" t="s">
        <v>679</v>
      </c>
      <c r="M783" s="1176">
        <v>2898000</v>
      </c>
      <c r="N783" s="1344" t="s">
        <v>765</v>
      </c>
      <c r="O783" s="1171" t="s">
        <v>764</v>
      </c>
      <c r="P783" s="1218" t="s">
        <v>759</v>
      </c>
      <c r="R783" s="1327"/>
      <c r="S783" s="1327"/>
      <c r="T783" s="1327">
        <f>+'PAA V30'!$R783-'PAA V30'!$S783</f>
        <v>0</v>
      </c>
      <c r="U783" s="1327"/>
      <c r="V783" s="1327"/>
      <c r="W783" s="1327"/>
    </row>
    <row r="784" spans="1:23" s="1204" customFormat="1" ht="75" hidden="1" x14ac:dyDescent="0.2">
      <c r="A784" s="1169">
        <v>2022876</v>
      </c>
      <c r="B784" s="1169">
        <v>7658</v>
      </c>
      <c r="C784" s="1326" t="s">
        <v>673</v>
      </c>
      <c r="D784" s="1187" t="s">
        <v>696</v>
      </c>
      <c r="E784" s="1171">
        <v>80111600</v>
      </c>
      <c r="F784" s="1171" t="s">
        <v>1404</v>
      </c>
      <c r="G784" s="1343">
        <v>44866</v>
      </c>
      <c r="H784" s="1343">
        <v>44868</v>
      </c>
      <c r="I784" s="1173">
        <v>1</v>
      </c>
      <c r="J784" s="1173" t="s">
        <v>677</v>
      </c>
      <c r="K784" s="1174" t="s">
        <v>678</v>
      </c>
      <c r="L784" s="1175" t="s">
        <v>679</v>
      </c>
      <c r="M784" s="1176">
        <v>3850000</v>
      </c>
      <c r="N784" s="1344" t="s">
        <v>765</v>
      </c>
      <c r="O784" s="1171" t="s">
        <v>764</v>
      </c>
      <c r="P784" s="1218" t="s">
        <v>759</v>
      </c>
      <c r="R784" s="1327"/>
      <c r="S784" s="1327"/>
      <c r="T784" s="1327">
        <f>+'PAA V30'!$R784-'PAA V30'!$S784</f>
        <v>0</v>
      </c>
      <c r="U784" s="1327"/>
      <c r="V784" s="1327"/>
      <c r="W784" s="1327"/>
    </row>
    <row r="785" spans="1:23" s="1204" customFormat="1" ht="75" hidden="1" x14ac:dyDescent="0.2">
      <c r="A785" s="1169">
        <v>2022877</v>
      </c>
      <c r="B785" s="1169">
        <v>7658</v>
      </c>
      <c r="C785" s="1326" t="s">
        <v>673</v>
      </c>
      <c r="D785" s="1187" t="s">
        <v>696</v>
      </c>
      <c r="E785" s="1171">
        <v>80111600</v>
      </c>
      <c r="F785" s="1171" t="s">
        <v>865</v>
      </c>
      <c r="G785" s="1343">
        <v>44835</v>
      </c>
      <c r="H785" s="1343">
        <v>44840</v>
      </c>
      <c r="I785" s="1173">
        <v>3</v>
      </c>
      <c r="J785" s="1173" t="s">
        <v>677</v>
      </c>
      <c r="K785" s="1174" t="s">
        <v>678</v>
      </c>
      <c r="L785" s="1175" t="s">
        <v>679</v>
      </c>
      <c r="M785" s="1176">
        <v>15525000</v>
      </c>
      <c r="N785" s="1344" t="s">
        <v>765</v>
      </c>
      <c r="O785" s="1171" t="s">
        <v>764</v>
      </c>
      <c r="P785" s="1218" t="s">
        <v>682</v>
      </c>
      <c r="R785" s="1327"/>
      <c r="S785" s="1327"/>
      <c r="T785" s="1327">
        <f>+'PAA V30'!$R785-'PAA V30'!$S785</f>
        <v>0</v>
      </c>
      <c r="U785" s="1327"/>
      <c r="V785" s="1327"/>
      <c r="W785" s="1327"/>
    </row>
    <row r="786" spans="1:23" s="1204" customFormat="1" ht="75" hidden="1" x14ac:dyDescent="0.2">
      <c r="A786" s="1169">
        <v>2022878</v>
      </c>
      <c r="B786" s="1169">
        <v>7658</v>
      </c>
      <c r="C786" s="1326" t="s">
        <v>673</v>
      </c>
      <c r="D786" s="1187" t="s">
        <v>696</v>
      </c>
      <c r="E786" s="1171">
        <v>80111600</v>
      </c>
      <c r="F786" s="1171" t="s">
        <v>846</v>
      </c>
      <c r="G786" s="1343">
        <v>44839</v>
      </c>
      <c r="H786" s="1343">
        <v>44849</v>
      </c>
      <c r="I786" s="1173">
        <v>3</v>
      </c>
      <c r="J786" s="1173" t="s">
        <v>677</v>
      </c>
      <c r="K786" s="1174" t="s">
        <v>678</v>
      </c>
      <c r="L786" s="1175" t="s">
        <v>679</v>
      </c>
      <c r="M786" s="1176">
        <f>11592000-110000+110000</f>
        <v>11592000</v>
      </c>
      <c r="N786" s="1344" t="s">
        <v>765</v>
      </c>
      <c r="O786" s="1171" t="s">
        <v>764</v>
      </c>
      <c r="P786" s="1218" t="s">
        <v>682</v>
      </c>
      <c r="R786" s="1327"/>
      <c r="S786" s="1327"/>
      <c r="T786" s="1327">
        <f>+'PAA V30'!$R786-'PAA V30'!$S786</f>
        <v>0</v>
      </c>
      <c r="U786" s="1327"/>
      <c r="V786" s="1327"/>
      <c r="W786" s="1327"/>
    </row>
    <row r="787" spans="1:23" s="1204" customFormat="1" ht="75" hidden="1" x14ac:dyDescent="0.2">
      <c r="A787" s="1169">
        <v>2022879</v>
      </c>
      <c r="B787" s="1169">
        <v>7658</v>
      </c>
      <c r="C787" s="1326" t="s">
        <v>673</v>
      </c>
      <c r="D787" s="1187" t="s">
        <v>696</v>
      </c>
      <c r="E787" s="1171">
        <v>80111600</v>
      </c>
      <c r="F787" s="1171" t="s">
        <v>848</v>
      </c>
      <c r="G787" s="1343">
        <v>44866</v>
      </c>
      <c r="H787" s="1343">
        <v>44868</v>
      </c>
      <c r="I787" s="1173">
        <v>2</v>
      </c>
      <c r="J787" s="1173" t="s">
        <v>677</v>
      </c>
      <c r="K787" s="1174" t="s">
        <v>678</v>
      </c>
      <c r="L787" s="1175" t="s">
        <v>679</v>
      </c>
      <c r="M787" s="1176">
        <v>10200000</v>
      </c>
      <c r="N787" s="1344" t="s">
        <v>765</v>
      </c>
      <c r="O787" s="1171" t="s">
        <v>764</v>
      </c>
      <c r="P787" s="1218" t="s">
        <v>682</v>
      </c>
      <c r="R787" s="1327"/>
      <c r="S787" s="1327"/>
      <c r="T787" s="1327">
        <f>+'PAA V30'!$R787-'PAA V30'!$S787</f>
        <v>0</v>
      </c>
      <c r="U787" s="1327"/>
      <c r="V787" s="1327"/>
      <c r="W787" s="1327"/>
    </row>
    <row r="788" spans="1:23" s="1204" customFormat="1" ht="330" hidden="1" x14ac:dyDescent="0.2">
      <c r="A788" s="1169">
        <v>2022881</v>
      </c>
      <c r="B788" s="1169">
        <v>7658</v>
      </c>
      <c r="C788" s="1326" t="s">
        <v>673</v>
      </c>
      <c r="D788" s="1187" t="s">
        <v>696</v>
      </c>
      <c r="E788" s="1171" t="s">
        <v>989</v>
      </c>
      <c r="F788" s="1171" t="s">
        <v>1405</v>
      </c>
      <c r="G788" s="1343">
        <v>44849</v>
      </c>
      <c r="H788" s="1343">
        <v>44852</v>
      </c>
      <c r="I788" s="1173">
        <v>1</v>
      </c>
      <c r="J788" s="1173" t="s">
        <v>721</v>
      </c>
      <c r="K788" s="1174" t="s">
        <v>678</v>
      </c>
      <c r="L788" s="1175" t="s">
        <v>962</v>
      </c>
      <c r="M788" s="1176">
        <f>120970064+16244349</f>
        <v>137214413</v>
      </c>
      <c r="N788" s="1344" t="s">
        <v>765</v>
      </c>
      <c r="O788" s="1171" t="s">
        <v>764</v>
      </c>
      <c r="P788" s="1218" t="s">
        <v>682</v>
      </c>
      <c r="R788" s="1327"/>
      <c r="S788" s="1327"/>
      <c r="T788" s="1327">
        <f>+'PAA V30'!$R788-'PAA V30'!$S788</f>
        <v>0</v>
      </c>
      <c r="U788" s="1327"/>
      <c r="V788" s="1327"/>
      <c r="W788" s="1327"/>
    </row>
    <row r="789" spans="1:23" s="1204" customFormat="1" ht="90" hidden="1" x14ac:dyDescent="0.2">
      <c r="A789" s="1169">
        <v>2022882</v>
      </c>
      <c r="B789" s="1169">
        <v>7655</v>
      </c>
      <c r="C789" s="1326" t="s">
        <v>648</v>
      </c>
      <c r="D789" s="1187" t="s">
        <v>696</v>
      </c>
      <c r="E789" s="1171">
        <v>80111600</v>
      </c>
      <c r="F789" s="1171" t="s">
        <v>1406</v>
      </c>
      <c r="G789" s="1343">
        <v>44866</v>
      </c>
      <c r="H789" s="1343">
        <v>44868</v>
      </c>
      <c r="I789" s="1173">
        <v>1</v>
      </c>
      <c r="J789" s="1173" t="s">
        <v>677</v>
      </c>
      <c r="K789" s="1174" t="s">
        <v>678</v>
      </c>
      <c r="L789" s="1175" t="s">
        <v>679</v>
      </c>
      <c r="M789" s="1176">
        <v>7276000</v>
      </c>
      <c r="N789" s="1344" t="s">
        <v>784</v>
      </c>
      <c r="O789" s="1171" t="s">
        <v>771</v>
      </c>
      <c r="P789" s="1218" t="s">
        <v>759</v>
      </c>
      <c r="R789" s="1327"/>
      <c r="S789" s="1327"/>
      <c r="T789" s="1327">
        <f>+'PAA V30'!$R789-'PAA V30'!$S789</f>
        <v>0</v>
      </c>
      <c r="U789" s="1327"/>
      <c r="V789" s="1327"/>
      <c r="W789" s="1327"/>
    </row>
    <row r="790" spans="1:23" s="1204" customFormat="1" ht="75" hidden="1" x14ac:dyDescent="0.2">
      <c r="A790" s="1169">
        <v>2022883</v>
      </c>
      <c r="B790" s="1169">
        <v>7655</v>
      </c>
      <c r="C790" s="1326" t="s">
        <v>648</v>
      </c>
      <c r="D790" s="1187" t="s">
        <v>696</v>
      </c>
      <c r="E790" s="1171">
        <v>80111600</v>
      </c>
      <c r="F790" s="1171" t="s">
        <v>1407</v>
      </c>
      <c r="G790" s="1343">
        <v>44866</v>
      </c>
      <c r="H790" s="1343">
        <v>44868</v>
      </c>
      <c r="I790" s="1173">
        <v>2</v>
      </c>
      <c r="J790" s="1173" t="s">
        <v>677</v>
      </c>
      <c r="K790" s="1174" t="s">
        <v>678</v>
      </c>
      <c r="L790" s="1175" t="s">
        <v>679</v>
      </c>
      <c r="M790" s="1176">
        <v>10000000</v>
      </c>
      <c r="N790" s="1344" t="s">
        <v>784</v>
      </c>
      <c r="O790" s="1171" t="s">
        <v>771</v>
      </c>
      <c r="P790" s="1218" t="s">
        <v>759</v>
      </c>
      <c r="R790" s="1327"/>
      <c r="S790" s="1327"/>
      <c r="T790" s="1327">
        <f>+'PAA V30'!$R790-'PAA V30'!$S790</f>
        <v>0</v>
      </c>
      <c r="U790" s="1327"/>
      <c r="V790" s="1327"/>
      <c r="W790" s="1327"/>
    </row>
    <row r="791" spans="1:23" s="1204" customFormat="1" ht="75" hidden="1" x14ac:dyDescent="0.2">
      <c r="A791" s="1169">
        <v>2022884</v>
      </c>
      <c r="B791" s="1169">
        <v>7655</v>
      </c>
      <c r="C791" s="1326" t="s">
        <v>648</v>
      </c>
      <c r="D791" s="1187" t="s">
        <v>696</v>
      </c>
      <c r="E791" s="1171">
        <v>80111600</v>
      </c>
      <c r="F791" s="1171" t="s">
        <v>1408</v>
      </c>
      <c r="G791" s="1343">
        <v>44866</v>
      </c>
      <c r="H791" s="1343">
        <v>44868</v>
      </c>
      <c r="I791" s="1173">
        <v>1</v>
      </c>
      <c r="J791" s="1173" t="s">
        <v>677</v>
      </c>
      <c r="K791" s="1174" t="s">
        <v>678</v>
      </c>
      <c r="L791" s="1175" t="s">
        <v>679</v>
      </c>
      <c r="M791" s="1176">
        <v>5503233</v>
      </c>
      <c r="N791" s="1344" t="s">
        <v>784</v>
      </c>
      <c r="O791" s="1171" t="s">
        <v>771</v>
      </c>
      <c r="P791" s="1218" t="s">
        <v>759</v>
      </c>
      <c r="R791" s="1327"/>
      <c r="S791" s="1327"/>
      <c r="T791" s="1327">
        <f>+'PAA V30'!$R791-'PAA V30'!$S791</f>
        <v>0</v>
      </c>
      <c r="U791" s="1327"/>
      <c r="V791" s="1327"/>
      <c r="W791" s="1327"/>
    </row>
    <row r="792" spans="1:23" s="1204" customFormat="1" ht="75" hidden="1" x14ac:dyDescent="0.2">
      <c r="A792" s="1169">
        <v>2022885</v>
      </c>
      <c r="B792" s="1169">
        <v>7655</v>
      </c>
      <c r="C792" s="1326" t="s">
        <v>648</v>
      </c>
      <c r="D792" s="1187" t="s">
        <v>696</v>
      </c>
      <c r="E792" s="1171">
        <v>80111600</v>
      </c>
      <c r="F792" s="1171" t="s">
        <v>1409</v>
      </c>
      <c r="G792" s="1343">
        <v>44866</v>
      </c>
      <c r="H792" s="1343">
        <v>44868</v>
      </c>
      <c r="I792" s="1173">
        <v>1</v>
      </c>
      <c r="J792" s="1173" t="s">
        <v>677</v>
      </c>
      <c r="K792" s="1174" t="s">
        <v>678</v>
      </c>
      <c r="L792" s="1175" t="s">
        <v>679</v>
      </c>
      <c r="M792" s="1176">
        <v>2028600</v>
      </c>
      <c r="N792" s="1344" t="s">
        <v>784</v>
      </c>
      <c r="O792" s="1171" t="s">
        <v>771</v>
      </c>
      <c r="P792" s="1218" t="s">
        <v>759</v>
      </c>
      <c r="R792" s="1327"/>
      <c r="S792" s="1327"/>
      <c r="T792" s="1327">
        <f>+'PAA V30'!$R792-'PAA V30'!$S792</f>
        <v>0</v>
      </c>
      <c r="U792" s="1327"/>
      <c r="V792" s="1327"/>
      <c r="W792" s="1327"/>
    </row>
    <row r="793" spans="1:23" s="1204" customFormat="1" ht="75" hidden="1" x14ac:dyDescent="0.2">
      <c r="A793" s="1169">
        <v>2022886</v>
      </c>
      <c r="B793" s="1169">
        <v>7655</v>
      </c>
      <c r="C793" s="1326" t="s">
        <v>648</v>
      </c>
      <c r="D793" s="1187" t="s">
        <v>696</v>
      </c>
      <c r="E793" s="1171">
        <v>80111600</v>
      </c>
      <c r="F793" s="1171" t="s">
        <v>1410</v>
      </c>
      <c r="G793" s="1343">
        <v>44866</v>
      </c>
      <c r="H793" s="1343">
        <v>44868</v>
      </c>
      <c r="I793" s="1173">
        <v>1</v>
      </c>
      <c r="J793" s="1173" t="s">
        <v>677</v>
      </c>
      <c r="K793" s="1174" t="s">
        <v>678</v>
      </c>
      <c r="L793" s="1175" t="s">
        <v>679</v>
      </c>
      <c r="M793" s="1176">
        <v>2587500</v>
      </c>
      <c r="N793" s="1344" t="s">
        <v>784</v>
      </c>
      <c r="O793" s="1171" t="s">
        <v>771</v>
      </c>
      <c r="P793" s="1218" t="s">
        <v>759</v>
      </c>
      <c r="R793" s="1327"/>
      <c r="S793" s="1327"/>
      <c r="T793" s="1327">
        <f>+'PAA V30'!$R793-'PAA V30'!$S793</f>
        <v>0</v>
      </c>
      <c r="U793" s="1327"/>
      <c r="V793" s="1327"/>
      <c r="W793" s="1327"/>
    </row>
    <row r="794" spans="1:23" s="1204" customFormat="1" ht="75" hidden="1" x14ac:dyDescent="0.2">
      <c r="A794" s="1169">
        <v>2022887</v>
      </c>
      <c r="B794" s="1169">
        <v>7655</v>
      </c>
      <c r="C794" s="1326" t="s">
        <v>648</v>
      </c>
      <c r="D794" s="1187" t="s">
        <v>696</v>
      </c>
      <c r="E794" s="1171">
        <v>80111600</v>
      </c>
      <c r="F794" s="1171" t="s">
        <v>1337</v>
      </c>
      <c r="G794" s="1343">
        <v>44866</v>
      </c>
      <c r="H794" s="1343">
        <v>44868</v>
      </c>
      <c r="I794" s="1173">
        <v>2</v>
      </c>
      <c r="J794" s="1173" t="s">
        <v>677</v>
      </c>
      <c r="K794" s="1174" t="s">
        <v>678</v>
      </c>
      <c r="L794" s="1175" t="s">
        <v>679</v>
      </c>
      <c r="M794" s="1176">
        <v>7679700</v>
      </c>
      <c r="N794" s="1344" t="s">
        <v>784</v>
      </c>
      <c r="O794" s="1171" t="s">
        <v>771</v>
      </c>
      <c r="P794" s="1218" t="s">
        <v>759</v>
      </c>
      <c r="R794" s="1327"/>
      <c r="S794" s="1327"/>
      <c r="T794" s="1327">
        <f>+'PAA V30'!$R794-'PAA V30'!$S794</f>
        <v>0</v>
      </c>
      <c r="U794" s="1327"/>
      <c r="V794" s="1327"/>
      <c r="W794" s="1327"/>
    </row>
    <row r="795" spans="1:23" s="1204" customFormat="1" ht="60" hidden="1" x14ac:dyDescent="0.2">
      <c r="A795" s="1169">
        <v>2022888</v>
      </c>
      <c r="B795" s="1169" t="s">
        <v>459</v>
      </c>
      <c r="C795" s="1326"/>
      <c r="D795" s="1187" t="s">
        <v>696</v>
      </c>
      <c r="E795" s="1171" t="s">
        <v>1173</v>
      </c>
      <c r="F795" s="1171" t="s">
        <v>1411</v>
      </c>
      <c r="G795" s="1343">
        <v>44849</v>
      </c>
      <c r="H795" s="1343">
        <v>44852</v>
      </c>
      <c r="I795" s="1173">
        <v>1</v>
      </c>
      <c r="J795" s="1173" t="s">
        <v>647</v>
      </c>
      <c r="K795" s="1174" t="s">
        <v>678</v>
      </c>
      <c r="L795" s="1175"/>
      <c r="M795" s="1176">
        <f>40000000+5134132+60000000</f>
        <v>105134132</v>
      </c>
      <c r="N795" s="1344"/>
      <c r="O795" s="1171"/>
      <c r="P795" s="1218" t="s">
        <v>759</v>
      </c>
      <c r="R795" s="1327"/>
      <c r="S795" s="1327"/>
      <c r="T795" s="1327">
        <f>+'PAA V30'!$R795-'PAA V30'!$S795</f>
        <v>0</v>
      </c>
      <c r="U795" s="1327"/>
      <c r="V795" s="1327"/>
      <c r="W795" s="1327"/>
    </row>
    <row r="796" spans="1:23" s="1204" customFormat="1" ht="60" hidden="1" x14ac:dyDescent="0.2">
      <c r="A796" s="1169">
        <v>2022889</v>
      </c>
      <c r="B796" s="1169" t="s">
        <v>459</v>
      </c>
      <c r="C796" s="1326"/>
      <c r="D796" s="1187" t="s">
        <v>696</v>
      </c>
      <c r="E796" s="1171" t="s">
        <v>1180</v>
      </c>
      <c r="F796" s="1171" t="s">
        <v>1412</v>
      </c>
      <c r="G796" s="1343">
        <v>44835</v>
      </c>
      <c r="H796" s="1343">
        <v>44840</v>
      </c>
      <c r="I796" s="1173">
        <v>3</v>
      </c>
      <c r="J796" s="1173" t="s">
        <v>700</v>
      </c>
      <c r="K796" s="1174" t="s">
        <v>678</v>
      </c>
      <c r="L796" s="1175"/>
      <c r="M796" s="1176">
        <f>8000000+2734624</f>
        <v>10734624</v>
      </c>
      <c r="N796" s="1344"/>
      <c r="O796" s="1171"/>
      <c r="P796" s="1218" t="s">
        <v>682</v>
      </c>
      <c r="R796" s="1327"/>
      <c r="S796" s="1327"/>
      <c r="T796" s="1327">
        <f>+'PAA V30'!$R796-'PAA V30'!$S796</f>
        <v>0</v>
      </c>
      <c r="U796" s="1327"/>
      <c r="V796" s="1327"/>
      <c r="W796" s="1327"/>
    </row>
    <row r="797" spans="1:23" s="1204" customFormat="1" ht="90" hidden="1" x14ac:dyDescent="0.2">
      <c r="A797" s="1169">
        <v>2022890</v>
      </c>
      <c r="B797" s="1169">
        <v>7658</v>
      </c>
      <c r="C797" s="1326" t="s">
        <v>673</v>
      </c>
      <c r="D797" s="1187" t="s">
        <v>693</v>
      </c>
      <c r="E797" s="1171"/>
      <c r="F797" s="1171" t="s">
        <v>1413</v>
      </c>
      <c r="G797" s="1343"/>
      <c r="H797" s="1343"/>
      <c r="I797" s="1173"/>
      <c r="J797" s="1173" t="s">
        <v>97</v>
      </c>
      <c r="K797" s="1174" t="s">
        <v>1414</v>
      </c>
      <c r="L797" s="1175" t="s">
        <v>679</v>
      </c>
      <c r="M797" s="1176">
        <f>2000067+7642453</f>
        <v>9642520</v>
      </c>
      <c r="N797" s="1344" t="s">
        <v>1032</v>
      </c>
      <c r="O797" s="1171" t="s">
        <v>1033</v>
      </c>
      <c r="P797" s="1218" t="s">
        <v>759</v>
      </c>
      <c r="R797" s="1327"/>
      <c r="S797" s="1327"/>
      <c r="T797" s="1327">
        <f>+'PAA V30'!$R797-'PAA V30'!$S797</f>
        <v>0</v>
      </c>
      <c r="U797" s="1327"/>
      <c r="V797" s="1327"/>
      <c r="W797" s="1327"/>
    </row>
    <row r="798" spans="1:23" s="1204" customFormat="1" ht="90" hidden="1" x14ac:dyDescent="0.2">
      <c r="A798" s="1169">
        <v>2022891</v>
      </c>
      <c r="B798" s="1169">
        <v>7658</v>
      </c>
      <c r="C798" s="1326" t="s">
        <v>673</v>
      </c>
      <c r="D798" s="1187" t="s">
        <v>693</v>
      </c>
      <c r="E798" s="1171" t="s">
        <v>1415</v>
      </c>
      <c r="F798" s="1171" t="s">
        <v>1416</v>
      </c>
      <c r="G798" s="1343">
        <v>44840</v>
      </c>
      <c r="H798" s="1343">
        <v>44875</v>
      </c>
      <c r="I798" s="1173">
        <v>3</v>
      </c>
      <c r="J798" s="1173" t="s">
        <v>687</v>
      </c>
      <c r="K798" s="1174" t="s">
        <v>774</v>
      </c>
      <c r="L798" s="1175" t="s">
        <v>962</v>
      </c>
      <c r="M798" s="1176">
        <f>420000000-15501019</f>
        <v>404498981</v>
      </c>
      <c r="N798" s="1344" t="s">
        <v>1032</v>
      </c>
      <c r="O798" s="1171" t="s">
        <v>1033</v>
      </c>
      <c r="P798" s="1218" t="s">
        <v>682</v>
      </c>
      <c r="R798" s="1327"/>
      <c r="S798" s="1327"/>
      <c r="T798" s="1327">
        <f>+'PAA V30'!$R798-'PAA V30'!$S798</f>
        <v>0</v>
      </c>
      <c r="U798" s="1327"/>
      <c r="V798" s="1327"/>
      <c r="W798" s="1327"/>
    </row>
    <row r="799" spans="1:23" s="1204" customFormat="1" ht="150" hidden="1" x14ac:dyDescent="0.2">
      <c r="A799" s="1169">
        <v>2022892</v>
      </c>
      <c r="B799" s="1169">
        <v>7658</v>
      </c>
      <c r="C799" s="1326" t="s">
        <v>673</v>
      </c>
      <c r="D799" s="1187" t="s">
        <v>693</v>
      </c>
      <c r="E799" s="1171" t="s">
        <v>1417</v>
      </c>
      <c r="F799" s="1171" t="s">
        <v>1418</v>
      </c>
      <c r="G799" s="1343">
        <v>44840</v>
      </c>
      <c r="H799" s="1343">
        <v>44875</v>
      </c>
      <c r="I799" s="1173">
        <v>3</v>
      </c>
      <c r="J799" s="1173" t="s">
        <v>687</v>
      </c>
      <c r="K799" s="1174" t="s">
        <v>774</v>
      </c>
      <c r="L799" s="1175" t="s">
        <v>962</v>
      </c>
      <c r="M799" s="1176">
        <f>450000000-57333891-18913313-48730796</f>
        <v>325022000</v>
      </c>
      <c r="N799" s="1344" t="s">
        <v>1032</v>
      </c>
      <c r="O799" s="1171" t="s">
        <v>1033</v>
      </c>
      <c r="P799" s="1218" t="s">
        <v>682</v>
      </c>
      <c r="R799" s="1327"/>
      <c r="S799" s="1327"/>
      <c r="T799" s="1327">
        <f>+'PAA V30'!$R799-'PAA V30'!$S799</f>
        <v>0</v>
      </c>
      <c r="U799" s="1327"/>
      <c r="V799" s="1327"/>
      <c r="W799" s="1327"/>
    </row>
    <row r="800" spans="1:23" s="1204" customFormat="1" ht="90" hidden="1" x14ac:dyDescent="0.2">
      <c r="A800" s="1169">
        <v>2022895</v>
      </c>
      <c r="B800" s="1169">
        <v>7658</v>
      </c>
      <c r="C800" s="1326" t="s">
        <v>673</v>
      </c>
      <c r="D800" s="1187" t="s">
        <v>693</v>
      </c>
      <c r="E800" s="1171">
        <v>80111600</v>
      </c>
      <c r="F800" s="1171" t="s">
        <v>1419</v>
      </c>
      <c r="G800" s="1343">
        <v>44866</v>
      </c>
      <c r="H800" s="1343">
        <v>44895</v>
      </c>
      <c r="I800" s="1173">
        <v>2</v>
      </c>
      <c r="J800" s="1173" t="s">
        <v>677</v>
      </c>
      <c r="K800" s="1174" t="s">
        <v>678</v>
      </c>
      <c r="L800" s="1175" t="s">
        <v>679</v>
      </c>
      <c r="M800" s="1176">
        <v>16480000</v>
      </c>
      <c r="N800" s="1344" t="s">
        <v>1032</v>
      </c>
      <c r="O800" s="1171" t="s">
        <v>1033</v>
      </c>
      <c r="P800" s="1218" t="s">
        <v>759</v>
      </c>
      <c r="R800" s="1327"/>
      <c r="S800" s="1327"/>
      <c r="T800" s="1327">
        <f>+'PAA V30'!$R800-'PAA V30'!$S800</f>
        <v>0</v>
      </c>
      <c r="U800" s="1327"/>
      <c r="V800" s="1327"/>
      <c r="W800" s="1327"/>
    </row>
    <row r="801" spans="1:23" s="1204" customFormat="1" ht="90" hidden="1" x14ac:dyDescent="0.2">
      <c r="A801" s="1169">
        <v>2022896</v>
      </c>
      <c r="B801" s="1169">
        <v>7658</v>
      </c>
      <c r="C801" s="1326" t="s">
        <v>673</v>
      </c>
      <c r="D801" s="1187" t="s">
        <v>693</v>
      </c>
      <c r="E801" s="1171">
        <v>80111600</v>
      </c>
      <c r="F801" s="1171" t="s">
        <v>1420</v>
      </c>
      <c r="G801" s="1343">
        <v>44866</v>
      </c>
      <c r="H801" s="1343">
        <v>44895</v>
      </c>
      <c r="I801" s="1173">
        <v>2</v>
      </c>
      <c r="J801" s="1173" t="s">
        <v>677</v>
      </c>
      <c r="K801" s="1174" t="s">
        <v>678</v>
      </c>
      <c r="L801" s="1175" t="s">
        <v>679</v>
      </c>
      <c r="M801" s="1176">
        <v>8240000</v>
      </c>
      <c r="N801" s="1344" t="s">
        <v>1032</v>
      </c>
      <c r="O801" s="1171" t="s">
        <v>1033</v>
      </c>
      <c r="P801" s="1218" t="s">
        <v>759</v>
      </c>
      <c r="R801" s="1327"/>
      <c r="S801" s="1327"/>
      <c r="T801" s="1327">
        <f>+'PAA V30'!$R801-'PAA V30'!$S801</f>
        <v>0</v>
      </c>
      <c r="U801" s="1327"/>
      <c r="V801" s="1327"/>
      <c r="W801" s="1327"/>
    </row>
    <row r="802" spans="1:23" s="1204" customFormat="1" ht="90" hidden="1" x14ac:dyDescent="0.2">
      <c r="A802" s="1169">
        <v>2022897</v>
      </c>
      <c r="B802" s="1169">
        <v>7658</v>
      </c>
      <c r="C802" s="1326" t="s">
        <v>673</v>
      </c>
      <c r="D802" s="1187" t="s">
        <v>693</v>
      </c>
      <c r="E802" s="1171">
        <v>80111600</v>
      </c>
      <c r="F802" s="1171" t="s">
        <v>1421</v>
      </c>
      <c r="G802" s="1343">
        <v>44866</v>
      </c>
      <c r="H802" s="1343">
        <v>44895</v>
      </c>
      <c r="I802" s="1173">
        <v>2</v>
      </c>
      <c r="J802" s="1173" t="s">
        <v>677</v>
      </c>
      <c r="K802" s="1174" t="s">
        <v>678</v>
      </c>
      <c r="L802" s="1175" t="s">
        <v>679</v>
      </c>
      <c r="M802" s="1176">
        <v>7000000</v>
      </c>
      <c r="N802" s="1344" t="s">
        <v>1032</v>
      </c>
      <c r="O802" s="1171" t="s">
        <v>1033</v>
      </c>
      <c r="P802" s="1218" t="s">
        <v>759</v>
      </c>
      <c r="R802" s="1327"/>
      <c r="S802" s="1327"/>
      <c r="T802" s="1327">
        <f>+'PAA V30'!$R802-'PAA V30'!$S802</f>
        <v>0</v>
      </c>
      <c r="U802" s="1327"/>
      <c r="V802" s="1327"/>
      <c r="W802" s="1327"/>
    </row>
    <row r="803" spans="1:23" s="1204" customFormat="1" ht="90" hidden="1" x14ac:dyDescent="0.2">
      <c r="A803" s="1169">
        <v>2022898</v>
      </c>
      <c r="B803" s="1169">
        <v>7658</v>
      </c>
      <c r="C803" s="1326" t="s">
        <v>673</v>
      </c>
      <c r="D803" s="1187" t="s">
        <v>693</v>
      </c>
      <c r="E803" s="1171">
        <v>80111600</v>
      </c>
      <c r="F803" s="1171" t="s">
        <v>1422</v>
      </c>
      <c r="G803" s="1343">
        <v>44866</v>
      </c>
      <c r="H803" s="1343">
        <v>44895</v>
      </c>
      <c r="I803" s="1173">
        <v>2</v>
      </c>
      <c r="J803" s="1173" t="s">
        <v>677</v>
      </c>
      <c r="K803" s="1174" t="s">
        <v>678</v>
      </c>
      <c r="L803" s="1175" t="s">
        <v>679</v>
      </c>
      <c r="M803" s="1176">
        <v>4200000</v>
      </c>
      <c r="N803" s="1344" t="s">
        <v>1032</v>
      </c>
      <c r="O803" s="1171" t="s">
        <v>1033</v>
      </c>
      <c r="P803" s="1218" t="s">
        <v>759</v>
      </c>
      <c r="R803" s="1327"/>
      <c r="S803" s="1327"/>
      <c r="T803" s="1327">
        <f>+'PAA V30'!$R803-'PAA V30'!$S803</f>
        <v>0</v>
      </c>
      <c r="U803" s="1327"/>
      <c r="V803" s="1327"/>
      <c r="W803" s="1327"/>
    </row>
    <row r="804" spans="1:23" s="1204" customFormat="1" ht="90" hidden="1" x14ac:dyDescent="0.2">
      <c r="A804" s="1169">
        <v>2022899</v>
      </c>
      <c r="B804" s="1169">
        <v>7658</v>
      </c>
      <c r="C804" s="1326" t="s">
        <v>673</v>
      </c>
      <c r="D804" s="1187" t="s">
        <v>693</v>
      </c>
      <c r="E804" s="1171">
        <v>80111600</v>
      </c>
      <c r="F804" s="1171" t="s">
        <v>1423</v>
      </c>
      <c r="G804" s="1343">
        <v>44866</v>
      </c>
      <c r="H804" s="1343">
        <v>44895</v>
      </c>
      <c r="I804" s="1173">
        <v>2</v>
      </c>
      <c r="J804" s="1173" t="s">
        <v>677</v>
      </c>
      <c r="K804" s="1174" t="s">
        <v>678</v>
      </c>
      <c r="L804" s="1175" t="s">
        <v>679</v>
      </c>
      <c r="M804" s="1176">
        <v>16480000</v>
      </c>
      <c r="N804" s="1344" t="s">
        <v>1032</v>
      </c>
      <c r="O804" s="1171" t="s">
        <v>1033</v>
      </c>
      <c r="P804" s="1218" t="s">
        <v>759</v>
      </c>
      <c r="R804" s="1327"/>
      <c r="S804" s="1327"/>
      <c r="T804" s="1327">
        <f>+'PAA V30'!$R804-'PAA V30'!$S804</f>
        <v>0</v>
      </c>
      <c r="U804" s="1327"/>
      <c r="V804" s="1327"/>
      <c r="W804" s="1327"/>
    </row>
    <row r="805" spans="1:23" s="1204" customFormat="1" ht="90" hidden="1" x14ac:dyDescent="0.2">
      <c r="A805" s="1169">
        <v>2022900</v>
      </c>
      <c r="B805" s="1169">
        <v>7658</v>
      </c>
      <c r="C805" s="1326" t="s">
        <v>673</v>
      </c>
      <c r="D805" s="1187" t="s">
        <v>693</v>
      </c>
      <c r="E805" s="1171">
        <v>80111600</v>
      </c>
      <c r="F805" s="1171" t="s">
        <v>1424</v>
      </c>
      <c r="G805" s="1343">
        <v>44866</v>
      </c>
      <c r="H805" s="1343">
        <v>44895</v>
      </c>
      <c r="I805" s="1173">
        <v>2</v>
      </c>
      <c r="J805" s="1173" t="s">
        <v>677</v>
      </c>
      <c r="K805" s="1174" t="s">
        <v>678</v>
      </c>
      <c r="L805" s="1175" t="s">
        <v>679</v>
      </c>
      <c r="M805" s="1176">
        <v>8400000</v>
      </c>
      <c r="N805" s="1344" t="s">
        <v>1032</v>
      </c>
      <c r="O805" s="1171" t="s">
        <v>1033</v>
      </c>
      <c r="P805" s="1218" t="s">
        <v>759</v>
      </c>
      <c r="R805" s="1327"/>
      <c r="S805" s="1327"/>
      <c r="T805" s="1327">
        <f>+'PAA V30'!$R805-'PAA V30'!$S805</f>
        <v>0</v>
      </c>
      <c r="U805" s="1327"/>
      <c r="V805" s="1327"/>
      <c r="W805" s="1327"/>
    </row>
    <row r="806" spans="1:23" s="1204" customFormat="1" ht="90" hidden="1" x14ac:dyDescent="0.2">
      <c r="A806" s="1169">
        <v>2022902</v>
      </c>
      <c r="B806" s="1169">
        <v>7658</v>
      </c>
      <c r="C806" s="1326" t="s">
        <v>673</v>
      </c>
      <c r="D806" s="1187" t="s">
        <v>693</v>
      </c>
      <c r="E806" s="1171">
        <v>80111600</v>
      </c>
      <c r="F806" s="1171" t="s">
        <v>1425</v>
      </c>
      <c r="G806" s="1343">
        <v>44866</v>
      </c>
      <c r="H806" s="1343">
        <v>44895</v>
      </c>
      <c r="I806" s="1173">
        <v>2</v>
      </c>
      <c r="J806" s="1173" t="s">
        <v>677</v>
      </c>
      <c r="K806" s="1174" t="s">
        <v>678</v>
      </c>
      <c r="L806" s="1175" t="s">
        <v>679</v>
      </c>
      <c r="M806" s="1176">
        <v>5600000</v>
      </c>
      <c r="N806" s="1344" t="s">
        <v>1032</v>
      </c>
      <c r="O806" s="1171" t="s">
        <v>1033</v>
      </c>
      <c r="P806" s="1218" t="s">
        <v>759</v>
      </c>
      <c r="R806" s="1327"/>
      <c r="S806" s="1327"/>
      <c r="T806" s="1327">
        <f>+'PAA V30'!$R806-'PAA V30'!$S806</f>
        <v>0</v>
      </c>
      <c r="U806" s="1327"/>
      <c r="V806" s="1327"/>
      <c r="W806" s="1327"/>
    </row>
    <row r="807" spans="1:23" s="1204" customFormat="1" ht="90" hidden="1" x14ac:dyDescent="0.2">
      <c r="A807" s="1169">
        <v>2022903</v>
      </c>
      <c r="B807" s="1169">
        <v>7658</v>
      </c>
      <c r="C807" s="1326" t="s">
        <v>673</v>
      </c>
      <c r="D807" s="1187" t="s">
        <v>693</v>
      </c>
      <c r="E807" s="1171">
        <v>80111600</v>
      </c>
      <c r="F807" s="1171" t="s">
        <v>1426</v>
      </c>
      <c r="G807" s="1343">
        <v>44866</v>
      </c>
      <c r="H807" s="1343">
        <v>44895</v>
      </c>
      <c r="I807" s="1173">
        <v>2</v>
      </c>
      <c r="J807" s="1173" t="s">
        <v>677</v>
      </c>
      <c r="K807" s="1174" t="s">
        <v>678</v>
      </c>
      <c r="L807" s="1175" t="s">
        <v>679</v>
      </c>
      <c r="M807" s="1176">
        <v>2850000</v>
      </c>
      <c r="N807" s="1344" t="s">
        <v>1032</v>
      </c>
      <c r="O807" s="1171" t="s">
        <v>1033</v>
      </c>
      <c r="P807" s="1218" t="s">
        <v>759</v>
      </c>
      <c r="R807" s="1327"/>
      <c r="S807" s="1327"/>
      <c r="T807" s="1327">
        <f>+'PAA V30'!$R807-'PAA V30'!$S807</f>
        <v>0</v>
      </c>
      <c r="U807" s="1327"/>
      <c r="V807" s="1327"/>
      <c r="W807" s="1327"/>
    </row>
    <row r="808" spans="1:23" s="1204" customFormat="1" ht="90" hidden="1" x14ac:dyDescent="0.2">
      <c r="A808" s="1169">
        <v>2022904</v>
      </c>
      <c r="B808" s="1169">
        <v>7658</v>
      </c>
      <c r="C808" s="1326" t="s">
        <v>673</v>
      </c>
      <c r="D808" s="1187" t="s">
        <v>693</v>
      </c>
      <c r="E808" s="1171">
        <v>80111600</v>
      </c>
      <c r="F808" s="1171" t="s">
        <v>1427</v>
      </c>
      <c r="G808" s="1343">
        <v>44866</v>
      </c>
      <c r="H808" s="1343">
        <v>44895</v>
      </c>
      <c r="I808" s="1173">
        <v>2</v>
      </c>
      <c r="J808" s="1173" t="s">
        <v>677</v>
      </c>
      <c r="K808" s="1174" t="s">
        <v>678</v>
      </c>
      <c r="L808" s="1175" t="s">
        <v>679</v>
      </c>
      <c r="M808" s="1176">
        <v>7700000</v>
      </c>
      <c r="N808" s="1344" t="s">
        <v>1032</v>
      </c>
      <c r="O808" s="1171" t="s">
        <v>1033</v>
      </c>
      <c r="P808" s="1218" t="s">
        <v>759</v>
      </c>
      <c r="R808" s="1327"/>
      <c r="S808" s="1327"/>
      <c r="T808" s="1327">
        <f>+'PAA V30'!$R808-'PAA V30'!$S808</f>
        <v>0</v>
      </c>
      <c r="U808" s="1327"/>
      <c r="V808" s="1327"/>
      <c r="W808" s="1327"/>
    </row>
    <row r="809" spans="1:23" s="1204" customFormat="1" ht="90" hidden="1" x14ac:dyDescent="0.2">
      <c r="A809" s="1169">
        <v>2022905</v>
      </c>
      <c r="B809" s="1169">
        <v>7658</v>
      </c>
      <c r="C809" s="1326" t="s">
        <v>673</v>
      </c>
      <c r="D809" s="1187" t="s">
        <v>693</v>
      </c>
      <c r="E809" s="1171">
        <v>80111600</v>
      </c>
      <c r="F809" s="1171" t="s">
        <v>1428</v>
      </c>
      <c r="G809" s="1343">
        <v>44866</v>
      </c>
      <c r="H809" s="1343">
        <v>44895</v>
      </c>
      <c r="I809" s="1173">
        <v>2</v>
      </c>
      <c r="J809" s="1173" t="s">
        <v>677</v>
      </c>
      <c r="K809" s="1174" t="s">
        <v>678</v>
      </c>
      <c r="L809" s="1175" t="s">
        <v>679</v>
      </c>
      <c r="M809" s="1176">
        <v>2450000</v>
      </c>
      <c r="N809" s="1344" t="s">
        <v>1032</v>
      </c>
      <c r="O809" s="1171" t="s">
        <v>1033</v>
      </c>
      <c r="P809" s="1218" t="s">
        <v>759</v>
      </c>
      <c r="R809" s="1327"/>
      <c r="S809" s="1327"/>
      <c r="T809" s="1327">
        <f>+'PAA V30'!$R809-'PAA V30'!$S809</f>
        <v>0</v>
      </c>
      <c r="U809" s="1327"/>
      <c r="V809" s="1327"/>
      <c r="W809" s="1327"/>
    </row>
    <row r="810" spans="1:23" s="1204" customFormat="1" ht="90" hidden="1" x14ac:dyDescent="0.2">
      <c r="A810" s="1169">
        <v>2022906</v>
      </c>
      <c r="B810" s="1169">
        <v>7658</v>
      </c>
      <c r="C810" s="1326" t="s">
        <v>673</v>
      </c>
      <c r="D810" s="1187" t="s">
        <v>693</v>
      </c>
      <c r="E810" s="1171">
        <v>80111600</v>
      </c>
      <c r="F810" s="1171" t="s">
        <v>1429</v>
      </c>
      <c r="G810" s="1343">
        <v>44866</v>
      </c>
      <c r="H810" s="1343">
        <v>44895</v>
      </c>
      <c r="I810" s="1173">
        <v>2</v>
      </c>
      <c r="J810" s="1173" t="s">
        <v>677</v>
      </c>
      <c r="K810" s="1174" t="s">
        <v>678</v>
      </c>
      <c r="L810" s="1175" t="s">
        <v>679</v>
      </c>
      <c r="M810" s="1176">
        <v>6600000</v>
      </c>
      <c r="N810" s="1344" t="s">
        <v>1032</v>
      </c>
      <c r="O810" s="1171" t="s">
        <v>1033</v>
      </c>
      <c r="P810" s="1218" t="s">
        <v>759</v>
      </c>
      <c r="R810" s="1327"/>
      <c r="S810" s="1327"/>
      <c r="T810" s="1327">
        <f>+'PAA V30'!$R810-'PAA V30'!$S810</f>
        <v>0</v>
      </c>
      <c r="U810" s="1327"/>
      <c r="V810" s="1327"/>
      <c r="W810" s="1327"/>
    </row>
    <row r="811" spans="1:23" s="1204" customFormat="1" ht="90" hidden="1" x14ac:dyDescent="0.2">
      <c r="A811" s="1169">
        <v>2022907</v>
      </c>
      <c r="B811" s="1169">
        <v>7658</v>
      </c>
      <c r="C811" s="1326" t="s">
        <v>673</v>
      </c>
      <c r="D811" s="1187" t="s">
        <v>693</v>
      </c>
      <c r="E811" s="1171">
        <v>80111600</v>
      </c>
      <c r="F811" s="1171" t="s">
        <v>1430</v>
      </c>
      <c r="G811" s="1343">
        <v>44866</v>
      </c>
      <c r="H811" s="1343">
        <v>44895</v>
      </c>
      <c r="I811" s="1173">
        <v>2</v>
      </c>
      <c r="J811" s="1173" t="s">
        <v>677</v>
      </c>
      <c r="K811" s="1174" t="s">
        <v>678</v>
      </c>
      <c r="L811" s="1175" t="s">
        <v>679</v>
      </c>
      <c r="M811" s="1176">
        <f>6600000-3300000</f>
        <v>3300000</v>
      </c>
      <c r="N811" s="1344" t="s">
        <v>1032</v>
      </c>
      <c r="O811" s="1171" t="s">
        <v>1033</v>
      </c>
      <c r="P811" s="1218" t="s">
        <v>759</v>
      </c>
      <c r="R811" s="1327"/>
      <c r="S811" s="1327"/>
      <c r="T811" s="1327">
        <f>+'PAA V30'!$R811-'PAA V30'!$S811</f>
        <v>0</v>
      </c>
      <c r="U811" s="1327"/>
      <c r="V811" s="1327"/>
      <c r="W811" s="1327"/>
    </row>
    <row r="812" spans="1:23" s="1204" customFormat="1" ht="90" hidden="1" x14ac:dyDescent="0.2">
      <c r="A812" s="1169">
        <v>2022908</v>
      </c>
      <c r="B812" s="1169">
        <v>7658</v>
      </c>
      <c r="C812" s="1326" t="s">
        <v>673</v>
      </c>
      <c r="D812" s="1187" t="s">
        <v>693</v>
      </c>
      <c r="E812" s="1171">
        <v>80111600</v>
      </c>
      <c r="F812" s="1171" t="s">
        <v>1431</v>
      </c>
      <c r="G812" s="1343">
        <v>44866</v>
      </c>
      <c r="H812" s="1343">
        <v>44895</v>
      </c>
      <c r="I812" s="1173">
        <v>2</v>
      </c>
      <c r="J812" s="1173" t="s">
        <v>677</v>
      </c>
      <c r="K812" s="1174" t="s">
        <v>678</v>
      </c>
      <c r="L812" s="1175" t="s">
        <v>679</v>
      </c>
      <c r="M812" s="1176">
        <v>5600000</v>
      </c>
      <c r="N812" s="1344" t="s">
        <v>1032</v>
      </c>
      <c r="O812" s="1171" t="s">
        <v>1033</v>
      </c>
      <c r="P812" s="1218" t="s">
        <v>759</v>
      </c>
      <c r="R812" s="1327"/>
      <c r="S812" s="1327"/>
      <c r="T812" s="1327">
        <f>+'PAA V30'!$R812-'PAA V30'!$S812</f>
        <v>0</v>
      </c>
      <c r="U812" s="1327"/>
      <c r="V812" s="1327"/>
      <c r="W812" s="1327"/>
    </row>
    <row r="813" spans="1:23" s="1204" customFormat="1" ht="90" hidden="1" x14ac:dyDescent="0.2">
      <c r="A813" s="1169">
        <v>2022909</v>
      </c>
      <c r="B813" s="1169">
        <v>7658</v>
      </c>
      <c r="C813" s="1326" t="s">
        <v>673</v>
      </c>
      <c r="D813" s="1187" t="s">
        <v>693</v>
      </c>
      <c r="E813" s="1171">
        <v>80111600</v>
      </c>
      <c r="F813" s="1171" t="s">
        <v>1432</v>
      </c>
      <c r="G813" s="1343">
        <v>44866</v>
      </c>
      <c r="H813" s="1343">
        <v>44895</v>
      </c>
      <c r="I813" s="1173">
        <v>2</v>
      </c>
      <c r="J813" s="1173" t="s">
        <v>677</v>
      </c>
      <c r="K813" s="1174" t="s">
        <v>678</v>
      </c>
      <c r="L813" s="1175" t="s">
        <v>679</v>
      </c>
      <c r="M813" s="1176">
        <f>5600000-2800000</f>
        <v>2800000</v>
      </c>
      <c r="N813" s="1344" t="s">
        <v>1032</v>
      </c>
      <c r="O813" s="1171" t="s">
        <v>1033</v>
      </c>
      <c r="P813" s="1218" t="s">
        <v>759</v>
      </c>
      <c r="R813" s="1327"/>
      <c r="S813" s="1327"/>
      <c r="T813" s="1327">
        <f>+'PAA V30'!$R813-'PAA V30'!$S813</f>
        <v>0</v>
      </c>
      <c r="U813" s="1327"/>
      <c r="V813" s="1327"/>
      <c r="W813" s="1327"/>
    </row>
    <row r="814" spans="1:23" s="1204" customFormat="1" ht="90" hidden="1" x14ac:dyDescent="0.2">
      <c r="A814" s="1169">
        <v>2022910</v>
      </c>
      <c r="B814" s="1169">
        <v>7658</v>
      </c>
      <c r="C814" s="1326" t="s">
        <v>673</v>
      </c>
      <c r="D814" s="1187" t="s">
        <v>693</v>
      </c>
      <c r="E814" s="1171">
        <v>80111600</v>
      </c>
      <c r="F814" s="1171" t="s">
        <v>1433</v>
      </c>
      <c r="G814" s="1343">
        <v>44866</v>
      </c>
      <c r="H814" s="1343">
        <v>44895</v>
      </c>
      <c r="I814" s="1173">
        <v>2</v>
      </c>
      <c r="J814" s="1173" t="s">
        <v>677</v>
      </c>
      <c r="K814" s="1174" t="s">
        <v>678</v>
      </c>
      <c r="L814" s="1175" t="s">
        <v>679</v>
      </c>
      <c r="M814" s="1176">
        <v>4500000</v>
      </c>
      <c r="N814" s="1344" t="s">
        <v>1032</v>
      </c>
      <c r="O814" s="1171" t="s">
        <v>1033</v>
      </c>
      <c r="P814" s="1218" t="s">
        <v>759</v>
      </c>
      <c r="R814" s="1327"/>
      <c r="S814" s="1327"/>
      <c r="T814" s="1327">
        <f>+'PAA V30'!$R814-'PAA V30'!$S814</f>
        <v>0</v>
      </c>
      <c r="U814" s="1327"/>
      <c r="V814" s="1327"/>
      <c r="W814" s="1327"/>
    </row>
    <row r="815" spans="1:23" s="1204" customFormat="1" ht="90" hidden="1" x14ac:dyDescent="0.2">
      <c r="A815" s="1169">
        <v>2022911</v>
      </c>
      <c r="B815" s="1169">
        <v>7658</v>
      </c>
      <c r="C815" s="1326" t="s">
        <v>673</v>
      </c>
      <c r="D815" s="1187" t="s">
        <v>693</v>
      </c>
      <c r="E815" s="1171">
        <v>80111600</v>
      </c>
      <c r="F815" s="1171" t="s">
        <v>1434</v>
      </c>
      <c r="G815" s="1343">
        <v>44866</v>
      </c>
      <c r="H815" s="1343">
        <v>44895</v>
      </c>
      <c r="I815" s="1173">
        <v>2</v>
      </c>
      <c r="J815" s="1173" t="s">
        <v>677</v>
      </c>
      <c r="K815" s="1174" t="s">
        <v>678</v>
      </c>
      <c r="L815" s="1175" t="s">
        <v>679</v>
      </c>
      <c r="M815" s="1176">
        <v>4900000</v>
      </c>
      <c r="N815" s="1344" t="s">
        <v>1032</v>
      </c>
      <c r="O815" s="1171" t="s">
        <v>1033</v>
      </c>
      <c r="P815" s="1218" t="s">
        <v>759</v>
      </c>
      <c r="R815" s="1327"/>
      <c r="S815" s="1327"/>
      <c r="T815" s="1327">
        <f>+'PAA V30'!$R815-'PAA V30'!$S815</f>
        <v>0</v>
      </c>
      <c r="U815" s="1327"/>
      <c r="V815" s="1327"/>
      <c r="W815" s="1327"/>
    </row>
    <row r="816" spans="1:23" s="1204" customFormat="1" ht="90" hidden="1" x14ac:dyDescent="0.2">
      <c r="A816" s="1169">
        <v>2022912</v>
      </c>
      <c r="B816" s="1169">
        <v>7658</v>
      </c>
      <c r="C816" s="1326" t="s">
        <v>673</v>
      </c>
      <c r="D816" s="1187" t="s">
        <v>693</v>
      </c>
      <c r="E816" s="1171">
        <v>80111600</v>
      </c>
      <c r="F816" s="1171" t="s">
        <v>1435</v>
      </c>
      <c r="G816" s="1343">
        <v>44866</v>
      </c>
      <c r="H816" s="1343">
        <v>44895</v>
      </c>
      <c r="I816" s="1173">
        <v>2</v>
      </c>
      <c r="J816" s="1173" t="s">
        <v>677</v>
      </c>
      <c r="K816" s="1174" t="s">
        <v>678</v>
      </c>
      <c r="L816" s="1175" t="s">
        <v>679</v>
      </c>
      <c r="M816" s="1176">
        <v>6600000</v>
      </c>
      <c r="N816" s="1344" t="s">
        <v>1032</v>
      </c>
      <c r="O816" s="1171" t="s">
        <v>1033</v>
      </c>
      <c r="P816" s="1218" t="s">
        <v>759</v>
      </c>
      <c r="R816" s="1327"/>
      <c r="S816" s="1327"/>
      <c r="T816" s="1327">
        <f>+'PAA V30'!$R816-'PAA V30'!$S816</f>
        <v>0</v>
      </c>
      <c r="U816" s="1327"/>
      <c r="V816" s="1327"/>
      <c r="W816" s="1327"/>
    </row>
    <row r="817" spans="1:23" s="1204" customFormat="1" ht="90" hidden="1" x14ac:dyDescent="0.2">
      <c r="A817" s="1169">
        <v>2022913</v>
      </c>
      <c r="B817" s="1169">
        <v>7658</v>
      </c>
      <c r="C817" s="1326" t="s">
        <v>673</v>
      </c>
      <c r="D817" s="1187" t="s">
        <v>693</v>
      </c>
      <c r="E817" s="1171">
        <v>80111600</v>
      </c>
      <c r="F817" s="1171" t="s">
        <v>1436</v>
      </c>
      <c r="G817" s="1343">
        <v>44866</v>
      </c>
      <c r="H817" s="1343">
        <v>44895</v>
      </c>
      <c r="I817" s="1173">
        <v>2</v>
      </c>
      <c r="J817" s="1173" t="s">
        <v>677</v>
      </c>
      <c r="K817" s="1174" t="s">
        <v>678</v>
      </c>
      <c r="L817" s="1175" t="s">
        <v>679</v>
      </c>
      <c r="M817" s="1176">
        <f>6400000-3200000</f>
        <v>3200000</v>
      </c>
      <c r="N817" s="1344" t="s">
        <v>1032</v>
      </c>
      <c r="O817" s="1171" t="s">
        <v>1033</v>
      </c>
      <c r="P817" s="1218" t="s">
        <v>759</v>
      </c>
      <c r="R817" s="1327"/>
      <c r="S817" s="1327"/>
      <c r="T817" s="1327">
        <f>+'PAA V30'!$R817-'PAA V30'!$S817</f>
        <v>0</v>
      </c>
      <c r="U817" s="1327"/>
      <c r="V817" s="1327"/>
      <c r="W817" s="1327"/>
    </row>
    <row r="818" spans="1:23" s="1204" customFormat="1" ht="90" hidden="1" x14ac:dyDescent="0.2">
      <c r="A818" s="1169">
        <v>2022916</v>
      </c>
      <c r="B818" s="1169">
        <v>7658</v>
      </c>
      <c r="C818" s="1326" t="s">
        <v>673</v>
      </c>
      <c r="D818" s="1187" t="s">
        <v>693</v>
      </c>
      <c r="E818" s="1171">
        <v>80111600</v>
      </c>
      <c r="F818" s="1171" t="s">
        <v>1437</v>
      </c>
      <c r="G818" s="1343">
        <v>44866</v>
      </c>
      <c r="H818" s="1343">
        <v>44895</v>
      </c>
      <c r="I818" s="1173">
        <v>2</v>
      </c>
      <c r="J818" s="1173" t="s">
        <v>677</v>
      </c>
      <c r="K818" s="1174" t="s">
        <v>678</v>
      </c>
      <c r="L818" s="1175" t="s">
        <v>679</v>
      </c>
      <c r="M818" s="1176">
        <v>4900000</v>
      </c>
      <c r="N818" s="1344" t="s">
        <v>1032</v>
      </c>
      <c r="O818" s="1171" t="s">
        <v>1033</v>
      </c>
      <c r="P818" s="1218" t="s">
        <v>759</v>
      </c>
      <c r="R818" s="1327"/>
      <c r="S818" s="1327"/>
      <c r="T818" s="1327">
        <f>+'PAA V30'!$R818-'PAA V30'!$S818</f>
        <v>0</v>
      </c>
      <c r="U818" s="1327"/>
      <c r="V818" s="1327"/>
      <c r="W818" s="1327"/>
    </row>
    <row r="819" spans="1:23" s="1204" customFormat="1" ht="90" hidden="1" x14ac:dyDescent="0.2">
      <c r="A819" s="1169">
        <v>2022917</v>
      </c>
      <c r="B819" s="1169">
        <v>7658</v>
      </c>
      <c r="C819" s="1326" t="s">
        <v>673</v>
      </c>
      <c r="D819" s="1187" t="s">
        <v>693</v>
      </c>
      <c r="E819" s="1171">
        <v>80111600</v>
      </c>
      <c r="F819" s="1171" t="s">
        <v>1438</v>
      </c>
      <c r="G819" s="1343">
        <v>44866</v>
      </c>
      <c r="H819" s="1343">
        <v>44895</v>
      </c>
      <c r="I819" s="1173">
        <v>2</v>
      </c>
      <c r="J819" s="1173" t="s">
        <v>677</v>
      </c>
      <c r="K819" s="1174" t="s">
        <v>678</v>
      </c>
      <c r="L819" s="1175" t="s">
        <v>679</v>
      </c>
      <c r="M819" s="1176">
        <v>3600000</v>
      </c>
      <c r="N819" s="1344" t="s">
        <v>1032</v>
      </c>
      <c r="O819" s="1171" t="s">
        <v>1033</v>
      </c>
      <c r="P819" s="1218" t="s">
        <v>759</v>
      </c>
      <c r="R819" s="1327"/>
      <c r="S819" s="1327"/>
      <c r="T819" s="1327">
        <f>+'PAA V30'!$R819-'PAA V30'!$S819</f>
        <v>0</v>
      </c>
      <c r="U819" s="1327"/>
      <c r="V819" s="1327"/>
      <c r="W819" s="1327"/>
    </row>
    <row r="820" spans="1:23" s="1204" customFormat="1" ht="90" hidden="1" x14ac:dyDescent="0.2">
      <c r="A820" s="1169">
        <v>2022918</v>
      </c>
      <c r="B820" s="1169">
        <v>7658</v>
      </c>
      <c r="C820" s="1326" t="s">
        <v>673</v>
      </c>
      <c r="D820" s="1187" t="s">
        <v>693</v>
      </c>
      <c r="E820" s="1171">
        <v>80111600</v>
      </c>
      <c r="F820" s="1171" t="s">
        <v>1439</v>
      </c>
      <c r="G820" s="1343">
        <v>44866</v>
      </c>
      <c r="H820" s="1343">
        <v>44895</v>
      </c>
      <c r="I820" s="1173">
        <v>2</v>
      </c>
      <c r="J820" s="1173" t="s">
        <v>677</v>
      </c>
      <c r="K820" s="1174" t="s">
        <v>678</v>
      </c>
      <c r="L820" s="1175" t="s">
        <v>679</v>
      </c>
      <c r="M820" s="1176">
        <v>4900000</v>
      </c>
      <c r="N820" s="1344" t="s">
        <v>1032</v>
      </c>
      <c r="O820" s="1171" t="s">
        <v>1033</v>
      </c>
      <c r="P820" s="1218" t="s">
        <v>759</v>
      </c>
      <c r="R820" s="1327"/>
      <c r="S820" s="1327"/>
      <c r="T820" s="1327">
        <f>+'PAA V30'!$R820-'PAA V30'!$S820</f>
        <v>0</v>
      </c>
      <c r="U820" s="1327"/>
      <c r="V820" s="1327"/>
      <c r="W820" s="1327"/>
    </row>
    <row r="821" spans="1:23" s="1204" customFormat="1" ht="90" hidden="1" x14ac:dyDescent="0.2">
      <c r="A821" s="1169">
        <v>2022920</v>
      </c>
      <c r="B821" s="1169">
        <v>7658</v>
      </c>
      <c r="C821" s="1326" t="s">
        <v>673</v>
      </c>
      <c r="D821" s="1187" t="s">
        <v>693</v>
      </c>
      <c r="E821" s="1171">
        <v>80111600</v>
      </c>
      <c r="F821" s="1171" t="s">
        <v>1440</v>
      </c>
      <c r="G821" s="1343">
        <v>44866</v>
      </c>
      <c r="H821" s="1343">
        <v>44895</v>
      </c>
      <c r="I821" s="1173">
        <v>2</v>
      </c>
      <c r="J821" s="1173" t="s">
        <v>677</v>
      </c>
      <c r="K821" s="1174" t="s">
        <v>678</v>
      </c>
      <c r="L821" s="1175" t="s">
        <v>679</v>
      </c>
      <c r="M821" s="1176">
        <v>4635000</v>
      </c>
      <c r="N821" s="1344" t="s">
        <v>1032</v>
      </c>
      <c r="O821" s="1171" t="s">
        <v>1033</v>
      </c>
      <c r="P821" s="1218" t="s">
        <v>759</v>
      </c>
      <c r="R821" s="1327"/>
      <c r="S821" s="1327"/>
      <c r="T821" s="1327">
        <f>+'PAA V30'!$R821-'PAA V30'!$S821</f>
        <v>0</v>
      </c>
      <c r="U821" s="1327"/>
      <c r="V821" s="1327"/>
      <c r="W821" s="1327"/>
    </row>
    <row r="822" spans="1:23" s="1204" customFormat="1" ht="90" hidden="1" x14ac:dyDescent="0.2">
      <c r="A822" s="1169">
        <v>2022921</v>
      </c>
      <c r="B822" s="1169">
        <v>7658</v>
      </c>
      <c r="C822" s="1326" t="s">
        <v>673</v>
      </c>
      <c r="D822" s="1187" t="s">
        <v>693</v>
      </c>
      <c r="E822" s="1171">
        <v>80111600</v>
      </c>
      <c r="F822" s="1171" t="s">
        <v>1441</v>
      </c>
      <c r="G822" s="1343">
        <v>44866</v>
      </c>
      <c r="H822" s="1343">
        <v>44895</v>
      </c>
      <c r="I822" s="1173">
        <v>2</v>
      </c>
      <c r="J822" s="1173" t="s">
        <v>677</v>
      </c>
      <c r="K822" s="1174" t="s">
        <v>678</v>
      </c>
      <c r="L822" s="1175" t="s">
        <v>679</v>
      </c>
      <c r="M822" s="1176">
        <v>4500000</v>
      </c>
      <c r="N822" s="1344" t="s">
        <v>1032</v>
      </c>
      <c r="O822" s="1171" t="s">
        <v>1033</v>
      </c>
      <c r="P822" s="1218" t="s">
        <v>759</v>
      </c>
      <c r="R822" s="1327"/>
      <c r="S822" s="1327"/>
      <c r="T822" s="1327">
        <f>+'PAA V30'!$R822-'PAA V30'!$S822</f>
        <v>0</v>
      </c>
      <c r="U822" s="1327"/>
      <c r="V822" s="1327"/>
      <c r="W822" s="1327"/>
    </row>
    <row r="823" spans="1:23" s="1204" customFormat="1" ht="90" hidden="1" x14ac:dyDescent="0.2">
      <c r="A823" s="1169">
        <v>2022922</v>
      </c>
      <c r="B823" s="1169">
        <v>7658</v>
      </c>
      <c r="C823" s="1326" t="s">
        <v>673</v>
      </c>
      <c r="D823" s="1187" t="s">
        <v>693</v>
      </c>
      <c r="E823" s="1171">
        <v>80111600</v>
      </c>
      <c r="F823" s="1171" t="s">
        <v>1442</v>
      </c>
      <c r="G823" s="1343">
        <v>44866</v>
      </c>
      <c r="H823" s="1343">
        <v>44895</v>
      </c>
      <c r="I823" s="1173">
        <v>2</v>
      </c>
      <c r="J823" s="1173" t="s">
        <v>677</v>
      </c>
      <c r="K823" s="1174" t="s">
        <v>678</v>
      </c>
      <c r="L823" s="1175" t="s">
        <v>679</v>
      </c>
      <c r="M823" s="1176">
        <v>5700000</v>
      </c>
      <c r="N823" s="1344" t="s">
        <v>1032</v>
      </c>
      <c r="O823" s="1171" t="s">
        <v>1033</v>
      </c>
      <c r="P823" s="1218" t="s">
        <v>759</v>
      </c>
      <c r="R823" s="1327"/>
      <c r="S823" s="1327"/>
      <c r="T823" s="1327">
        <f>+'PAA V30'!$R823-'PAA V30'!$S823</f>
        <v>0</v>
      </c>
      <c r="U823" s="1327"/>
      <c r="V823" s="1327"/>
      <c r="W823" s="1327"/>
    </row>
    <row r="824" spans="1:23" s="1204" customFormat="1" ht="90" hidden="1" x14ac:dyDescent="0.2">
      <c r="A824" s="1169">
        <v>2022923</v>
      </c>
      <c r="B824" s="1169">
        <v>7658</v>
      </c>
      <c r="C824" s="1326" t="s">
        <v>673</v>
      </c>
      <c r="D824" s="1187" t="s">
        <v>693</v>
      </c>
      <c r="E824" s="1171">
        <v>80111600</v>
      </c>
      <c r="F824" s="1171" t="s">
        <v>1443</v>
      </c>
      <c r="G824" s="1343">
        <v>44866</v>
      </c>
      <c r="H824" s="1343">
        <v>44895</v>
      </c>
      <c r="I824" s="1173">
        <v>2</v>
      </c>
      <c r="J824" s="1173" t="s">
        <v>677</v>
      </c>
      <c r="K824" s="1174" t="s">
        <v>678</v>
      </c>
      <c r="L824" s="1175" t="s">
        <v>679</v>
      </c>
      <c r="M824" s="1176">
        <v>9700000</v>
      </c>
      <c r="N824" s="1344" t="s">
        <v>1032</v>
      </c>
      <c r="O824" s="1171" t="s">
        <v>1033</v>
      </c>
      <c r="P824" s="1218" t="s">
        <v>759</v>
      </c>
      <c r="R824" s="1327"/>
      <c r="S824" s="1327"/>
      <c r="T824" s="1327">
        <f>+'PAA V30'!$R824-'PAA V30'!$S824</f>
        <v>0</v>
      </c>
      <c r="U824" s="1327"/>
      <c r="V824" s="1327"/>
      <c r="W824" s="1327"/>
    </row>
    <row r="825" spans="1:23" s="1204" customFormat="1" ht="90" hidden="1" x14ac:dyDescent="0.2">
      <c r="A825" s="1169">
        <v>2022924</v>
      </c>
      <c r="B825" s="1169">
        <v>7658</v>
      </c>
      <c r="C825" s="1326" t="s">
        <v>673</v>
      </c>
      <c r="D825" s="1187" t="s">
        <v>693</v>
      </c>
      <c r="E825" s="1171">
        <v>80111600</v>
      </c>
      <c r="F825" s="1171" t="s">
        <v>1444</v>
      </c>
      <c r="G825" s="1343">
        <v>44866</v>
      </c>
      <c r="H825" s="1343">
        <v>44895</v>
      </c>
      <c r="I825" s="1173">
        <v>2</v>
      </c>
      <c r="J825" s="1173" t="s">
        <v>677</v>
      </c>
      <c r="K825" s="1174" t="s">
        <v>678</v>
      </c>
      <c r="L825" s="1175" t="s">
        <v>679</v>
      </c>
      <c r="M825" s="1176">
        <v>4850000</v>
      </c>
      <c r="N825" s="1344" t="s">
        <v>1032</v>
      </c>
      <c r="O825" s="1171" t="s">
        <v>1033</v>
      </c>
      <c r="P825" s="1218" t="s">
        <v>759</v>
      </c>
      <c r="R825" s="1327"/>
      <c r="S825" s="1327"/>
      <c r="T825" s="1327">
        <f>+'PAA V30'!$R825-'PAA V30'!$S825</f>
        <v>0</v>
      </c>
      <c r="U825" s="1327"/>
      <c r="V825" s="1327"/>
      <c r="W825" s="1327"/>
    </row>
    <row r="826" spans="1:23" s="1204" customFormat="1" ht="90" hidden="1" x14ac:dyDescent="0.2">
      <c r="A826" s="1169">
        <v>2022925</v>
      </c>
      <c r="B826" s="1169">
        <v>7658</v>
      </c>
      <c r="C826" s="1326" t="s">
        <v>673</v>
      </c>
      <c r="D826" s="1187" t="s">
        <v>693</v>
      </c>
      <c r="E826" s="1171">
        <v>80111600</v>
      </c>
      <c r="F826" s="1171" t="s">
        <v>1445</v>
      </c>
      <c r="G826" s="1343">
        <v>44866</v>
      </c>
      <c r="H826" s="1343">
        <v>44895</v>
      </c>
      <c r="I826" s="1173">
        <v>2</v>
      </c>
      <c r="J826" s="1173" t="s">
        <v>677</v>
      </c>
      <c r="K826" s="1174" t="s">
        <v>678</v>
      </c>
      <c r="L826" s="1175" t="s">
        <v>679</v>
      </c>
      <c r="M826" s="1176">
        <v>5500000</v>
      </c>
      <c r="N826" s="1344" t="s">
        <v>1032</v>
      </c>
      <c r="O826" s="1171" t="s">
        <v>1033</v>
      </c>
      <c r="P826" s="1218" t="s">
        <v>759</v>
      </c>
      <c r="R826" s="1327"/>
      <c r="S826" s="1327"/>
      <c r="T826" s="1327">
        <f>+'PAA V30'!$R826-'PAA V30'!$S826</f>
        <v>0</v>
      </c>
      <c r="U826" s="1327"/>
      <c r="V826" s="1327"/>
      <c r="W826" s="1327"/>
    </row>
    <row r="827" spans="1:23" s="1204" customFormat="1" ht="90" hidden="1" x14ac:dyDescent="0.2">
      <c r="A827" s="1169">
        <v>2022926</v>
      </c>
      <c r="B827" s="1169">
        <v>7658</v>
      </c>
      <c r="C827" s="1326" t="s">
        <v>673</v>
      </c>
      <c r="D827" s="1187" t="s">
        <v>693</v>
      </c>
      <c r="E827" s="1171">
        <v>80111600</v>
      </c>
      <c r="F827" s="1171" t="s">
        <v>1446</v>
      </c>
      <c r="G827" s="1343">
        <v>44866</v>
      </c>
      <c r="H827" s="1343">
        <v>44895</v>
      </c>
      <c r="I827" s="1173">
        <v>2</v>
      </c>
      <c r="J827" s="1173" t="s">
        <v>677</v>
      </c>
      <c r="K827" s="1174" t="s">
        <v>678</v>
      </c>
      <c r="L827" s="1175" t="s">
        <v>679</v>
      </c>
      <c r="M827" s="1176">
        <v>5500000</v>
      </c>
      <c r="N827" s="1344" t="s">
        <v>1032</v>
      </c>
      <c r="O827" s="1171" t="s">
        <v>1033</v>
      </c>
      <c r="P827" s="1218" t="s">
        <v>759</v>
      </c>
      <c r="R827" s="1327"/>
      <c r="S827" s="1327"/>
      <c r="T827" s="1327">
        <f>+'PAA V30'!$R827-'PAA V30'!$S827</f>
        <v>0</v>
      </c>
      <c r="U827" s="1327"/>
      <c r="V827" s="1327"/>
      <c r="W827" s="1327"/>
    </row>
    <row r="828" spans="1:23" s="1204" customFormat="1" ht="90" hidden="1" x14ac:dyDescent="0.2">
      <c r="A828" s="1169">
        <v>2022927</v>
      </c>
      <c r="B828" s="1169">
        <v>7658</v>
      </c>
      <c r="C828" s="1326" t="s">
        <v>673</v>
      </c>
      <c r="D828" s="1187" t="s">
        <v>693</v>
      </c>
      <c r="E828" s="1171">
        <v>80111600</v>
      </c>
      <c r="F828" s="1171" t="s">
        <v>1447</v>
      </c>
      <c r="G828" s="1343">
        <v>44866</v>
      </c>
      <c r="H828" s="1343">
        <v>44895</v>
      </c>
      <c r="I828" s="1173">
        <v>2</v>
      </c>
      <c r="J828" s="1173" t="s">
        <v>677</v>
      </c>
      <c r="K828" s="1174" t="s">
        <v>678</v>
      </c>
      <c r="L828" s="1175" t="s">
        <v>679</v>
      </c>
      <c r="M828" s="1176">
        <v>4850000</v>
      </c>
      <c r="N828" s="1344" t="s">
        <v>1032</v>
      </c>
      <c r="O828" s="1171" t="s">
        <v>1033</v>
      </c>
      <c r="P828" s="1218" t="s">
        <v>759</v>
      </c>
      <c r="R828" s="1327"/>
      <c r="S828" s="1327"/>
      <c r="T828" s="1327">
        <f>+'PAA V30'!$R828-'PAA V30'!$S828</f>
        <v>0</v>
      </c>
      <c r="U828" s="1327"/>
      <c r="V828" s="1327"/>
      <c r="W828" s="1327"/>
    </row>
    <row r="829" spans="1:23" s="1204" customFormat="1" ht="90" hidden="1" x14ac:dyDescent="0.2">
      <c r="A829" s="1169">
        <v>2022928</v>
      </c>
      <c r="B829" s="1169">
        <v>7658</v>
      </c>
      <c r="C829" s="1326" t="s">
        <v>673</v>
      </c>
      <c r="D829" s="1187" t="s">
        <v>693</v>
      </c>
      <c r="E829" s="1171">
        <v>80111600</v>
      </c>
      <c r="F829" s="1171" t="s">
        <v>1448</v>
      </c>
      <c r="G829" s="1343">
        <v>44866</v>
      </c>
      <c r="H829" s="1343">
        <v>44895</v>
      </c>
      <c r="I829" s="1173">
        <v>2</v>
      </c>
      <c r="J829" s="1173" t="s">
        <v>677</v>
      </c>
      <c r="K829" s="1174" t="s">
        <v>678</v>
      </c>
      <c r="L829" s="1175" t="s">
        <v>679</v>
      </c>
      <c r="M829" s="1176">
        <v>9000000</v>
      </c>
      <c r="N829" s="1344" t="s">
        <v>1032</v>
      </c>
      <c r="O829" s="1171" t="s">
        <v>1033</v>
      </c>
      <c r="P829" s="1218" t="s">
        <v>759</v>
      </c>
      <c r="R829" s="1327"/>
      <c r="S829" s="1327"/>
      <c r="T829" s="1327">
        <f>+'PAA V30'!$R829-'PAA V30'!$S829</f>
        <v>0</v>
      </c>
      <c r="U829" s="1327"/>
      <c r="V829" s="1327"/>
      <c r="W829" s="1327"/>
    </row>
    <row r="830" spans="1:23" s="1204" customFormat="1" ht="90" hidden="1" x14ac:dyDescent="0.2">
      <c r="A830" s="1169">
        <v>2022929</v>
      </c>
      <c r="B830" s="1169">
        <v>7658</v>
      </c>
      <c r="C830" s="1326" t="s">
        <v>673</v>
      </c>
      <c r="D830" s="1187" t="s">
        <v>693</v>
      </c>
      <c r="E830" s="1171">
        <v>80111600</v>
      </c>
      <c r="F830" s="1171" t="s">
        <v>1449</v>
      </c>
      <c r="G830" s="1343">
        <v>44866</v>
      </c>
      <c r="H830" s="1343">
        <v>44895</v>
      </c>
      <c r="I830" s="1173">
        <v>2</v>
      </c>
      <c r="J830" s="1173" t="s">
        <v>677</v>
      </c>
      <c r="K830" s="1174" t="s">
        <v>678</v>
      </c>
      <c r="L830" s="1175" t="s">
        <v>679</v>
      </c>
      <c r="M830" s="1176">
        <v>9700000</v>
      </c>
      <c r="N830" s="1344" t="s">
        <v>1032</v>
      </c>
      <c r="O830" s="1171" t="s">
        <v>1033</v>
      </c>
      <c r="P830" s="1218" t="s">
        <v>759</v>
      </c>
      <c r="R830" s="1327"/>
      <c r="S830" s="1327"/>
      <c r="T830" s="1327">
        <f>+'PAA V30'!$R830-'PAA V30'!$S830</f>
        <v>0</v>
      </c>
      <c r="U830" s="1327"/>
      <c r="V830" s="1327"/>
      <c r="W830" s="1327"/>
    </row>
    <row r="831" spans="1:23" s="1204" customFormat="1" ht="90" hidden="1" x14ac:dyDescent="0.2">
      <c r="A831" s="1169">
        <v>2022930</v>
      </c>
      <c r="B831" s="1169">
        <v>7658</v>
      </c>
      <c r="C831" s="1326" t="s">
        <v>673</v>
      </c>
      <c r="D831" s="1187" t="s">
        <v>693</v>
      </c>
      <c r="E831" s="1171">
        <v>80111600</v>
      </c>
      <c r="F831" s="1171" t="s">
        <v>1450</v>
      </c>
      <c r="G831" s="1343">
        <v>44866</v>
      </c>
      <c r="H831" s="1343">
        <v>44895</v>
      </c>
      <c r="I831" s="1173">
        <v>2</v>
      </c>
      <c r="J831" s="1173" t="s">
        <v>677</v>
      </c>
      <c r="K831" s="1174" t="s">
        <v>678</v>
      </c>
      <c r="L831" s="1175" t="s">
        <v>679</v>
      </c>
      <c r="M831" s="1176">
        <v>6700000</v>
      </c>
      <c r="N831" s="1344" t="s">
        <v>1032</v>
      </c>
      <c r="O831" s="1171" t="s">
        <v>1033</v>
      </c>
      <c r="P831" s="1218" t="s">
        <v>759</v>
      </c>
      <c r="R831" s="1327"/>
      <c r="S831" s="1327"/>
      <c r="T831" s="1327">
        <f>+'PAA V30'!$R831-'PAA V30'!$S831</f>
        <v>0</v>
      </c>
      <c r="U831" s="1327"/>
      <c r="V831" s="1327"/>
      <c r="W831" s="1327"/>
    </row>
    <row r="832" spans="1:23" s="1204" customFormat="1" ht="90" hidden="1" x14ac:dyDescent="0.2">
      <c r="A832" s="1169">
        <v>2022931</v>
      </c>
      <c r="B832" s="1169">
        <v>7658</v>
      </c>
      <c r="C832" s="1326" t="s">
        <v>673</v>
      </c>
      <c r="D832" s="1187" t="s">
        <v>693</v>
      </c>
      <c r="E832" s="1171">
        <v>80111600</v>
      </c>
      <c r="F832" s="1171" t="s">
        <v>1076</v>
      </c>
      <c r="G832" s="1343">
        <v>44866</v>
      </c>
      <c r="H832" s="1343">
        <v>44895</v>
      </c>
      <c r="I832" s="1173">
        <v>2</v>
      </c>
      <c r="J832" s="1173" t="s">
        <v>677</v>
      </c>
      <c r="K832" s="1174" t="s">
        <v>678</v>
      </c>
      <c r="L832" s="1175" t="s">
        <v>679</v>
      </c>
      <c r="M832" s="1176">
        <f>9700000-166667</f>
        <v>9533333</v>
      </c>
      <c r="N832" s="1344" t="s">
        <v>1032</v>
      </c>
      <c r="O832" s="1171" t="s">
        <v>1033</v>
      </c>
      <c r="P832" s="1218" t="s">
        <v>682</v>
      </c>
      <c r="R832" s="1327"/>
      <c r="S832" s="1327"/>
      <c r="T832" s="1327">
        <f>+'PAA V30'!$R832-'PAA V30'!$S832</f>
        <v>0</v>
      </c>
      <c r="U832" s="1327"/>
      <c r="V832" s="1327"/>
      <c r="W832" s="1327"/>
    </row>
    <row r="833" spans="1:23" s="1204" customFormat="1" ht="90" hidden="1" x14ac:dyDescent="0.2">
      <c r="A833" s="1169">
        <v>2022932</v>
      </c>
      <c r="B833" s="1169">
        <v>7658</v>
      </c>
      <c r="C833" s="1326" t="s">
        <v>673</v>
      </c>
      <c r="D833" s="1187" t="s">
        <v>693</v>
      </c>
      <c r="E833" s="1171">
        <v>80111600</v>
      </c>
      <c r="F833" s="1171" t="s">
        <v>1451</v>
      </c>
      <c r="G833" s="1343">
        <v>44866</v>
      </c>
      <c r="H833" s="1343">
        <v>44895</v>
      </c>
      <c r="I833" s="1173">
        <v>2</v>
      </c>
      <c r="J833" s="1173" t="s">
        <v>677</v>
      </c>
      <c r="K833" s="1174" t="s">
        <v>678</v>
      </c>
      <c r="L833" s="1175" t="s">
        <v>679</v>
      </c>
      <c r="M833" s="1176">
        <v>4500000</v>
      </c>
      <c r="N833" s="1344" t="s">
        <v>1032</v>
      </c>
      <c r="O833" s="1171" t="s">
        <v>1033</v>
      </c>
      <c r="P833" s="1218" t="s">
        <v>759</v>
      </c>
      <c r="R833" s="1327"/>
      <c r="S833" s="1327"/>
      <c r="T833" s="1327">
        <f>+'PAA V30'!$R833-'PAA V30'!$S833</f>
        <v>0</v>
      </c>
      <c r="U833" s="1327"/>
      <c r="V833" s="1327"/>
      <c r="W833" s="1327"/>
    </row>
    <row r="834" spans="1:23" s="1204" customFormat="1" ht="90" hidden="1" x14ac:dyDescent="0.2">
      <c r="A834" s="1169">
        <v>2022933</v>
      </c>
      <c r="B834" s="1169">
        <v>7658</v>
      </c>
      <c r="C834" s="1326" t="s">
        <v>673</v>
      </c>
      <c r="D834" s="1187" t="s">
        <v>693</v>
      </c>
      <c r="E834" s="1171">
        <v>80111600</v>
      </c>
      <c r="F834" s="1171" t="s">
        <v>1452</v>
      </c>
      <c r="G834" s="1343">
        <v>44866</v>
      </c>
      <c r="H834" s="1343">
        <v>44895</v>
      </c>
      <c r="I834" s="1173">
        <v>2</v>
      </c>
      <c r="J834" s="1173" t="s">
        <v>677</v>
      </c>
      <c r="K834" s="1174" t="s">
        <v>678</v>
      </c>
      <c r="L834" s="1175" t="s">
        <v>679</v>
      </c>
      <c r="M834" s="1176">
        <v>14420000</v>
      </c>
      <c r="N834" s="1344" t="s">
        <v>1032</v>
      </c>
      <c r="O834" s="1171" t="s">
        <v>1033</v>
      </c>
      <c r="P834" s="1218" t="s">
        <v>759</v>
      </c>
      <c r="R834" s="1327"/>
      <c r="S834" s="1327"/>
      <c r="T834" s="1327">
        <f>+'PAA V30'!$R834-'PAA V30'!$S834</f>
        <v>0</v>
      </c>
      <c r="U834" s="1327"/>
      <c r="V834" s="1327"/>
      <c r="W834" s="1327"/>
    </row>
    <row r="835" spans="1:23" s="1204" customFormat="1" ht="90" hidden="1" x14ac:dyDescent="0.2">
      <c r="A835" s="1169">
        <v>2022934</v>
      </c>
      <c r="B835" s="1169">
        <v>7658</v>
      </c>
      <c r="C835" s="1326" t="s">
        <v>673</v>
      </c>
      <c r="D835" s="1187" t="s">
        <v>693</v>
      </c>
      <c r="E835" s="1171">
        <v>80111600</v>
      </c>
      <c r="F835" s="1171" t="s">
        <v>1453</v>
      </c>
      <c r="G835" s="1343">
        <v>44866</v>
      </c>
      <c r="H835" s="1343">
        <v>44895</v>
      </c>
      <c r="I835" s="1173">
        <v>2</v>
      </c>
      <c r="J835" s="1173" t="s">
        <v>677</v>
      </c>
      <c r="K835" s="1174" t="s">
        <v>678</v>
      </c>
      <c r="L835" s="1175" t="s">
        <v>679</v>
      </c>
      <c r="M835" s="1176">
        <v>3850000</v>
      </c>
      <c r="N835" s="1344" t="s">
        <v>1032</v>
      </c>
      <c r="O835" s="1171" t="s">
        <v>1033</v>
      </c>
      <c r="P835" s="1218" t="s">
        <v>759</v>
      </c>
      <c r="R835" s="1327"/>
      <c r="S835" s="1327"/>
      <c r="T835" s="1327">
        <f>+'PAA V30'!$R835-'PAA V30'!$S835</f>
        <v>0</v>
      </c>
      <c r="U835" s="1327"/>
      <c r="V835" s="1327"/>
      <c r="W835" s="1327"/>
    </row>
    <row r="836" spans="1:23" s="1204" customFormat="1" ht="90" hidden="1" x14ac:dyDescent="0.2">
      <c r="A836" s="1169">
        <v>2022935</v>
      </c>
      <c r="B836" s="1169">
        <v>7658</v>
      </c>
      <c r="C836" s="1326" t="s">
        <v>673</v>
      </c>
      <c r="D836" s="1187" t="s">
        <v>693</v>
      </c>
      <c r="E836" s="1171">
        <v>80111600</v>
      </c>
      <c r="F836" s="1171" t="s">
        <v>1454</v>
      </c>
      <c r="G836" s="1343">
        <v>44866</v>
      </c>
      <c r="H836" s="1343">
        <v>44895</v>
      </c>
      <c r="I836" s="1173">
        <v>2</v>
      </c>
      <c r="J836" s="1173" t="s">
        <v>677</v>
      </c>
      <c r="K836" s="1174" t="s">
        <v>678</v>
      </c>
      <c r="L836" s="1175" t="s">
        <v>679</v>
      </c>
      <c r="M836" s="1176">
        <v>2750000</v>
      </c>
      <c r="N836" s="1344" t="s">
        <v>1032</v>
      </c>
      <c r="O836" s="1171" t="s">
        <v>1033</v>
      </c>
      <c r="P836" s="1218" t="s">
        <v>759</v>
      </c>
      <c r="R836" s="1327"/>
      <c r="S836" s="1327"/>
      <c r="T836" s="1327">
        <f>+'PAA V30'!$R836-'PAA V30'!$S836</f>
        <v>0</v>
      </c>
      <c r="U836" s="1327"/>
      <c r="V836" s="1327"/>
      <c r="W836" s="1327"/>
    </row>
    <row r="837" spans="1:23" s="1204" customFormat="1" ht="90" hidden="1" x14ac:dyDescent="0.2">
      <c r="A837" s="1169">
        <v>2022936</v>
      </c>
      <c r="B837" s="1169">
        <v>7658</v>
      </c>
      <c r="C837" s="1326" t="s">
        <v>673</v>
      </c>
      <c r="D837" s="1187" t="s">
        <v>693</v>
      </c>
      <c r="E837" s="1171">
        <v>80111600</v>
      </c>
      <c r="F837" s="1171" t="s">
        <v>1455</v>
      </c>
      <c r="G837" s="1343">
        <v>44866</v>
      </c>
      <c r="H837" s="1343">
        <v>44895</v>
      </c>
      <c r="I837" s="1173">
        <v>2</v>
      </c>
      <c r="J837" s="1173" t="s">
        <v>677</v>
      </c>
      <c r="K837" s="1174" t="s">
        <v>678</v>
      </c>
      <c r="L837" s="1175" t="s">
        <v>679</v>
      </c>
      <c r="M837" s="1176">
        <v>2750000</v>
      </c>
      <c r="N837" s="1344" t="s">
        <v>1032</v>
      </c>
      <c r="O837" s="1171" t="s">
        <v>1033</v>
      </c>
      <c r="P837" s="1218" t="s">
        <v>759</v>
      </c>
      <c r="R837" s="1327"/>
      <c r="S837" s="1327"/>
      <c r="T837" s="1327">
        <f>+'PAA V30'!$R837-'PAA V30'!$S837</f>
        <v>0</v>
      </c>
      <c r="U837" s="1327"/>
      <c r="V837" s="1327"/>
      <c r="W837" s="1327"/>
    </row>
    <row r="838" spans="1:23" s="1204" customFormat="1" ht="90" hidden="1" x14ac:dyDescent="0.2">
      <c r="A838" s="1169">
        <v>2022937</v>
      </c>
      <c r="B838" s="1169">
        <v>7658</v>
      </c>
      <c r="C838" s="1326" t="s">
        <v>673</v>
      </c>
      <c r="D838" s="1187" t="s">
        <v>693</v>
      </c>
      <c r="E838" s="1171">
        <v>80111600</v>
      </c>
      <c r="F838" s="1171" t="s">
        <v>1456</v>
      </c>
      <c r="G838" s="1343">
        <v>44866</v>
      </c>
      <c r="H838" s="1343">
        <v>44895</v>
      </c>
      <c r="I838" s="1173">
        <v>2</v>
      </c>
      <c r="J838" s="1173" t="s">
        <v>677</v>
      </c>
      <c r="K838" s="1174" t="s">
        <v>678</v>
      </c>
      <c r="L838" s="1175" t="s">
        <v>679</v>
      </c>
      <c r="M838" s="1176">
        <v>8000000</v>
      </c>
      <c r="N838" s="1344" t="s">
        <v>1032</v>
      </c>
      <c r="O838" s="1171" t="s">
        <v>1033</v>
      </c>
      <c r="P838" s="1218" t="s">
        <v>759</v>
      </c>
      <c r="R838" s="1327"/>
      <c r="S838" s="1327"/>
      <c r="T838" s="1327">
        <f>+'PAA V30'!$R838-'PAA V30'!$S838</f>
        <v>0</v>
      </c>
      <c r="U838" s="1327"/>
      <c r="V838" s="1327"/>
      <c r="W838" s="1327"/>
    </row>
    <row r="839" spans="1:23" s="1204" customFormat="1" ht="90" hidden="1" x14ac:dyDescent="0.2">
      <c r="A839" s="1169">
        <v>2022938</v>
      </c>
      <c r="B839" s="1169">
        <v>7658</v>
      </c>
      <c r="C839" s="1326" t="s">
        <v>673</v>
      </c>
      <c r="D839" s="1187" t="s">
        <v>693</v>
      </c>
      <c r="E839" s="1171">
        <v>80111600</v>
      </c>
      <c r="F839" s="1171" t="s">
        <v>1457</v>
      </c>
      <c r="G839" s="1343">
        <v>44866</v>
      </c>
      <c r="H839" s="1343">
        <v>44895</v>
      </c>
      <c r="I839" s="1173">
        <v>2</v>
      </c>
      <c r="J839" s="1173" t="s">
        <v>677</v>
      </c>
      <c r="K839" s="1174" t="s">
        <v>678</v>
      </c>
      <c r="L839" s="1175" t="s">
        <v>679</v>
      </c>
      <c r="M839" s="1176">
        <v>2800000</v>
      </c>
      <c r="N839" s="1344" t="s">
        <v>1032</v>
      </c>
      <c r="O839" s="1171" t="s">
        <v>1033</v>
      </c>
      <c r="P839" s="1218" t="s">
        <v>759</v>
      </c>
      <c r="R839" s="1327"/>
      <c r="S839" s="1327"/>
      <c r="T839" s="1327">
        <f>+'PAA V30'!$R839-'PAA V30'!$S839</f>
        <v>0</v>
      </c>
      <c r="U839" s="1327"/>
      <c r="V839" s="1327"/>
      <c r="W839" s="1327"/>
    </row>
    <row r="840" spans="1:23" s="1204" customFormat="1" ht="90" hidden="1" x14ac:dyDescent="0.2">
      <c r="A840" s="1169">
        <v>2022939</v>
      </c>
      <c r="B840" s="1169">
        <v>7658</v>
      </c>
      <c r="C840" s="1326" t="s">
        <v>673</v>
      </c>
      <c r="D840" s="1187" t="s">
        <v>693</v>
      </c>
      <c r="E840" s="1171">
        <v>80111600</v>
      </c>
      <c r="F840" s="1171" t="s">
        <v>1458</v>
      </c>
      <c r="G840" s="1343">
        <v>44866</v>
      </c>
      <c r="H840" s="1343">
        <v>44895</v>
      </c>
      <c r="I840" s="1173">
        <v>2</v>
      </c>
      <c r="J840" s="1173" t="s">
        <v>677</v>
      </c>
      <c r="K840" s="1174" t="s">
        <v>678</v>
      </c>
      <c r="L840" s="1175" t="s">
        <v>679</v>
      </c>
      <c r="M840" s="1176">
        <v>3350000</v>
      </c>
      <c r="N840" s="1344" t="s">
        <v>1032</v>
      </c>
      <c r="O840" s="1171" t="s">
        <v>1033</v>
      </c>
      <c r="P840" s="1218" t="s">
        <v>759</v>
      </c>
      <c r="R840" s="1327"/>
      <c r="S840" s="1327"/>
      <c r="T840" s="1327">
        <f>+'PAA V30'!$R840-'PAA V30'!$S840</f>
        <v>0</v>
      </c>
      <c r="U840" s="1327"/>
      <c r="V840" s="1327"/>
      <c r="W840" s="1327"/>
    </row>
    <row r="841" spans="1:23" s="1204" customFormat="1" ht="90" hidden="1" x14ac:dyDescent="0.2">
      <c r="A841" s="1169">
        <v>2022940</v>
      </c>
      <c r="B841" s="1169">
        <v>7658</v>
      </c>
      <c r="C841" s="1326" t="s">
        <v>673</v>
      </c>
      <c r="D841" s="1187" t="s">
        <v>693</v>
      </c>
      <c r="E841" s="1171">
        <v>80111600</v>
      </c>
      <c r="F841" s="1171" t="s">
        <v>1459</v>
      </c>
      <c r="G841" s="1343">
        <v>44866</v>
      </c>
      <c r="H841" s="1343">
        <v>44895</v>
      </c>
      <c r="I841" s="1173">
        <v>2</v>
      </c>
      <c r="J841" s="1173" t="s">
        <v>677</v>
      </c>
      <c r="K841" s="1174" t="s">
        <v>678</v>
      </c>
      <c r="L841" s="1175" t="s">
        <v>679</v>
      </c>
      <c r="M841" s="1176">
        <v>3300000</v>
      </c>
      <c r="N841" s="1344" t="s">
        <v>1032</v>
      </c>
      <c r="O841" s="1171" t="s">
        <v>1033</v>
      </c>
      <c r="P841" s="1218" t="s">
        <v>759</v>
      </c>
      <c r="R841" s="1327"/>
      <c r="S841" s="1327"/>
      <c r="T841" s="1327">
        <f>+'PAA V30'!$R841-'PAA V30'!$S841</f>
        <v>0</v>
      </c>
      <c r="U841" s="1327"/>
      <c r="V841" s="1327"/>
      <c r="W841" s="1327"/>
    </row>
    <row r="842" spans="1:23" s="1204" customFormat="1" ht="90" hidden="1" x14ac:dyDescent="0.2">
      <c r="A842" s="1169">
        <v>2022941</v>
      </c>
      <c r="B842" s="1169">
        <v>7658</v>
      </c>
      <c r="C842" s="1326" t="s">
        <v>673</v>
      </c>
      <c r="D842" s="1187" t="s">
        <v>693</v>
      </c>
      <c r="E842" s="1171">
        <v>80111600</v>
      </c>
      <c r="F842" s="1171" t="s">
        <v>1460</v>
      </c>
      <c r="G842" s="1343">
        <v>44866</v>
      </c>
      <c r="H842" s="1343">
        <v>44895</v>
      </c>
      <c r="I842" s="1173">
        <v>2</v>
      </c>
      <c r="J842" s="1173" t="s">
        <v>677</v>
      </c>
      <c r="K842" s="1174" t="s">
        <v>678</v>
      </c>
      <c r="L842" s="1175" t="s">
        <v>679</v>
      </c>
      <c r="M842" s="1176">
        <v>4850000</v>
      </c>
      <c r="N842" s="1344" t="s">
        <v>1032</v>
      </c>
      <c r="O842" s="1171" t="s">
        <v>1033</v>
      </c>
      <c r="P842" s="1218" t="s">
        <v>759</v>
      </c>
      <c r="R842" s="1327"/>
      <c r="S842" s="1327"/>
      <c r="T842" s="1327">
        <f>+'PAA V30'!$R842-'PAA V30'!$S842</f>
        <v>0</v>
      </c>
      <c r="U842" s="1327"/>
      <c r="V842" s="1327"/>
      <c r="W842" s="1327"/>
    </row>
    <row r="843" spans="1:23" s="1204" customFormat="1" ht="90" hidden="1" x14ac:dyDescent="0.2">
      <c r="A843" s="1169">
        <v>2022942</v>
      </c>
      <c r="B843" s="1169">
        <v>7658</v>
      </c>
      <c r="C843" s="1326" t="s">
        <v>673</v>
      </c>
      <c r="D843" s="1187" t="s">
        <v>693</v>
      </c>
      <c r="E843" s="1171">
        <v>80111600</v>
      </c>
      <c r="F843" s="1171" t="s">
        <v>1461</v>
      </c>
      <c r="G843" s="1343">
        <v>44866</v>
      </c>
      <c r="H843" s="1343">
        <v>44895</v>
      </c>
      <c r="I843" s="1173">
        <v>2</v>
      </c>
      <c r="J843" s="1173" t="s">
        <v>677</v>
      </c>
      <c r="K843" s="1174" t="s">
        <v>678</v>
      </c>
      <c r="L843" s="1175" t="s">
        <v>679</v>
      </c>
      <c r="M843" s="1176">
        <v>3500000</v>
      </c>
      <c r="N843" s="1344" t="s">
        <v>1032</v>
      </c>
      <c r="O843" s="1171" t="s">
        <v>1033</v>
      </c>
      <c r="P843" s="1218" t="s">
        <v>759</v>
      </c>
      <c r="R843" s="1327"/>
      <c r="S843" s="1327"/>
      <c r="T843" s="1327">
        <f>+'PAA V30'!$R843-'PAA V30'!$S843</f>
        <v>0</v>
      </c>
      <c r="U843" s="1327"/>
      <c r="V843" s="1327"/>
      <c r="W843" s="1327"/>
    </row>
    <row r="844" spans="1:23" s="1204" customFormat="1" ht="90" hidden="1" x14ac:dyDescent="0.2">
      <c r="A844" s="1169">
        <v>2022943</v>
      </c>
      <c r="B844" s="1169">
        <v>7658</v>
      </c>
      <c r="C844" s="1326" t="s">
        <v>673</v>
      </c>
      <c r="D844" s="1187" t="s">
        <v>693</v>
      </c>
      <c r="E844" s="1171">
        <v>80111600</v>
      </c>
      <c r="F844" s="1171" t="s">
        <v>1462</v>
      </c>
      <c r="G844" s="1343">
        <v>44866</v>
      </c>
      <c r="H844" s="1343">
        <v>44895</v>
      </c>
      <c r="I844" s="1173">
        <v>2</v>
      </c>
      <c r="J844" s="1173" t="s">
        <v>677</v>
      </c>
      <c r="K844" s="1174" t="s">
        <v>678</v>
      </c>
      <c r="L844" s="1175" t="s">
        <v>679</v>
      </c>
      <c r="M844" s="1176">
        <v>4700000</v>
      </c>
      <c r="N844" s="1344" t="s">
        <v>1032</v>
      </c>
      <c r="O844" s="1171" t="s">
        <v>1033</v>
      </c>
      <c r="P844" s="1218" t="s">
        <v>759</v>
      </c>
      <c r="R844" s="1327"/>
      <c r="S844" s="1327"/>
      <c r="T844" s="1327">
        <f>+'PAA V30'!$R844-'PAA V30'!$S844</f>
        <v>0</v>
      </c>
      <c r="U844" s="1327"/>
      <c r="V844" s="1327"/>
      <c r="W844" s="1327"/>
    </row>
    <row r="845" spans="1:23" s="1204" customFormat="1" ht="75" hidden="1" x14ac:dyDescent="0.2">
      <c r="A845" s="1169">
        <v>2022944</v>
      </c>
      <c r="B845" s="1169">
        <v>7655</v>
      </c>
      <c r="C845" s="1326" t="s">
        <v>648</v>
      </c>
      <c r="D845" s="1187" t="s">
        <v>693</v>
      </c>
      <c r="E845" s="1171">
        <v>80111600</v>
      </c>
      <c r="F845" s="1171" t="s">
        <v>1463</v>
      </c>
      <c r="G845" s="1343">
        <v>44562</v>
      </c>
      <c r="H845" s="1343">
        <v>44620</v>
      </c>
      <c r="I845" s="1173">
        <v>2</v>
      </c>
      <c r="J845" s="1173" t="s">
        <v>677</v>
      </c>
      <c r="K845" s="1174" t="s">
        <v>678</v>
      </c>
      <c r="L845" s="1175" t="s">
        <v>679</v>
      </c>
      <c r="M845" s="1176">
        <f>10000000+6000000</f>
        <v>16000000</v>
      </c>
      <c r="N845" s="1344" t="s">
        <v>784</v>
      </c>
      <c r="O845" s="1171" t="s">
        <v>771</v>
      </c>
      <c r="P845" s="1218" t="s">
        <v>759</v>
      </c>
      <c r="R845" s="1327"/>
      <c r="S845" s="1327"/>
      <c r="T845" s="1327">
        <f>+'PAA V30'!$R845-'PAA V30'!$S845</f>
        <v>0</v>
      </c>
      <c r="U845" s="1327"/>
      <c r="V845" s="1327"/>
      <c r="W845" s="1327"/>
    </row>
    <row r="846" spans="1:23" s="1204" customFormat="1" ht="60" hidden="1" x14ac:dyDescent="0.2">
      <c r="A846" s="1169">
        <v>2022945</v>
      </c>
      <c r="B846" s="1169">
        <v>7658</v>
      </c>
      <c r="C846" s="1326" t="s">
        <v>673</v>
      </c>
      <c r="D846" s="1187" t="s">
        <v>690</v>
      </c>
      <c r="E846" s="1171" t="s">
        <v>1464</v>
      </c>
      <c r="F846" s="1171" t="s">
        <v>1465</v>
      </c>
      <c r="G846" s="1343">
        <v>44844</v>
      </c>
      <c r="H846" s="1343">
        <v>44844</v>
      </c>
      <c r="I846" s="1173">
        <v>1</v>
      </c>
      <c r="J846" s="1173" t="s">
        <v>687</v>
      </c>
      <c r="K846" s="1174" t="s">
        <v>774</v>
      </c>
      <c r="L846" s="1175" t="s">
        <v>951</v>
      </c>
      <c r="M846" s="1176">
        <v>60000000</v>
      </c>
      <c r="N846" s="1344" t="s">
        <v>780</v>
      </c>
      <c r="O846" s="1171" t="s">
        <v>768</v>
      </c>
      <c r="P846" s="1218" t="s">
        <v>759</v>
      </c>
      <c r="R846" s="1327"/>
      <c r="S846" s="1327"/>
      <c r="T846" s="1327">
        <f>+'PAA V30'!$R846-'PAA V30'!$S846</f>
        <v>0</v>
      </c>
      <c r="U846" s="1327"/>
      <c r="V846" s="1327"/>
      <c r="W846" s="1327"/>
    </row>
    <row r="847" spans="1:23" s="1204" customFormat="1" ht="75" hidden="1" x14ac:dyDescent="0.2">
      <c r="A847" s="1169">
        <v>2022947</v>
      </c>
      <c r="B847" s="1169">
        <v>7658</v>
      </c>
      <c r="C847" s="1326" t="s">
        <v>673</v>
      </c>
      <c r="D847" s="1187" t="s">
        <v>696</v>
      </c>
      <c r="E847" s="1171">
        <v>80111600</v>
      </c>
      <c r="F847" s="1171" t="s">
        <v>1466</v>
      </c>
      <c r="G847" s="1343">
        <v>44849</v>
      </c>
      <c r="H847" s="1343">
        <v>44854</v>
      </c>
      <c r="I847" s="1173">
        <v>3</v>
      </c>
      <c r="J847" s="1173" t="s">
        <v>677</v>
      </c>
      <c r="K847" s="1174" t="s">
        <v>678</v>
      </c>
      <c r="L847" s="1175" t="s">
        <v>679</v>
      </c>
      <c r="M847" s="1176">
        <f>15000000-5375000-8694000-931000</f>
        <v>0</v>
      </c>
      <c r="N847" s="1344" t="s">
        <v>765</v>
      </c>
      <c r="O847" s="1171" t="s">
        <v>764</v>
      </c>
      <c r="P847" s="1218" t="s">
        <v>682</v>
      </c>
      <c r="R847" s="1327"/>
      <c r="S847" s="1327"/>
      <c r="T847" s="1327">
        <f>+'PAA V30'!$R847-'PAA V30'!$S847</f>
        <v>0</v>
      </c>
      <c r="U847" s="1327"/>
      <c r="V847" s="1327"/>
      <c r="W847" s="1327"/>
    </row>
    <row r="848" spans="1:23" s="1204" customFormat="1" ht="120" hidden="1" x14ac:dyDescent="0.2">
      <c r="A848" s="1169">
        <v>2022948</v>
      </c>
      <c r="B848" s="1169">
        <v>7658</v>
      </c>
      <c r="C848" s="1326" t="s">
        <v>673</v>
      </c>
      <c r="D848" s="1187" t="s">
        <v>699</v>
      </c>
      <c r="E848" s="1171" t="s">
        <v>1467</v>
      </c>
      <c r="F848" s="1171" t="s">
        <v>1468</v>
      </c>
      <c r="G848" s="1343">
        <v>44854</v>
      </c>
      <c r="H848" s="1343">
        <v>44854</v>
      </c>
      <c r="I848" s="1173">
        <v>5</v>
      </c>
      <c r="J848" s="1173" t="s">
        <v>700</v>
      </c>
      <c r="K848" s="1174" t="s">
        <v>678</v>
      </c>
      <c r="L848" s="1175" t="s">
        <v>1469</v>
      </c>
      <c r="M848" s="1176">
        <v>17500000</v>
      </c>
      <c r="N848" s="1344" t="s">
        <v>772</v>
      </c>
      <c r="O848" s="1171" t="s">
        <v>915</v>
      </c>
      <c r="P848" s="1218" t="s">
        <v>759</v>
      </c>
      <c r="R848" s="1327"/>
      <c r="S848" s="1327"/>
      <c r="T848" s="1327">
        <f>+'PAA V30'!$R848-'PAA V30'!$S848</f>
        <v>0</v>
      </c>
      <c r="U848" s="1327"/>
      <c r="V848" s="1327"/>
      <c r="W848" s="1327"/>
    </row>
    <row r="849" spans="1:23" s="1204" customFormat="1" ht="120" hidden="1" x14ac:dyDescent="0.2">
      <c r="A849" s="1169">
        <v>2022949</v>
      </c>
      <c r="B849" s="1169">
        <v>7658</v>
      </c>
      <c r="C849" s="1326" t="s">
        <v>673</v>
      </c>
      <c r="D849" s="1187" t="s">
        <v>699</v>
      </c>
      <c r="E849" s="1171" t="s">
        <v>1470</v>
      </c>
      <c r="F849" s="1171" t="s">
        <v>1471</v>
      </c>
      <c r="G849" s="1343">
        <v>44854</v>
      </c>
      <c r="H849" s="1343">
        <v>44854</v>
      </c>
      <c r="I849" s="1173">
        <v>5</v>
      </c>
      <c r="J849" s="1173" t="s">
        <v>697</v>
      </c>
      <c r="K849" s="1174" t="s">
        <v>678</v>
      </c>
      <c r="L849" s="1175" t="s">
        <v>1472</v>
      </c>
      <c r="M849" s="1176">
        <v>120000000</v>
      </c>
      <c r="N849" s="1344" t="s">
        <v>772</v>
      </c>
      <c r="O849" s="1171" t="s">
        <v>915</v>
      </c>
      <c r="P849" s="1218" t="s">
        <v>759</v>
      </c>
      <c r="R849" s="1327"/>
      <c r="S849" s="1327"/>
      <c r="T849" s="1327">
        <f>+'PAA V30'!$R849-'PAA V30'!$S849</f>
        <v>0</v>
      </c>
      <c r="U849" s="1327"/>
      <c r="V849" s="1327"/>
      <c r="W849" s="1327"/>
    </row>
    <row r="850" spans="1:23" s="1204" customFormat="1" ht="90" hidden="1" x14ac:dyDescent="0.2">
      <c r="A850" s="1169">
        <v>2022950</v>
      </c>
      <c r="B850" s="1169">
        <v>7658</v>
      </c>
      <c r="C850" s="1326" t="s">
        <v>673</v>
      </c>
      <c r="D850" s="1187" t="s">
        <v>693</v>
      </c>
      <c r="E850" s="1171">
        <v>80111600</v>
      </c>
      <c r="F850" s="1171" t="s">
        <v>1473</v>
      </c>
      <c r="G850" s="1343">
        <v>44866</v>
      </c>
      <c r="H850" s="1343">
        <v>44895</v>
      </c>
      <c r="I850" s="1173">
        <v>2</v>
      </c>
      <c r="J850" s="1173" t="s">
        <v>677</v>
      </c>
      <c r="K850" s="1174" t="s">
        <v>678</v>
      </c>
      <c r="L850" s="1175" t="s">
        <v>679</v>
      </c>
      <c r="M850" s="1176">
        <v>9700000</v>
      </c>
      <c r="N850" s="1344" t="s">
        <v>1032</v>
      </c>
      <c r="O850" s="1171" t="s">
        <v>1033</v>
      </c>
      <c r="P850" s="1218"/>
      <c r="R850" s="1327"/>
      <c r="S850" s="1327"/>
      <c r="T850" s="1327">
        <f>+'PAA V30'!$R850-'PAA V30'!$S850</f>
        <v>0</v>
      </c>
      <c r="U850" s="1327"/>
      <c r="V850" s="1327"/>
      <c r="W850" s="1327"/>
    </row>
    <row r="851" spans="1:23" s="1204" customFormat="1" ht="90" hidden="1" x14ac:dyDescent="0.2">
      <c r="A851" s="1169">
        <v>2022951</v>
      </c>
      <c r="B851" s="1169">
        <v>7658</v>
      </c>
      <c r="C851" s="1326" t="s">
        <v>673</v>
      </c>
      <c r="D851" s="1187" t="s">
        <v>693</v>
      </c>
      <c r="E851" s="1171" t="s">
        <v>1474</v>
      </c>
      <c r="F851" s="1171" t="s">
        <v>1475</v>
      </c>
      <c r="G851" s="1343">
        <v>44866</v>
      </c>
      <c r="H851" s="1343">
        <v>44895</v>
      </c>
      <c r="I851" s="1173">
        <v>3</v>
      </c>
      <c r="J851" s="1173" t="s">
        <v>700</v>
      </c>
      <c r="K851" s="1174" t="s">
        <v>678</v>
      </c>
      <c r="L851" s="1175" t="s">
        <v>679</v>
      </c>
      <c r="M851" s="1176">
        <f>35000000+2000000+4650000</f>
        <v>41650000</v>
      </c>
      <c r="N851" s="1344" t="s">
        <v>1032</v>
      </c>
      <c r="O851" s="1171" t="s">
        <v>1033</v>
      </c>
      <c r="P851" s="1218" t="s">
        <v>682</v>
      </c>
      <c r="R851" s="1327"/>
      <c r="S851" s="1327"/>
      <c r="T851" s="1327">
        <f>+'PAA V30'!$R851-'PAA V30'!$S851</f>
        <v>0</v>
      </c>
      <c r="U851" s="1327"/>
      <c r="V851" s="1327"/>
      <c r="W851" s="1327"/>
    </row>
    <row r="852" spans="1:23" s="1204" customFormat="1" ht="75" hidden="1" x14ac:dyDescent="0.2">
      <c r="A852" s="1169">
        <v>2022953</v>
      </c>
      <c r="B852" s="1169">
        <v>7655</v>
      </c>
      <c r="C852" s="1326" t="s">
        <v>648</v>
      </c>
      <c r="D852" s="1187" t="s">
        <v>683</v>
      </c>
      <c r="E852" s="1171">
        <v>80111600</v>
      </c>
      <c r="F852" s="1171" t="s">
        <v>1476</v>
      </c>
      <c r="G852" s="1343">
        <v>44844</v>
      </c>
      <c r="H852" s="1343">
        <v>44844</v>
      </c>
      <c r="I852" s="1173">
        <v>1</v>
      </c>
      <c r="J852" s="1173" t="s">
        <v>677</v>
      </c>
      <c r="K852" s="1174" t="s">
        <v>678</v>
      </c>
      <c r="L852" s="1175" t="s">
        <v>679</v>
      </c>
      <c r="M852" s="1176">
        <v>10710000</v>
      </c>
      <c r="N852" s="1344" t="s">
        <v>784</v>
      </c>
      <c r="O852" s="1171" t="s">
        <v>771</v>
      </c>
      <c r="P852" s="1218" t="s">
        <v>682</v>
      </c>
      <c r="R852" s="1327"/>
      <c r="S852" s="1327"/>
      <c r="T852" s="1327">
        <f>+'PAA V30'!$R852-'PAA V30'!$S852</f>
        <v>0</v>
      </c>
      <c r="U852" s="1327"/>
      <c r="V852" s="1327"/>
      <c r="W852" s="1327"/>
    </row>
    <row r="853" spans="1:23" s="1204" customFormat="1" ht="120" hidden="1" x14ac:dyDescent="0.2">
      <c r="A853" s="1169">
        <v>2022954</v>
      </c>
      <c r="B853" s="1169">
        <v>7658</v>
      </c>
      <c r="C853" s="1326" t="s">
        <v>673</v>
      </c>
      <c r="D853" s="1187" t="s">
        <v>696</v>
      </c>
      <c r="E853" s="1171" t="s">
        <v>991</v>
      </c>
      <c r="F853" s="1171" t="s">
        <v>992</v>
      </c>
      <c r="G853" s="1343">
        <v>44849</v>
      </c>
      <c r="H853" s="1343">
        <v>44852</v>
      </c>
      <c r="I853" s="1173">
        <v>4</v>
      </c>
      <c r="J853" s="1173" t="s">
        <v>687</v>
      </c>
      <c r="K853" s="1174" t="s">
        <v>678</v>
      </c>
      <c r="L853" s="1175" t="s">
        <v>679</v>
      </c>
      <c r="M853" s="1176">
        <v>361960000</v>
      </c>
      <c r="N853" s="1344" t="s">
        <v>765</v>
      </c>
      <c r="O853" s="1171" t="s">
        <v>764</v>
      </c>
      <c r="P853" s="1218" t="s">
        <v>682</v>
      </c>
      <c r="R853" s="1327"/>
      <c r="S853" s="1327"/>
      <c r="T853" s="1327">
        <f>+'PAA V30'!$R853-'PAA V30'!$S853</f>
        <v>0</v>
      </c>
      <c r="U853" s="1327"/>
      <c r="V853" s="1327"/>
      <c r="W853" s="1327"/>
    </row>
    <row r="854" spans="1:23" s="1204" customFormat="1" ht="75" hidden="1" x14ac:dyDescent="0.2">
      <c r="A854" s="1169">
        <v>2022955</v>
      </c>
      <c r="B854" s="1169">
        <v>7655</v>
      </c>
      <c r="C854" s="1326" t="s">
        <v>648</v>
      </c>
      <c r="D854" s="1187" t="s">
        <v>683</v>
      </c>
      <c r="E854" s="1171">
        <v>80111600</v>
      </c>
      <c r="F854" s="1171" t="s">
        <v>1477</v>
      </c>
      <c r="G854" s="1343">
        <v>44864</v>
      </c>
      <c r="H854" s="1343">
        <v>44864</v>
      </c>
      <c r="I854" s="1173">
        <v>3</v>
      </c>
      <c r="J854" s="1173" t="s">
        <v>677</v>
      </c>
      <c r="K854" s="1174" t="s">
        <v>678</v>
      </c>
      <c r="L854" s="1175" t="s">
        <v>679</v>
      </c>
      <c r="M854" s="1176">
        <v>13500000</v>
      </c>
      <c r="N854" s="1344" t="s">
        <v>784</v>
      </c>
      <c r="O854" s="1171" t="s">
        <v>771</v>
      </c>
      <c r="P854" s="1218" t="s">
        <v>682</v>
      </c>
      <c r="R854" s="1327"/>
      <c r="S854" s="1327"/>
      <c r="T854" s="1327">
        <f>+'PAA V30'!$R854-'PAA V30'!$S854</f>
        <v>0</v>
      </c>
      <c r="U854" s="1327"/>
      <c r="V854" s="1327"/>
      <c r="W854" s="1327"/>
    </row>
    <row r="855" spans="1:23" s="1204" customFormat="1" ht="75" hidden="1" x14ac:dyDescent="0.2">
      <c r="A855" s="1169">
        <v>2022956</v>
      </c>
      <c r="B855" s="1169">
        <v>7655</v>
      </c>
      <c r="C855" s="1326" t="s">
        <v>648</v>
      </c>
      <c r="D855" s="1187" t="s">
        <v>683</v>
      </c>
      <c r="E855" s="1171">
        <v>80111600</v>
      </c>
      <c r="F855" s="1171" t="s">
        <v>1478</v>
      </c>
      <c r="G855" s="1343">
        <v>44864</v>
      </c>
      <c r="H855" s="1343">
        <v>44864</v>
      </c>
      <c r="I855" s="1173">
        <v>3</v>
      </c>
      <c r="J855" s="1173" t="s">
        <v>677</v>
      </c>
      <c r="K855" s="1174" t="s">
        <v>678</v>
      </c>
      <c r="L855" s="1175" t="s">
        <v>679</v>
      </c>
      <c r="M855" s="1176">
        <v>11550000</v>
      </c>
      <c r="N855" s="1344" t="s">
        <v>784</v>
      </c>
      <c r="O855" s="1171" t="s">
        <v>771</v>
      </c>
      <c r="P855" s="1218" t="s">
        <v>682</v>
      </c>
      <c r="R855" s="1327"/>
      <c r="S855" s="1327"/>
      <c r="T855" s="1327">
        <f>+'PAA V30'!$R855-'PAA V30'!$S855</f>
        <v>0</v>
      </c>
      <c r="U855" s="1327"/>
      <c r="V855" s="1327"/>
      <c r="W855" s="1327"/>
    </row>
    <row r="856" spans="1:23" s="1204" customFormat="1" ht="75" hidden="1" x14ac:dyDescent="0.2">
      <c r="A856" s="1169">
        <v>2022957</v>
      </c>
      <c r="B856" s="1169">
        <v>7658</v>
      </c>
      <c r="C856" s="1326" t="s">
        <v>673</v>
      </c>
      <c r="D856" s="1187" t="s">
        <v>696</v>
      </c>
      <c r="E856" s="1171">
        <v>80111600</v>
      </c>
      <c r="F856" s="1171" t="s">
        <v>1479</v>
      </c>
      <c r="G856" s="1343">
        <v>44875</v>
      </c>
      <c r="H856" s="1343">
        <v>44880</v>
      </c>
      <c r="I856" s="1173">
        <v>3</v>
      </c>
      <c r="J856" s="1173" t="s">
        <v>677</v>
      </c>
      <c r="K856" s="1174" t="s">
        <v>678</v>
      </c>
      <c r="L856" s="1175" t="s">
        <v>679</v>
      </c>
      <c r="M856" s="1176">
        <f>9000000-4900000-4100000</f>
        <v>0</v>
      </c>
      <c r="N856" s="1344" t="s">
        <v>765</v>
      </c>
      <c r="O856" s="1171" t="s">
        <v>764</v>
      </c>
      <c r="P856" s="1218" t="s">
        <v>682</v>
      </c>
      <c r="R856" s="1327"/>
      <c r="S856" s="1327"/>
      <c r="T856" s="1327">
        <f>+'PAA V30'!$R856-'PAA V30'!$S856</f>
        <v>0</v>
      </c>
      <c r="U856" s="1327"/>
      <c r="V856" s="1327"/>
      <c r="W856" s="1327"/>
    </row>
    <row r="857" spans="1:23" s="1204" customFormat="1" ht="75" hidden="1" x14ac:dyDescent="0.2">
      <c r="A857" s="1169">
        <v>2022958</v>
      </c>
      <c r="B857" s="1169">
        <v>7655</v>
      </c>
      <c r="C857" s="1326" t="s">
        <v>648</v>
      </c>
      <c r="D857" s="1187" t="s">
        <v>696</v>
      </c>
      <c r="E857" s="1171">
        <v>80111600</v>
      </c>
      <c r="F857" s="1171" t="s">
        <v>1480</v>
      </c>
      <c r="G857" s="1343">
        <v>44922</v>
      </c>
      <c r="H857" s="1343">
        <v>44924</v>
      </c>
      <c r="I857" s="1173">
        <v>1</v>
      </c>
      <c r="J857" s="1173" t="s">
        <v>677</v>
      </c>
      <c r="K857" s="1174" t="s">
        <v>678</v>
      </c>
      <c r="L857" s="1175" t="s">
        <v>679</v>
      </c>
      <c r="M857" s="1176">
        <f>5000000+47667</f>
        <v>5047667</v>
      </c>
      <c r="N857" s="1344" t="s">
        <v>784</v>
      </c>
      <c r="O857" s="1171" t="s">
        <v>771</v>
      </c>
      <c r="P857" s="1218" t="s">
        <v>759</v>
      </c>
      <c r="R857" s="1327"/>
      <c r="S857" s="1327"/>
      <c r="T857" s="1327">
        <f>+'PAA V30'!$R857-'PAA V30'!$S857</f>
        <v>0</v>
      </c>
      <c r="U857" s="1327"/>
      <c r="V857" s="1327"/>
      <c r="W857" s="1327"/>
    </row>
    <row r="858" spans="1:23" s="1204" customFormat="1" ht="105" hidden="1" x14ac:dyDescent="0.2">
      <c r="A858" s="1169">
        <v>2022959</v>
      </c>
      <c r="B858" s="1169">
        <v>7637</v>
      </c>
      <c r="C858" s="1326" t="s">
        <v>645</v>
      </c>
      <c r="D858" s="1187" t="s">
        <v>674</v>
      </c>
      <c r="E858" s="1171">
        <v>80111600</v>
      </c>
      <c r="F858" s="1171" t="s">
        <v>1481</v>
      </c>
      <c r="G858" s="1343">
        <v>44866</v>
      </c>
      <c r="H858" s="1343">
        <v>44880</v>
      </c>
      <c r="I858" s="1173">
        <v>2</v>
      </c>
      <c r="J858" s="1173" t="s">
        <v>677</v>
      </c>
      <c r="K858" s="1174" t="s">
        <v>678</v>
      </c>
      <c r="L858" s="1175" t="s">
        <v>679</v>
      </c>
      <c r="M858" s="1176">
        <v>12400000</v>
      </c>
      <c r="N858" s="1344" t="s">
        <v>689</v>
      </c>
      <c r="O858" s="1171" t="s">
        <v>681</v>
      </c>
      <c r="P858" s="1218" t="s">
        <v>682</v>
      </c>
      <c r="R858" s="1327"/>
      <c r="S858" s="1327"/>
      <c r="T858" s="1327">
        <f>+'PAA V30'!$R858-'PAA V30'!$S858</f>
        <v>0</v>
      </c>
      <c r="U858" s="1327"/>
      <c r="V858" s="1327"/>
      <c r="W858" s="1327"/>
    </row>
    <row r="859" spans="1:23" s="1204" customFormat="1" ht="105" hidden="1" x14ac:dyDescent="0.2">
      <c r="A859" s="1169">
        <v>2022960</v>
      </c>
      <c r="B859" s="1169">
        <v>7637</v>
      </c>
      <c r="C859" s="1326" t="s">
        <v>1482</v>
      </c>
      <c r="D859" s="1187" t="s">
        <v>674</v>
      </c>
      <c r="E859" s="1171">
        <v>80111600</v>
      </c>
      <c r="F859" s="1171" t="s">
        <v>1483</v>
      </c>
      <c r="G859" s="1343">
        <v>44866</v>
      </c>
      <c r="H859" s="1343">
        <v>44880</v>
      </c>
      <c r="I859" s="1173">
        <v>1</v>
      </c>
      <c r="J859" s="1173" t="s">
        <v>677</v>
      </c>
      <c r="K859" s="1174" t="s">
        <v>678</v>
      </c>
      <c r="L859" s="1175" t="s">
        <v>679</v>
      </c>
      <c r="M859" s="1176">
        <v>6800000</v>
      </c>
      <c r="N859" s="1344" t="s">
        <v>680</v>
      </c>
      <c r="O859" s="1171" t="s">
        <v>681</v>
      </c>
      <c r="P859" s="1218" t="s">
        <v>759</v>
      </c>
      <c r="R859" s="1327"/>
      <c r="S859" s="1327"/>
      <c r="T859" s="1327">
        <f>+'PAA V30'!$R859-'PAA V30'!$S859</f>
        <v>0</v>
      </c>
      <c r="U859" s="1327"/>
      <c r="V859" s="1327"/>
      <c r="W859" s="1327"/>
    </row>
    <row r="860" spans="1:23" s="1204" customFormat="1" ht="105" hidden="1" x14ac:dyDescent="0.2">
      <c r="A860" s="1169">
        <v>2022961</v>
      </c>
      <c r="B860" s="1169">
        <v>7637</v>
      </c>
      <c r="C860" s="1326" t="s">
        <v>1482</v>
      </c>
      <c r="D860" s="1187" t="s">
        <v>674</v>
      </c>
      <c r="E860" s="1171">
        <v>80111600</v>
      </c>
      <c r="F860" s="1171" t="s">
        <v>1484</v>
      </c>
      <c r="G860" s="1343">
        <v>44866</v>
      </c>
      <c r="H860" s="1343">
        <v>44880</v>
      </c>
      <c r="I860" s="1173">
        <v>1</v>
      </c>
      <c r="J860" s="1173" t="s">
        <v>677</v>
      </c>
      <c r="K860" s="1174" t="s">
        <v>678</v>
      </c>
      <c r="L860" s="1175" t="s">
        <v>679</v>
      </c>
      <c r="M860" s="1176">
        <v>4500000</v>
      </c>
      <c r="N860" s="1344" t="s">
        <v>680</v>
      </c>
      <c r="O860" s="1171" t="s">
        <v>681</v>
      </c>
      <c r="P860" s="1218" t="s">
        <v>759</v>
      </c>
      <c r="R860" s="1327"/>
      <c r="S860" s="1327"/>
      <c r="T860" s="1327">
        <f>+'PAA V30'!$R860-'PAA V30'!$S860</f>
        <v>0</v>
      </c>
      <c r="U860" s="1327"/>
      <c r="V860" s="1327"/>
      <c r="W860" s="1327"/>
    </row>
    <row r="861" spans="1:23" s="1204" customFormat="1" ht="90" hidden="1" x14ac:dyDescent="0.2">
      <c r="A861" s="1169">
        <v>2022962</v>
      </c>
      <c r="B861" s="1169">
        <v>7655</v>
      </c>
      <c r="C861" s="1326" t="s">
        <v>648</v>
      </c>
      <c r="D861" s="1187" t="s">
        <v>674</v>
      </c>
      <c r="E861" s="1171">
        <v>80111600</v>
      </c>
      <c r="F861" s="1171" t="s">
        <v>1485</v>
      </c>
      <c r="G861" s="1343">
        <v>44880</v>
      </c>
      <c r="H861" s="1343">
        <v>44895</v>
      </c>
      <c r="I861" s="1173">
        <v>0.5</v>
      </c>
      <c r="J861" s="1173" t="s">
        <v>677</v>
      </c>
      <c r="K861" s="1174" t="s">
        <v>678</v>
      </c>
      <c r="L861" s="1175" t="s">
        <v>679</v>
      </c>
      <c r="M861" s="1176">
        <v>4250000</v>
      </c>
      <c r="N861" s="1344" t="s">
        <v>784</v>
      </c>
      <c r="O861" s="1171" t="s">
        <v>771</v>
      </c>
      <c r="P861" s="1218" t="s">
        <v>759</v>
      </c>
      <c r="R861" s="1327"/>
      <c r="S861" s="1327"/>
      <c r="T861" s="1327">
        <f>+'PAA V30'!$R861-'PAA V30'!$S861</f>
        <v>0</v>
      </c>
      <c r="U861" s="1327"/>
      <c r="V861" s="1327"/>
      <c r="W861" s="1327"/>
    </row>
    <row r="862" spans="1:23" s="1204" customFormat="1" ht="75" hidden="1" x14ac:dyDescent="0.2">
      <c r="A862" s="1169">
        <v>2022963</v>
      </c>
      <c r="B862" s="1169">
        <v>7655</v>
      </c>
      <c r="C862" s="1326" t="s">
        <v>648</v>
      </c>
      <c r="D862" s="1187" t="s">
        <v>674</v>
      </c>
      <c r="E862" s="1171">
        <v>80111600</v>
      </c>
      <c r="F862" s="1171" t="s">
        <v>1486</v>
      </c>
      <c r="G862" s="1343">
        <v>44880</v>
      </c>
      <c r="H862" s="1343">
        <v>44895</v>
      </c>
      <c r="I862" s="1173">
        <v>0.5</v>
      </c>
      <c r="J862" s="1173" t="s">
        <v>677</v>
      </c>
      <c r="K862" s="1174" t="s">
        <v>678</v>
      </c>
      <c r="L862" s="1175" t="s">
        <v>679</v>
      </c>
      <c r="M862" s="1176">
        <v>2500000</v>
      </c>
      <c r="N862" s="1344" t="s">
        <v>784</v>
      </c>
      <c r="O862" s="1171" t="s">
        <v>771</v>
      </c>
      <c r="P862" s="1218" t="s">
        <v>759</v>
      </c>
      <c r="R862" s="1327"/>
      <c r="S862" s="1327"/>
      <c r="T862" s="1327">
        <f>+'PAA V30'!$R862-'PAA V30'!$S862</f>
        <v>0</v>
      </c>
      <c r="U862" s="1327"/>
      <c r="V862" s="1327"/>
      <c r="W862" s="1327"/>
    </row>
    <row r="863" spans="1:23" s="1204" customFormat="1" ht="90" hidden="1" x14ac:dyDescent="0.2">
      <c r="A863" s="1169">
        <v>2022964</v>
      </c>
      <c r="B863" s="1169">
        <v>7655</v>
      </c>
      <c r="C863" s="1326" t="s">
        <v>648</v>
      </c>
      <c r="D863" s="1187" t="s">
        <v>674</v>
      </c>
      <c r="E863" s="1171">
        <v>80111600</v>
      </c>
      <c r="F863" s="1171" t="s">
        <v>1487</v>
      </c>
      <c r="G863" s="1343">
        <v>44880</v>
      </c>
      <c r="H863" s="1343">
        <v>44895</v>
      </c>
      <c r="I863" s="1173">
        <v>0.4</v>
      </c>
      <c r="J863" s="1173" t="s">
        <v>677</v>
      </c>
      <c r="K863" s="1174" t="s">
        <v>678</v>
      </c>
      <c r="L863" s="1175" t="s">
        <v>679</v>
      </c>
      <c r="M863" s="1176">
        <v>2800000</v>
      </c>
      <c r="N863" s="1344" t="s">
        <v>784</v>
      </c>
      <c r="O863" s="1171" t="s">
        <v>771</v>
      </c>
      <c r="P863" s="1218" t="s">
        <v>759</v>
      </c>
      <c r="R863" s="1327"/>
      <c r="S863" s="1327"/>
      <c r="T863" s="1327">
        <f>+'PAA V30'!$R863-'PAA V30'!$S863</f>
        <v>0</v>
      </c>
      <c r="U863" s="1327"/>
      <c r="V863" s="1327"/>
      <c r="W863" s="1327"/>
    </row>
    <row r="864" spans="1:23" s="1204" customFormat="1" ht="90" hidden="1" x14ac:dyDescent="0.2">
      <c r="A864" s="1169">
        <v>2022965</v>
      </c>
      <c r="B864" s="1169">
        <v>7655</v>
      </c>
      <c r="C864" s="1326" t="s">
        <v>648</v>
      </c>
      <c r="D864" s="1187" t="s">
        <v>674</v>
      </c>
      <c r="E864" s="1171">
        <v>80111600</v>
      </c>
      <c r="F864" s="1171" t="s">
        <v>1488</v>
      </c>
      <c r="G864" s="1343">
        <v>44880</v>
      </c>
      <c r="H864" s="1343">
        <v>44895</v>
      </c>
      <c r="I864" s="1173">
        <v>0.23</v>
      </c>
      <c r="J864" s="1173" t="s">
        <v>677</v>
      </c>
      <c r="K864" s="1174" t="s">
        <v>678</v>
      </c>
      <c r="L864" s="1175" t="s">
        <v>679</v>
      </c>
      <c r="M864" s="1176">
        <v>1166667</v>
      </c>
      <c r="N864" s="1344" t="s">
        <v>784</v>
      </c>
      <c r="O864" s="1171" t="s">
        <v>771</v>
      </c>
      <c r="P864" s="1218" t="s">
        <v>759</v>
      </c>
      <c r="R864" s="1327"/>
      <c r="S864" s="1327"/>
      <c r="T864" s="1327">
        <f>+'PAA V30'!$R864-'PAA V30'!$S864</f>
        <v>0</v>
      </c>
      <c r="U864" s="1327"/>
      <c r="V864" s="1327"/>
      <c r="W864" s="1327"/>
    </row>
    <row r="865" spans="1:23" s="1204" customFormat="1" ht="75" hidden="1" x14ac:dyDescent="0.2">
      <c r="A865" s="1169">
        <v>2022966</v>
      </c>
      <c r="B865" s="1169">
        <v>7655</v>
      </c>
      <c r="C865" s="1326" t="s">
        <v>648</v>
      </c>
      <c r="D865" s="1187" t="s">
        <v>674</v>
      </c>
      <c r="E865" s="1171">
        <v>80111600</v>
      </c>
      <c r="F865" s="1171" t="s">
        <v>1489</v>
      </c>
      <c r="G865" s="1343">
        <v>44880</v>
      </c>
      <c r="H865" s="1343">
        <v>44895</v>
      </c>
      <c r="I865" s="1173">
        <v>0.5</v>
      </c>
      <c r="J865" s="1173" t="s">
        <v>677</v>
      </c>
      <c r="K865" s="1174" t="s">
        <v>678</v>
      </c>
      <c r="L865" s="1175" t="s">
        <v>679</v>
      </c>
      <c r="M865" s="1176">
        <v>4000000</v>
      </c>
      <c r="N865" s="1344" t="s">
        <v>784</v>
      </c>
      <c r="O865" s="1171" t="s">
        <v>771</v>
      </c>
      <c r="P865" s="1218" t="s">
        <v>759</v>
      </c>
      <c r="R865" s="1327"/>
      <c r="S865" s="1327"/>
      <c r="T865" s="1327">
        <f>+'PAA V30'!$R865-'PAA V30'!$S865</f>
        <v>0</v>
      </c>
      <c r="U865" s="1327"/>
      <c r="V865" s="1327"/>
      <c r="W865" s="1327"/>
    </row>
    <row r="866" spans="1:23" s="1204" customFormat="1" ht="75" hidden="1" x14ac:dyDescent="0.2">
      <c r="A866" s="1169">
        <v>2022967</v>
      </c>
      <c r="B866" s="1169">
        <v>7655</v>
      </c>
      <c r="C866" s="1326" t="s">
        <v>648</v>
      </c>
      <c r="D866" s="1187" t="s">
        <v>674</v>
      </c>
      <c r="E866" s="1171">
        <v>80111600</v>
      </c>
      <c r="F866" s="1171" t="s">
        <v>1490</v>
      </c>
      <c r="G866" s="1343">
        <v>44880</v>
      </c>
      <c r="H866" s="1343">
        <v>44895</v>
      </c>
      <c r="I866" s="1173">
        <v>0.6</v>
      </c>
      <c r="J866" s="1173" t="s">
        <v>677</v>
      </c>
      <c r="K866" s="1174" t="s">
        <v>678</v>
      </c>
      <c r="L866" s="1175" t="s">
        <v>679</v>
      </c>
      <c r="M866" s="1176">
        <v>2700000</v>
      </c>
      <c r="N866" s="1344" t="s">
        <v>784</v>
      </c>
      <c r="O866" s="1171" t="s">
        <v>771</v>
      </c>
      <c r="P866" s="1218" t="s">
        <v>759</v>
      </c>
      <c r="R866" s="1327"/>
      <c r="S866" s="1327"/>
      <c r="T866" s="1327">
        <f>+'PAA V30'!$R866-'PAA V30'!$S866</f>
        <v>0</v>
      </c>
      <c r="U866" s="1327"/>
      <c r="V866" s="1327"/>
      <c r="W866" s="1327"/>
    </row>
    <row r="867" spans="1:23" s="1204" customFormat="1" ht="75" hidden="1" x14ac:dyDescent="0.2">
      <c r="A867" s="1169">
        <v>2022968</v>
      </c>
      <c r="B867" s="1169">
        <v>7655</v>
      </c>
      <c r="C867" s="1326" t="s">
        <v>648</v>
      </c>
      <c r="D867" s="1187" t="s">
        <v>674</v>
      </c>
      <c r="E867" s="1171">
        <v>80111600</v>
      </c>
      <c r="F867" s="1171" t="s">
        <v>1491</v>
      </c>
      <c r="G867" s="1343">
        <v>44880</v>
      </c>
      <c r="H867" s="1343">
        <v>44895</v>
      </c>
      <c r="I867" s="1173">
        <v>1</v>
      </c>
      <c r="J867" s="1173" t="s">
        <v>677</v>
      </c>
      <c r="K867" s="1174" t="s">
        <v>678</v>
      </c>
      <c r="L867" s="1175" t="s">
        <v>679</v>
      </c>
      <c r="M867" s="1176">
        <v>4500000</v>
      </c>
      <c r="N867" s="1344" t="s">
        <v>784</v>
      </c>
      <c r="O867" s="1171" t="s">
        <v>771</v>
      </c>
      <c r="P867" s="1218" t="s">
        <v>759</v>
      </c>
      <c r="R867" s="1327"/>
      <c r="S867" s="1327"/>
      <c r="T867" s="1327">
        <f>+'PAA V30'!$R867-'PAA V30'!$S867</f>
        <v>0</v>
      </c>
      <c r="U867" s="1327"/>
      <c r="V867" s="1327"/>
      <c r="W867" s="1327"/>
    </row>
    <row r="868" spans="1:23" s="1204" customFormat="1" ht="75" hidden="1" x14ac:dyDescent="0.2">
      <c r="A868" s="1169">
        <v>2022969</v>
      </c>
      <c r="B868" s="1169">
        <v>7655</v>
      </c>
      <c r="C868" s="1326" t="s">
        <v>648</v>
      </c>
      <c r="D868" s="1187" t="s">
        <v>674</v>
      </c>
      <c r="E868" s="1171">
        <v>80111600</v>
      </c>
      <c r="F868" s="1171" t="s">
        <v>1492</v>
      </c>
      <c r="G868" s="1343">
        <v>44880</v>
      </c>
      <c r="H868" s="1343">
        <v>44895</v>
      </c>
      <c r="I868" s="1173">
        <v>1</v>
      </c>
      <c r="J868" s="1173" t="s">
        <v>677</v>
      </c>
      <c r="K868" s="1174" t="s">
        <v>678</v>
      </c>
      <c r="L868" s="1175" t="s">
        <v>679</v>
      </c>
      <c r="M868" s="1176">
        <v>5000000</v>
      </c>
      <c r="N868" s="1344" t="s">
        <v>784</v>
      </c>
      <c r="O868" s="1171" t="s">
        <v>771</v>
      </c>
      <c r="P868" s="1218" t="s">
        <v>759</v>
      </c>
      <c r="R868" s="1327"/>
      <c r="S868" s="1327"/>
      <c r="T868" s="1327">
        <f>+'PAA V30'!$R868-'PAA V30'!$S868</f>
        <v>0</v>
      </c>
      <c r="U868" s="1327"/>
      <c r="V868" s="1327"/>
      <c r="W868" s="1327"/>
    </row>
    <row r="869" spans="1:23" s="1204" customFormat="1" ht="120" hidden="1" x14ac:dyDescent="0.2">
      <c r="A869" s="1169">
        <v>2022970</v>
      </c>
      <c r="B869" s="1169">
        <v>7658</v>
      </c>
      <c r="C869" s="1326" t="s">
        <v>673</v>
      </c>
      <c r="D869" s="1187" t="s">
        <v>699</v>
      </c>
      <c r="E869" s="1171">
        <v>78181500</v>
      </c>
      <c r="F869" s="1171" t="s">
        <v>1493</v>
      </c>
      <c r="G869" s="1343">
        <v>44880</v>
      </c>
      <c r="H869" s="1343">
        <v>44880</v>
      </c>
      <c r="I869" s="1173">
        <v>5</v>
      </c>
      <c r="J869" s="1173" t="s">
        <v>647</v>
      </c>
      <c r="K869" s="1174" t="s">
        <v>678</v>
      </c>
      <c r="L869" s="1175" t="s">
        <v>1494</v>
      </c>
      <c r="M869" s="1176">
        <v>690000000</v>
      </c>
      <c r="N869" s="1344" t="s">
        <v>775</v>
      </c>
      <c r="O869" s="1171" t="s">
        <v>915</v>
      </c>
      <c r="P869" s="1218" t="s">
        <v>759</v>
      </c>
      <c r="R869" s="1327"/>
      <c r="S869" s="1327"/>
      <c r="T869" s="1327">
        <f>+'PAA V30'!$R869-'PAA V30'!$S869</f>
        <v>0</v>
      </c>
      <c r="U869" s="1327"/>
      <c r="V869" s="1327"/>
      <c r="W869" s="1327"/>
    </row>
    <row r="870" spans="1:23" s="1204" customFormat="1" ht="120" hidden="1" x14ac:dyDescent="0.2">
      <c r="A870" s="1169">
        <v>2022971</v>
      </c>
      <c r="B870" s="1169">
        <v>7658</v>
      </c>
      <c r="C870" s="1326" t="s">
        <v>673</v>
      </c>
      <c r="D870" s="1187" t="s">
        <v>699</v>
      </c>
      <c r="E870" s="1171">
        <v>78181500</v>
      </c>
      <c r="F870" s="1171" t="s">
        <v>1495</v>
      </c>
      <c r="G870" s="1343">
        <v>44880</v>
      </c>
      <c r="H870" s="1343">
        <v>44880</v>
      </c>
      <c r="I870" s="1173">
        <v>5</v>
      </c>
      <c r="J870" s="1173" t="s">
        <v>647</v>
      </c>
      <c r="K870" s="1174" t="s">
        <v>678</v>
      </c>
      <c r="L870" s="1175" t="s">
        <v>1494</v>
      </c>
      <c r="M870" s="1176">
        <v>150000000</v>
      </c>
      <c r="N870" s="1344" t="s">
        <v>775</v>
      </c>
      <c r="O870" s="1171" t="s">
        <v>915</v>
      </c>
      <c r="P870" s="1218" t="s">
        <v>759</v>
      </c>
      <c r="R870" s="1327"/>
      <c r="S870" s="1327"/>
      <c r="T870" s="1327">
        <f>+'PAA V30'!$R870-'PAA V30'!$S870</f>
        <v>0</v>
      </c>
      <c r="U870" s="1327"/>
      <c r="V870" s="1327"/>
      <c r="W870" s="1327"/>
    </row>
    <row r="871" spans="1:23" s="1204" customFormat="1" ht="75" hidden="1" x14ac:dyDescent="0.2">
      <c r="A871" s="1169">
        <v>2022972</v>
      </c>
      <c r="B871" s="1169">
        <v>7658</v>
      </c>
      <c r="C871" s="1326" t="s">
        <v>673</v>
      </c>
      <c r="D871" s="1187" t="s">
        <v>696</v>
      </c>
      <c r="E871" s="1171">
        <v>80111600</v>
      </c>
      <c r="F871" s="1171" t="s">
        <v>1496</v>
      </c>
      <c r="G871" s="1343">
        <v>44875</v>
      </c>
      <c r="H871" s="1343">
        <v>44880</v>
      </c>
      <c r="I871" s="1173">
        <v>3</v>
      </c>
      <c r="J871" s="1173" t="s">
        <v>677</v>
      </c>
      <c r="K871" s="1174" t="s">
        <v>678</v>
      </c>
      <c r="L871" s="1175" t="s">
        <v>679</v>
      </c>
      <c r="M871" s="1176">
        <v>25500000</v>
      </c>
      <c r="N871" s="1344" t="s">
        <v>765</v>
      </c>
      <c r="O871" s="1171" t="s">
        <v>764</v>
      </c>
      <c r="P871" s="1218" t="s">
        <v>682</v>
      </c>
      <c r="R871" s="1327"/>
      <c r="S871" s="1327"/>
      <c r="T871" s="1327">
        <f>+'PAA V30'!$R871-'PAA V30'!$S871</f>
        <v>0</v>
      </c>
      <c r="U871" s="1327"/>
      <c r="V871" s="1327"/>
      <c r="W871" s="1327"/>
    </row>
    <row r="872" spans="1:23" s="1204" customFormat="1" ht="75" hidden="1" x14ac:dyDescent="0.2">
      <c r="A872" s="1169">
        <v>2022974</v>
      </c>
      <c r="B872" s="1169">
        <v>7655</v>
      </c>
      <c r="C872" s="1326" t="s">
        <v>648</v>
      </c>
      <c r="D872" s="1187" t="s">
        <v>649</v>
      </c>
      <c r="E872" s="1171">
        <v>80111600</v>
      </c>
      <c r="F872" s="1171" t="s">
        <v>1497</v>
      </c>
      <c r="G872" s="1343">
        <v>44893</v>
      </c>
      <c r="H872" s="1343">
        <v>44893</v>
      </c>
      <c r="I872" s="1173">
        <v>1</v>
      </c>
      <c r="J872" s="1173" t="s">
        <v>677</v>
      </c>
      <c r="K872" s="1174" t="s">
        <v>678</v>
      </c>
      <c r="L872" s="1175" t="s">
        <v>679</v>
      </c>
      <c r="M872" s="1176">
        <v>3360000</v>
      </c>
      <c r="N872" s="1344" t="s">
        <v>784</v>
      </c>
      <c r="O872" s="1171" t="s">
        <v>771</v>
      </c>
      <c r="P872" s="1218" t="s">
        <v>759</v>
      </c>
      <c r="R872" s="1327"/>
      <c r="S872" s="1327"/>
      <c r="T872" s="1327">
        <f>+'PAA V30'!$R872-'PAA V30'!$S872</f>
        <v>0</v>
      </c>
      <c r="U872" s="1327"/>
      <c r="V872" s="1327"/>
      <c r="W872" s="1327"/>
    </row>
    <row r="873" spans="1:23" s="1204" customFormat="1" ht="75" hidden="1" x14ac:dyDescent="0.2">
      <c r="A873" s="1169">
        <v>2022975</v>
      </c>
      <c r="B873" s="1169">
        <v>7655</v>
      </c>
      <c r="C873" s="1326" t="s">
        <v>648</v>
      </c>
      <c r="D873" s="1187" t="s">
        <v>649</v>
      </c>
      <c r="E873" s="1171">
        <v>80111600</v>
      </c>
      <c r="F873" s="1171" t="s">
        <v>1498</v>
      </c>
      <c r="G873" s="1343">
        <v>44893</v>
      </c>
      <c r="H873" s="1343">
        <v>44893</v>
      </c>
      <c r="I873" s="1173">
        <v>1</v>
      </c>
      <c r="J873" s="1173" t="s">
        <v>677</v>
      </c>
      <c r="K873" s="1174" t="s">
        <v>678</v>
      </c>
      <c r="L873" s="1175" t="s">
        <v>679</v>
      </c>
      <c r="M873" s="1176">
        <v>6512000</v>
      </c>
      <c r="N873" s="1344" t="s">
        <v>784</v>
      </c>
      <c r="O873" s="1171" t="s">
        <v>771</v>
      </c>
      <c r="P873" s="1218" t="s">
        <v>759</v>
      </c>
      <c r="R873" s="1327"/>
      <c r="S873" s="1327"/>
      <c r="T873" s="1327">
        <f>+'PAA V30'!$R873-'PAA V30'!$S873</f>
        <v>0</v>
      </c>
      <c r="U873" s="1327"/>
      <c r="V873" s="1327"/>
      <c r="W873" s="1327"/>
    </row>
    <row r="874" spans="1:23" s="1204" customFormat="1" ht="120" hidden="1" x14ac:dyDescent="0.2">
      <c r="A874" s="1169">
        <v>2022976</v>
      </c>
      <c r="B874" s="1169">
        <v>7655</v>
      </c>
      <c r="C874" s="1326" t="s">
        <v>648</v>
      </c>
      <c r="D874" s="1187" t="s">
        <v>649</v>
      </c>
      <c r="E874" s="1171">
        <v>80111600</v>
      </c>
      <c r="F874" s="1171" t="s">
        <v>1499</v>
      </c>
      <c r="G874" s="1343">
        <v>44893</v>
      </c>
      <c r="H874" s="1343">
        <v>44893</v>
      </c>
      <c r="I874" s="1173">
        <v>1</v>
      </c>
      <c r="J874" s="1173" t="s">
        <v>677</v>
      </c>
      <c r="K874" s="1174" t="s">
        <v>678</v>
      </c>
      <c r="L874" s="1175" t="s">
        <v>679</v>
      </c>
      <c r="M874" s="1176">
        <v>4235000</v>
      </c>
      <c r="N874" s="1344" t="s">
        <v>784</v>
      </c>
      <c r="O874" s="1171" t="s">
        <v>771</v>
      </c>
      <c r="P874" s="1218" t="s">
        <v>759</v>
      </c>
      <c r="R874" s="1327"/>
      <c r="S874" s="1327"/>
      <c r="T874" s="1327">
        <f>+'PAA V30'!$R874-'PAA V30'!$S874</f>
        <v>0</v>
      </c>
      <c r="U874" s="1327"/>
      <c r="V874" s="1327"/>
      <c r="W874" s="1327"/>
    </row>
    <row r="875" spans="1:23" s="1204" customFormat="1" ht="75" hidden="1" x14ac:dyDescent="0.2">
      <c r="A875" s="1169">
        <v>2022977</v>
      </c>
      <c r="B875" s="1169">
        <v>7655</v>
      </c>
      <c r="C875" s="1326" t="s">
        <v>648</v>
      </c>
      <c r="D875" s="1187" t="s">
        <v>649</v>
      </c>
      <c r="E875" s="1171">
        <v>80111600</v>
      </c>
      <c r="F875" s="1171" t="s">
        <v>1500</v>
      </c>
      <c r="G875" s="1343">
        <v>44893</v>
      </c>
      <c r="H875" s="1343">
        <v>44893</v>
      </c>
      <c r="I875" s="1173">
        <v>1</v>
      </c>
      <c r="J875" s="1173" t="s">
        <v>677</v>
      </c>
      <c r="K875" s="1174" t="s">
        <v>678</v>
      </c>
      <c r="L875" s="1175" t="s">
        <v>679</v>
      </c>
      <c r="M875" s="1176">
        <v>3840000</v>
      </c>
      <c r="N875" s="1344" t="s">
        <v>784</v>
      </c>
      <c r="O875" s="1171" t="s">
        <v>771</v>
      </c>
      <c r="P875" s="1218" t="s">
        <v>759</v>
      </c>
      <c r="R875" s="1327"/>
      <c r="S875" s="1327"/>
      <c r="T875" s="1327">
        <f>+'PAA V30'!$R875-'PAA V30'!$S875</f>
        <v>0</v>
      </c>
      <c r="U875" s="1327"/>
      <c r="V875" s="1327"/>
      <c r="W875" s="1327"/>
    </row>
    <row r="876" spans="1:23" s="1204" customFormat="1" ht="90" hidden="1" x14ac:dyDescent="0.2">
      <c r="A876" s="1169">
        <v>2022978</v>
      </c>
      <c r="B876" s="1169">
        <v>7655</v>
      </c>
      <c r="C876" s="1326" t="s">
        <v>648</v>
      </c>
      <c r="D876" s="1187" t="s">
        <v>649</v>
      </c>
      <c r="E876" s="1171">
        <v>80111600</v>
      </c>
      <c r="F876" s="1171" t="s">
        <v>1501</v>
      </c>
      <c r="G876" s="1343">
        <v>44893</v>
      </c>
      <c r="H876" s="1343">
        <v>44893</v>
      </c>
      <c r="I876" s="1173">
        <v>0.5</v>
      </c>
      <c r="J876" s="1173" t="s">
        <v>677</v>
      </c>
      <c r="K876" s="1174" t="s">
        <v>678</v>
      </c>
      <c r="L876" s="1175" t="s">
        <v>679</v>
      </c>
      <c r="M876" s="1176">
        <v>1186667</v>
      </c>
      <c r="N876" s="1344" t="s">
        <v>784</v>
      </c>
      <c r="O876" s="1171" t="s">
        <v>771</v>
      </c>
      <c r="P876" s="1218" t="s">
        <v>759</v>
      </c>
      <c r="R876" s="1327"/>
      <c r="S876" s="1327"/>
      <c r="T876" s="1327">
        <f>+'PAA V30'!$R876-'PAA V30'!$S876</f>
        <v>0</v>
      </c>
      <c r="U876" s="1327"/>
      <c r="V876" s="1327"/>
      <c r="W876" s="1327"/>
    </row>
    <row r="877" spans="1:23" s="1204" customFormat="1" ht="75" hidden="1" x14ac:dyDescent="0.2">
      <c r="A877" s="1169">
        <v>2022979</v>
      </c>
      <c r="B877" s="1169">
        <v>7655</v>
      </c>
      <c r="C877" s="1326" t="s">
        <v>648</v>
      </c>
      <c r="D877" s="1187" t="s">
        <v>649</v>
      </c>
      <c r="E877" s="1171">
        <v>80111600</v>
      </c>
      <c r="F877" s="1171" t="s">
        <v>1502</v>
      </c>
      <c r="G877" s="1343">
        <v>44893</v>
      </c>
      <c r="H877" s="1343">
        <v>44893</v>
      </c>
      <c r="I877" s="1173">
        <v>0.5</v>
      </c>
      <c r="J877" s="1173" t="s">
        <v>677</v>
      </c>
      <c r="K877" s="1174" t="s">
        <v>678</v>
      </c>
      <c r="L877" s="1175" t="s">
        <v>679</v>
      </c>
      <c r="M877" s="1176">
        <v>2070000</v>
      </c>
      <c r="N877" s="1344" t="s">
        <v>784</v>
      </c>
      <c r="O877" s="1171" t="s">
        <v>771</v>
      </c>
      <c r="P877" s="1218" t="s">
        <v>759</v>
      </c>
      <c r="R877" s="1327"/>
      <c r="S877" s="1327"/>
      <c r="T877" s="1327">
        <f>+'PAA V30'!$R877-'PAA V30'!$S877</f>
        <v>0</v>
      </c>
      <c r="U877" s="1327"/>
      <c r="V877" s="1327"/>
      <c r="W877" s="1327"/>
    </row>
    <row r="878" spans="1:23" s="1204" customFormat="1" ht="90" hidden="1" x14ac:dyDescent="0.2">
      <c r="A878" s="1169">
        <v>2022980</v>
      </c>
      <c r="B878" s="1169">
        <v>7655</v>
      </c>
      <c r="C878" s="1326" t="s">
        <v>648</v>
      </c>
      <c r="D878" s="1187" t="s">
        <v>649</v>
      </c>
      <c r="E878" s="1171">
        <v>80111600</v>
      </c>
      <c r="F878" s="1171" t="s">
        <v>1503</v>
      </c>
      <c r="G878" s="1343">
        <v>44893</v>
      </c>
      <c r="H878" s="1343">
        <v>44893</v>
      </c>
      <c r="I878" s="1173">
        <v>0.5</v>
      </c>
      <c r="J878" s="1173" t="s">
        <v>677</v>
      </c>
      <c r="K878" s="1174" t="s">
        <v>678</v>
      </c>
      <c r="L878" s="1175" t="s">
        <v>679</v>
      </c>
      <c r="M878" s="1176">
        <v>2000000</v>
      </c>
      <c r="N878" s="1344" t="s">
        <v>784</v>
      </c>
      <c r="O878" s="1171" t="s">
        <v>771</v>
      </c>
      <c r="P878" s="1218" t="s">
        <v>759</v>
      </c>
      <c r="R878" s="1327"/>
      <c r="S878" s="1327"/>
      <c r="T878" s="1327">
        <f>+'PAA V30'!$R878-'PAA V30'!$S878</f>
        <v>0</v>
      </c>
      <c r="U878" s="1327"/>
      <c r="V878" s="1327"/>
      <c r="W878" s="1327"/>
    </row>
    <row r="879" spans="1:23" s="1204" customFormat="1" ht="90" hidden="1" x14ac:dyDescent="0.2">
      <c r="A879" s="1169">
        <v>2022981</v>
      </c>
      <c r="B879" s="1169" t="s">
        <v>459</v>
      </c>
      <c r="C879" s="1326"/>
      <c r="D879" s="1187" t="s">
        <v>690</v>
      </c>
      <c r="E879" s="1171" t="s">
        <v>781</v>
      </c>
      <c r="F879" s="1171" t="s">
        <v>1504</v>
      </c>
      <c r="G879" s="1343">
        <v>44910</v>
      </c>
      <c r="H879" s="1343">
        <v>44923</v>
      </c>
      <c r="I879" s="1173">
        <v>5.5</v>
      </c>
      <c r="J879" s="1173" t="s">
        <v>677</v>
      </c>
      <c r="K879" s="1174" t="s">
        <v>678</v>
      </c>
      <c r="L879" s="1175" t="s">
        <v>97</v>
      </c>
      <c r="M879" s="1176">
        <v>23100000</v>
      </c>
      <c r="N879" s="1344"/>
      <c r="O879" s="1171"/>
      <c r="P879" s="1218" t="s">
        <v>682</v>
      </c>
      <c r="R879" s="1327"/>
      <c r="S879" s="1327"/>
      <c r="T879" s="1327">
        <f>+'PAA V30'!$R879-'PAA V30'!$S879</f>
        <v>0</v>
      </c>
      <c r="U879" s="1327"/>
      <c r="V879" s="1327"/>
      <c r="W879" s="1327"/>
    </row>
    <row r="880" spans="1:23" s="1204" customFormat="1" ht="45" hidden="1" x14ac:dyDescent="0.2">
      <c r="A880" s="1169">
        <v>2022982</v>
      </c>
      <c r="B880" s="1169" t="s">
        <v>459</v>
      </c>
      <c r="C880" s="1326"/>
      <c r="D880" s="1187" t="s">
        <v>690</v>
      </c>
      <c r="E880" s="1171" t="s">
        <v>781</v>
      </c>
      <c r="F880" s="1171" t="s">
        <v>1505</v>
      </c>
      <c r="G880" s="1343">
        <v>44910</v>
      </c>
      <c r="H880" s="1343">
        <v>44923</v>
      </c>
      <c r="I880" s="1173">
        <v>5.5</v>
      </c>
      <c r="J880" s="1173" t="s">
        <v>677</v>
      </c>
      <c r="K880" s="1174" t="s">
        <v>678</v>
      </c>
      <c r="L880" s="1175" t="s">
        <v>97</v>
      </c>
      <c r="M880" s="1176">
        <v>18425000</v>
      </c>
      <c r="N880" s="1344"/>
      <c r="O880" s="1171"/>
      <c r="P880" s="1218" t="s">
        <v>682</v>
      </c>
      <c r="R880" s="1327"/>
      <c r="S880" s="1327"/>
      <c r="T880" s="1327">
        <f>+'PAA V30'!$R880-'PAA V30'!$S880</f>
        <v>0</v>
      </c>
      <c r="U880" s="1327"/>
      <c r="V880" s="1327"/>
      <c r="W880" s="1327"/>
    </row>
    <row r="881" spans="1:23" s="1204" customFormat="1" ht="30" hidden="1" x14ac:dyDescent="0.2">
      <c r="A881" s="1169">
        <v>2022983</v>
      </c>
      <c r="B881" s="1169" t="s">
        <v>459</v>
      </c>
      <c r="C881" s="1326"/>
      <c r="D881" s="1187" t="s">
        <v>690</v>
      </c>
      <c r="E881" s="1171" t="s">
        <v>781</v>
      </c>
      <c r="F881" s="1171" t="s">
        <v>1506</v>
      </c>
      <c r="G881" s="1343">
        <v>44910</v>
      </c>
      <c r="H881" s="1343">
        <v>44923</v>
      </c>
      <c r="I881" s="1173">
        <v>5.5</v>
      </c>
      <c r="J881" s="1173" t="s">
        <v>677</v>
      </c>
      <c r="K881" s="1174" t="s">
        <v>678</v>
      </c>
      <c r="L881" s="1175" t="s">
        <v>97</v>
      </c>
      <c r="M881" s="1176">
        <v>38500000</v>
      </c>
      <c r="N881" s="1344"/>
      <c r="O881" s="1171"/>
      <c r="P881" s="1218" t="s">
        <v>682</v>
      </c>
      <c r="R881" s="1327"/>
      <c r="S881" s="1327"/>
      <c r="T881" s="1327">
        <f>+'PAA V30'!$R881-'PAA V30'!$S881</f>
        <v>0</v>
      </c>
      <c r="U881" s="1327"/>
      <c r="V881" s="1327"/>
      <c r="W881" s="1327"/>
    </row>
    <row r="882" spans="1:23" s="1204" customFormat="1" ht="45" hidden="1" x14ac:dyDescent="0.2">
      <c r="A882" s="1169">
        <v>2022984</v>
      </c>
      <c r="B882" s="1169" t="s">
        <v>459</v>
      </c>
      <c r="C882" s="1326"/>
      <c r="D882" s="1187" t="s">
        <v>690</v>
      </c>
      <c r="E882" s="1171" t="s">
        <v>781</v>
      </c>
      <c r="F882" s="1171" t="s">
        <v>1507</v>
      </c>
      <c r="G882" s="1343">
        <v>44910</v>
      </c>
      <c r="H882" s="1343">
        <v>44923</v>
      </c>
      <c r="I882" s="1173">
        <v>5.5</v>
      </c>
      <c r="J882" s="1173" t="s">
        <v>677</v>
      </c>
      <c r="K882" s="1174" t="s">
        <v>678</v>
      </c>
      <c r="L882" s="1175" t="s">
        <v>97</v>
      </c>
      <c r="M882" s="1176">
        <f>17600000-4350000-4350000-4100000</f>
        <v>4800000</v>
      </c>
      <c r="N882" s="1344"/>
      <c r="O882" s="1171"/>
      <c r="P882" s="1218" t="s">
        <v>682</v>
      </c>
      <c r="R882" s="1327"/>
      <c r="S882" s="1327"/>
      <c r="T882" s="1327">
        <f>+'PAA V30'!$R882-'PAA V30'!$S882</f>
        <v>0</v>
      </c>
      <c r="U882" s="1327"/>
      <c r="V882" s="1327"/>
      <c r="W882" s="1327"/>
    </row>
    <row r="883" spans="1:23" s="1204" customFormat="1" ht="60" hidden="1" x14ac:dyDescent="0.2">
      <c r="A883" s="1169">
        <v>2022985</v>
      </c>
      <c r="B883" s="1169" t="s">
        <v>459</v>
      </c>
      <c r="C883" s="1326"/>
      <c r="D883" s="1187" t="s">
        <v>690</v>
      </c>
      <c r="E883" s="1171" t="s">
        <v>781</v>
      </c>
      <c r="F883" s="1171" t="s">
        <v>1508</v>
      </c>
      <c r="G883" s="1343">
        <v>44910</v>
      </c>
      <c r="H883" s="1343">
        <v>44923</v>
      </c>
      <c r="I883" s="1173">
        <v>5.5</v>
      </c>
      <c r="J883" s="1173" t="s">
        <v>677</v>
      </c>
      <c r="K883" s="1174" t="s">
        <v>678</v>
      </c>
      <c r="L883" s="1175" t="s">
        <v>97</v>
      </c>
      <c r="M883" s="1176">
        <v>27500000</v>
      </c>
      <c r="N883" s="1344"/>
      <c r="O883" s="1171"/>
      <c r="P883" s="1218" t="s">
        <v>682</v>
      </c>
      <c r="R883" s="1327"/>
      <c r="S883" s="1327"/>
      <c r="T883" s="1327">
        <f>+'PAA V30'!$R883-'PAA V30'!$S883</f>
        <v>0</v>
      </c>
      <c r="U883" s="1327"/>
      <c r="V883" s="1327"/>
      <c r="W883" s="1327"/>
    </row>
    <row r="884" spans="1:23" s="1204" customFormat="1" ht="225" hidden="1" x14ac:dyDescent="0.2">
      <c r="A884" s="1169">
        <v>2022986</v>
      </c>
      <c r="B884" s="1169" t="s">
        <v>459</v>
      </c>
      <c r="C884" s="1326"/>
      <c r="D884" s="1187" t="s">
        <v>690</v>
      </c>
      <c r="E884" s="1171" t="s">
        <v>97</v>
      </c>
      <c r="F884" s="1171" t="s">
        <v>1509</v>
      </c>
      <c r="G884" s="1343" t="s">
        <v>97</v>
      </c>
      <c r="H884" s="1343" t="s">
        <v>97</v>
      </c>
      <c r="I884" s="1173" t="s">
        <v>97</v>
      </c>
      <c r="J884" s="1173" t="s">
        <v>97</v>
      </c>
      <c r="K884" s="1174" t="s">
        <v>678</v>
      </c>
      <c r="L884" s="1175" t="s">
        <v>97</v>
      </c>
      <c r="M884" s="1176">
        <v>10221240</v>
      </c>
      <c r="N884" s="1344"/>
      <c r="O884" s="1171"/>
      <c r="P884" s="1218" t="s">
        <v>759</v>
      </c>
      <c r="R884" s="1327"/>
      <c r="S884" s="1327"/>
      <c r="T884" s="1327">
        <f>+'PAA V30'!$R884-'PAA V30'!$S884</f>
        <v>0</v>
      </c>
      <c r="U884" s="1327"/>
      <c r="V884" s="1327"/>
      <c r="W884" s="1327"/>
    </row>
    <row r="885" spans="1:23" s="1204" customFormat="1" ht="120" hidden="1" x14ac:dyDescent="0.2">
      <c r="A885" s="1169">
        <v>2022987</v>
      </c>
      <c r="B885" s="1169" t="s">
        <v>459</v>
      </c>
      <c r="C885" s="1326"/>
      <c r="D885" s="1187" t="s">
        <v>690</v>
      </c>
      <c r="E885" s="1171" t="s">
        <v>97</v>
      </c>
      <c r="F885" s="1171" t="s">
        <v>1510</v>
      </c>
      <c r="G885" s="1343" t="s">
        <v>97</v>
      </c>
      <c r="H885" s="1343" t="s">
        <v>97</v>
      </c>
      <c r="I885" s="1173" t="s">
        <v>97</v>
      </c>
      <c r="J885" s="1173" t="s">
        <v>97</v>
      </c>
      <c r="K885" s="1174" t="s">
        <v>678</v>
      </c>
      <c r="L885" s="1175" t="s">
        <v>97</v>
      </c>
      <c r="M885" s="1176">
        <v>2679516</v>
      </c>
      <c r="N885" s="1344"/>
      <c r="O885" s="1171"/>
      <c r="P885" s="1218" t="s">
        <v>759</v>
      </c>
      <c r="R885" s="1327"/>
      <c r="S885" s="1327"/>
      <c r="T885" s="1327">
        <f>+'PAA V30'!$R885-'PAA V30'!$S885</f>
        <v>0</v>
      </c>
      <c r="U885" s="1327"/>
      <c r="V885" s="1327"/>
      <c r="W885" s="1327"/>
    </row>
    <row r="886" spans="1:23" s="1204" customFormat="1" ht="120" hidden="1" x14ac:dyDescent="0.2">
      <c r="A886" s="1169">
        <v>2022988</v>
      </c>
      <c r="B886" s="1169">
        <v>7658</v>
      </c>
      <c r="C886" s="1326" t="s">
        <v>673</v>
      </c>
      <c r="D886" s="1187" t="s">
        <v>690</v>
      </c>
      <c r="E886" s="1171">
        <v>551015063</v>
      </c>
      <c r="F886" s="1171" t="s">
        <v>1511</v>
      </c>
      <c r="G886" s="1343">
        <v>44885</v>
      </c>
      <c r="H886" s="1343">
        <v>44897</v>
      </c>
      <c r="I886" s="1173">
        <v>3</v>
      </c>
      <c r="J886" s="1173" t="s">
        <v>700</v>
      </c>
      <c r="K886" s="1174" t="s">
        <v>678</v>
      </c>
      <c r="L886" s="1175" t="s">
        <v>679</v>
      </c>
      <c r="M886" s="1176">
        <v>10000000</v>
      </c>
      <c r="N886" s="1344" t="s">
        <v>931</v>
      </c>
      <c r="O886" s="1171" t="s">
        <v>915</v>
      </c>
      <c r="P886" s="1218" t="s">
        <v>682</v>
      </c>
      <c r="R886" s="1327"/>
      <c r="S886" s="1327"/>
      <c r="T886" s="1327">
        <f>+'PAA V30'!$R886-'PAA V30'!$S886</f>
        <v>0</v>
      </c>
      <c r="U886" s="1327"/>
      <c r="V886" s="1327"/>
      <c r="W886" s="1327"/>
    </row>
    <row r="887" spans="1:23" s="1204" customFormat="1" ht="75" hidden="1" x14ac:dyDescent="0.2">
      <c r="A887" s="1169">
        <v>2022989</v>
      </c>
      <c r="B887" s="1169">
        <v>7655</v>
      </c>
      <c r="C887" s="1326" t="s">
        <v>648</v>
      </c>
      <c r="D887" s="1187" t="s">
        <v>686</v>
      </c>
      <c r="E887" s="1171">
        <v>80111600</v>
      </c>
      <c r="F887" s="1171" t="s">
        <v>1512</v>
      </c>
      <c r="G887" s="1343">
        <v>44873</v>
      </c>
      <c r="H887" s="1343">
        <v>44880</v>
      </c>
      <c r="I887" s="1173">
        <v>0.47</v>
      </c>
      <c r="J887" s="1173" t="s">
        <v>677</v>
      </c>
      <c r="K887" s="1174" t="s">
        <v>678</v>
      </c>
      <c r="L887" s="1175" t="s">
        <v>679</v>
      </c>
      <c r="M887" s="1176">
        <v>3085872</v>
      </c>
      <c r="N887" s="1344" t="s">
        <v>784</v>
      </c>
      <c r="O887" s="1171" t="s">
        <v>771</v>
      </c>
      <c r="P887" s="1218" t="s">
        <v>759</v>
      </c>
      <c r="R887" s="1327"/>
      <c r="S887" s="1327"/>
      <c r="T887" s="1327">
        <f>+'PAA V30'!$R887-'PAA V30'!$S887</f>
        <v>0</v>
      </c>
      <c r="U887" s="1327"/>
      <c r="V887" s="1327"/>
      <c r="W887" s="1327"/>
    </row>
    <row r="888" spans="1:23" s="1204" customFormat="1" ht="75" hidden="1" x14ac:dyDescent="0.2">
      <c r="A888" s="1169">
        <v>2022990</v>
      </c>
      <c r="B888" s="1169">
        <v>7655</v>
      </c>
      <c r="C888" s="1326" t="s">
        <v>648</v>
      </c>
      <c r="D888" s="1187" t="s">
        <v>690</v>
      </c>
      <c r="E888" s="1171">
        <v>80111600</v>
      </c>
      <c r="F888" s="1171" t="s">
        <v>1513</v>
      </c>
      <c r="G888" s="1343">
        <v>44890</v>
      </c>
      <c r="H888" s="1343">
        <v>44890</v>
      </c>
      <c r="I888" s="1173">
        <v>1</v>
      </c>
      <c r="J888" s="1173" t="s">
        <v>677</v>
      </c>
      <c r="K888" s="1174" t="s">
        <v>678</v>
      </c>
      <c r="L888" s="1175" t="s">
        <v>783</v>
      </c>
      <c r="M888" s="1176">
        <f>6900000+2100000+9000000</f>
        <v>18000000</v>
      </c>
      <c r="N888" s="1344" t="s">
        <v>784</v>
      </c>
      <c r="O888" s="1171" t="s">
        <v>771</v>
      </c>
      <c r="P888" s="1218" t="s">
        <v>759</v>
      </c>
      <c r="R888" s="1327"/>
      <c r="S888" s="1327"/>
      <c r="T888" s="1327">
        <f>+'PAA V30'!$R888-'PAA V30'!$S888</f>
        <v>0</v>
      </c>
      <c r="U888" s="1327"/>
      <c r="V888" s="1327"/>
      <c r="W888" s="1327"/>
    </row>
    <row r="889" spans="1:23" s="1204" customFormat="1" ht="105" hidden="1" x14ac:dyDescent="0.2">
      <c r="A889" s="1169">
        <v>2022992</v>
      </c>
      <c r="B889" s="1169">
        <v>7655</v>
      </c>
      <c r="C889" s="1326" t="s">
        <v>648</v>
      </c>
      <c r="D889" s="1187" t="s">
        <v>690</v>
      </c>
      <c r="E889" s="1171">
        <v>80111600</v>
      </c>
      <c r="F889" s="1171" t="s">
        <v>1514</v>
      </c>
      <c r="G889" s="1343">
        <v>44890</v>
      </c>
      <c r="H889" s="1343">
        <v>44890</v>
      </c>
      <c r="I889" s="1173">
        <v>2</v>
      </c>
      <c r="J889" s="1173" t="s">
        <v>677</v>
      </c>
      <c r="K889" s="1174" t="s">
        <v>678</v>
      </c>
      <c r="L889" s="1175" t="s">
        <v>783</v>
      </c>
      <c r="M889" s="1176">
        <f>5066667+10933333</f>
        <v>16000000</v>
      </c>
      <c r="N889" s="1344" t="s">
        <v>784</v>
      </c>
      <c r="O889" s="1171" t="s">
        <v>771</v>
      </c>
      <c r="P889" s="1218" t="s">
        <v>759</v>
      </c>
      <c r="R889" s="1327"/>
      <c r="S889" s="1327"/>
      <c r="T889" s="1327">
        <f>+'PAA V30'!$R889-'PAA V30'!$S889</f>
        <v>0</v>
      </c>
      <c r="U889" s="1327"/>
      <c r="V889" s="1327"/>
      <c r="W889" s="1327"/>
    </row>
    <row r="890" spans="1:23" s="1204" customFormat="1" ht="90" hidden="1" x14ac:dyDescent="0.2">
      <c r="A890" s="1169">
        <v>2022993</v>
      </c>
      <c r="B890" s="1169">
        <v>7655</v>
      </c>
      <c r="C890" s="1326" t="s">
        <v>648</v>
      </c>
      <c r="D890" s="1187" t="s">
        <v>690</v>
      </c>
      <c r="E890" s="1171">
        <v>80111600</v>
      </c>
      <c r="F890" s="1171" t="s">
        <v>1515</v>
      </c>
      <c r="G890" s="1343">
        <v>44890</v>
      </c>
      <c r="H890" s="1343">
        <v>44890</v>
      </c>
      <c r="I890" s="1173">
        <v>1</v>
      </c>
      <c r="J890" s="1173" t="s">
        <v>677</v>
      </c>
      <c r="K890" s="1174" t="s">
        <v>678</v>
      </c>
      <c r="L890" s="1175" t="s">
        <v>679</v>
      </c>
      <c r="M890" s="1176">
        <f>2166667+2833333</f>
        <v>5000000</v>
      </c>
      <c r="N890" s="1344" t="s">
        <v>784</v>
      </c>
      <c r="O890" s="1171" t="s">
        <v>771</v>
      </c>
      <c r="P890" s="1218" t="s">
        <v>759</v>
      </c>
      <c r="R890" s="1327"/>
      <c r="S890" s="1327"/>
      <c r="T890" s="1327">
        <f>+'PAA V30'!$R890-'PAA V30'!$S890</f>
        <v>0</v>
      </c>
      <c r="U890" s="1327"/>
      <c r="V890" s="1327"/>
      <c r="W890" s="1327"/>
    </row>
    <row r="891" spans="1:23" s="1204" customFormat="1" ht="75" hidden="1" x14ac:dyDescent="0.2">
      <c r="A891" s="1169">
        <v>2022994</v>
      </c>
      <c r="B891" s="1169">
        <v>7655</v>
      </c>
      <c r="C891" s="1326" t="s">
        <v>648</v>
      </c>
      <c r="D891" s="1187" t="s">
        <v>690</v>
      </c>
      <c r="E891" s="1171">
        <v>80111600</v>
      </c>
      <c r="F891" s="1171" t="s">
        <v>1516</v>
      </c>
      <c r="G891" s="1343">
        <v>44890</v>
      </c>
      <c r="H891" s="1343">
        <v>44890</v>
      </c>
      <c r="I891" s="1173">
        <v>1</v>
      </c>
      <c r="J891" s="1173" t="s">
        <v>677</v>
      </c>
      <c r="K891" s="1174" t="s">
        <v>678</v>
      </c>
      <c r="L891" s="1175" t="s">
        <v>679</v>
      </c>
      <c r="M891" s="1176">
        <f>2660000+1540000+4200000</f>
        <v>8400000</v>
      </c>
      <c r="N891" s="1344" t="s">
        <v>784</v>
      </c>
      <c r="O891" s="1171" t="s">
        <v>771</v>
      </c>
      <c r="P891" s="1218" t="s">
        <v>759</v>
      </c>
      <c r="R891" s="1327"/>
      <c r="S891" s="1327"/>
      <c r="T891" s="1327">
        <f>+'PAA V30'!$R891-'PAA V30'!$S891</f>
        <v>0</v>
      </c>
      <c r="U891" s="1327"/>
      <c r="V891" s="1327"/>
      <c r="W891" s="1327"/>
    </row>
    <row r="892" spans="1:23" s="1204" customFormat="1" ht="75" hidden="1" x14ac:dyDescent="0.2">
      <c r="A892" s="1169">
        <v>2022995</v>
      </c>
      <c r="B892" s="1169">
        <v>7655</v>
      </c>
      <c r="C892" s="1326" t="s">
        <v>648</v>
      </c>
      <c r="D892" s="1187" t="s">
        <v>690</v>
      </c>
      <c r="E892" s="1171">
        <v>80111600</v>
      </c>
      <c r="F892" s="1171" t="s">
        <v>1517</v>
      </c>
      <c r="G892" s="1343">
        <v>44890</v>
      </c>
      <c r="H892" s="1343">
        <v>44890</v>
      </c>
      <c r="I892" s="1173">
        <v>2</v>
      </c>
      <c r="J892" s="1173" t="s">
        <v>677</v>
      </c>
      <c r="K892" s="1174" t="s">
        <v>678</v>
      </c>
      <c r="L892" s="1175" t="s">
        <v>679</v>
      </c>
      <c r="M892" s="1176">
        <f>4533333+9066667</f>
        <v>13600000</v>
      </c>
      <c r="N892" s="1344" t="s">
        <v>784</v>
      </c>
      <c r="O892" s="1171" t="s">
        <v>771</v>
      </c>
      <c r="P892" s="1218" t="s">
        <v>759</v>
      </c>
      <c r="R892" s="1327"/>
      <c r="S892" s="1327"/>
      <c r="T892" s="1327">
        <f>+'PAA V30'!$R892-'PAA V30'!$S892</f>
        <v>0</v>
      </c>
      <c r="U892" s="1327"/>
      <c r="V892" s="1327"/>
      <c r="W892" s="1327"/>
    </row>
    <row r="893" spans="1:23" s="1204" customFormat="1" ht="75" hidden="1" x14ac:dyDescent="0.2">
      <c r="A893" s="1169">
        <v>2022996</v>
      </c>
      <c r="B893" s="1169">
        <v>7655</v>
      </c>
      <c r="C893" s="1326" t="s">
        <v>648</v>
      </c>
      <c r="D893" s="1187" t="s">
        <v>690</v>
      </c>
      <c r="E893" s="1171">
        <v>80111600</v>
      </c>
      <c r="F893" s="1171" t="s">
        <v>1518</v>
      </c>
      <c r="G893" s="1343">
        <v>44890</v>
      </c>
      <c r="H893" s="1343">
        <v>44890</v>
      </c>
      <c r="I893" s="1173">
        <v>2</v>
      </c>
      <c r="J893" s="1173" t="s">
        <v>677</v>
      </c>
      <c r="K893" s="1174" t="s">
        <v>678</v>
      </c>
      <c r="L893" s="1175" t="s">
        <v>679</v>
      </c>
      <c r="M893" s="1176">
        <f>4623333+9976667</f>
        <v>14600000</v>
      </c>
      <c r="N893" s="1344" t="s">
        <v>784</v>
      </c>
      <c r="O893" s="1171" t="s">
        <v>771</v>
      </c>
      <c r="P893" s="1218" t="s">
        <v>759</v>
      </c>
      <c r="R893" s="1327"/>
      <c r="S893" s="1327"/>
      <c r="T893" s="1327">
        <f>+'PAA V30'!$R893-'PAA V30'!$S893</f>
        <v>0</v>
      </c>
      <c r="U893" s="1327"/>
      <c r="V893" s="1327"/>
      <c r="W893" s="1327"/>
    </row>
    <row r="894" spans="1:23" s="1204" customFormat="1" ht="75" hidden="1" x14ac:dyDescent="0.2">
      <c r="A894" s="1169">
        <v>2022997</v>
      </c>
      <c r="B894" s="1169">
        <v>7655</v>
      </c>
      <c r="C894" s="1326" t="s">
        <v>648</v>
      </c>
      <c r="D894" s="1187" t="s">
        <v>690</v>
      </c>
      <c r="E894" s="1171">
        <v>80111600</v>
      </c>
      <c r="F894" s="1171" t="s">
        <v>1519</v>
      </c>
      <c r="G894" s="1343">
        <v>44890</v>
      </c>
      <c r="H894" s="1343">
        <v>44890</v>
      </c>
      <c r="I894" s="1173">
        <v>2</v>
      </c>
      <c r="J894" s="1173" t="s">
        <v>677</v>
      </c>
      <c r="K894" s="1174" t="s">
        <v>678</v>
      </c>
      <c r="L894" s="1175" t="s">
        <v>679</v>
      </c>
      <c r="M894" s="1176">
        <f>3800000+8200000</f>
        <v>12000000</v>
      </c>
      <c r="N894" s="1344" t="s">
        <v>784</v>
      </c>
      <c r="O894" s="1171" t="s">
        <v>771</v>
      </c>
      <c r="P894" s="1218" t="s">
        <v>759</v>
      </c>
      <c r="R894" s="1327"/>
      <c r="S894" s="1327"/>
      <c r="T894" s="1327">
        <f>+'PAA V30'!$R894-'PAA V30'!$S894</f>
        <v>0</v>
      </c>
      <c r="U894" s="1327"/>
      <c r="V894" s="1327"/>
      <c r="W894" s="1327"/>
    </row>
    <row r="895" spans="1:23" s="1204" customFormat="1" ht="90" hidden="1" x14ac:dyDescent="0.2">
      <c r="A895" s="1169">
        <v>2022998</v>
      </c>
      <c r="B895" s="1169">
        <v>7655</v>
      </c>
      <c r="C895" s="1326" t="s">
        <v>648</v>
      </c>
      <c r="D895" s="1187" t="s">
        <v>690</v>
      </c>
      <c r="E895" s="1171">
        <v>80111600</v>
      </c>
      <c r="F895" s="1171" t="s">
        <v>1520</v>
      </c>
      <c r="G895" s="1343">
        <v>44890</v>
      </c>
      <c r="H895" s="1343">
        <v>44890</v>
      </c>
      <c r="I895" s="1173">
        <v>0.4</v>
      </c>
      <c r="J895" s="1173" t="s">
        <v>677</v>
      </c>
      <c r="K895" s="1174" t="s">
        <v>678</v>
      </c>
      <c r="L895" s="1175" t="s">
        <v>679</v>
      </c>
      <c r="M895" s="1176">
        <f>1540000-1540000</f>
        <v>0</v>
      </c>
      <c r="N895" s="1344" t="s">
        <v>784</v>
      </c>
      <c r="O895" s="1171" t="s">
        <v>771</v>
      </c>
      <c r="P895" s="1218" t="s">
        <v>759</v>
      </c>
      <c r="R895" s="1327"/>
      <c r="S895" s="1327"/>
      <c r="T895" s="1327">
        <f>+'PAA V30'!$R895-'PAA V30'!$S895</f>
        <v>0</v>
      </c>
      <c r="U895" s="1327"/>
      <c r="V895" s="1327"/>
      <c r="W895" s="1327"/>
    </row>
    <row r="896" spans="1:23" s="1204" customFormat="1" ht="75" hidden="1" x14ac:dyDescent="0.2">
      <c r="A896" s="1169">
        <v>2022999</v>
      </c>
      <c r="B896" s="1169">
        <v>7655</v>
      </c>
      <c r="C896" s="1326" t="s">
        <v>648</v>
      </c>
      <c r="D896" s="1187" t="s">
        <v>690</v>
      </c>
      <c r="E896" s="1171">
        <v>80111600</v>
      </c>
      <c r="F896" s="1171" t="s">
        <v>1521</v>
      </c>
      <c r="G896" s="1343">
        <v>44890</v>
      </c>
      <c r="H896" s="1343">
        <v>44890</v>
      </c>
      <c r="I896" s="1173">
        <v>1</v>
      </c>
      <c r="J896" s="1173" t="s">
        <v>677</v>
      </c>
      <c r="K896" s="1174" t="s">
        <v>678</v>
      </c>
      <c r="L896" s="1175" t="s">
        <v>679</v>
      </c>
      <c r="M896" s="1176">
        <f>2010000+1340000</f>
        <v>3350000</v>
      </c>
      <c r="N896" s="1344" t="s">
        <v>784</v>
      </c>
      <c r="O896" s="1171" t="s">
        <v>771</v>
      </c>
      <c r="P896" s="1218" t="s">
        <v>759</v>
      </c>
      <c r="R896" s="1327"/>
      <c r="S896" s="1327"/>
      <c r="T896" s="1327">
        <f>+'PAA V30'!$R896-'PAA V30'!$S896</f>
        <v>0</v>
      </c>
      <c r="U896" s="1327"/>
      <c r="V896" s="1327"/>
      <c r="W896" s="1327"/>
    </row>
    <row r="897" spans="1:23" s="1204" customFormat="1" ht="75" hidden="1" x14ac:dyDescent="0.2">
      <c r="A897" s="1169">
        <v>20221000</v>
      </c>
      <c r="B897" s="1169">
        <v>7655</v>
      </c>
      <c r="C897" s="1326" t="s">
        <v>648</v>
      </c>
      <c r="D897" s="1187" t="s">
        <v>690</v>
      </c>
      <c r="E897" s="1171">
        <v>80111600</v>
      </c>
      <c r="F897" s="1171" t="s">
        <v>1522</v>
      </c>
      <c r="G897" s="1343">
        <v>44890</v>
      </c>
      <c r="H897" s="1343">
        <v>44890</v>
      </c>
      <c r="I897" s="1173">
        <v>2</v>
      </c>
      <c r="J897" s="1173" t="s">
        <v>677</v>
      </c>
      <c r="K897" s="1174" t="s">
        <v>678</v>
      </c>
      <c r="L897" s="1175" t="s">
        <v>679</v>
      </c>
      <c r="M897" s="1176">
        <f>2680000+4020000</f>
        <v>6700000</v>
      </c>
      <c r="N897" s="1344" t="s">
        <v>784</v>
      </c>
      <c r="O897" s="1171" t="s">
        <v>771</v>
      </c>
      <c r="P897" s="1218" t="s">
        <v>759</v>
      </c>
      <c r="R897" s="1327"/>
      <c r="S897" s="1327"/>
      <c r="T897" s="1327">
        <f>+'PAA V30'!$R897-'PAA V30'!$S897</f>
        <v>0</v>
      </c>
      <c r="U897" s="1327"/>
      <c r="V897" s="1327"/>
      <c r="W897" s="1327"/>
    </row>
    <row r="898" spans="1:23" s="1204" customFormat="1" ht="75" hidden="1" x14ac:dyDescent="0.2">
      <c r="A898" s="1169">
        <v>20221001</v>
      </c>
      <c r="B898" s="1169">
        <v>7655</v>
      </c>
      <c r="C898" s="1326" t="s">
        <v>648</v>
      </c>
      <c r="D898" s="1187" t="s">
        <v>690</v>
      </c>
      <c r="E898" s="1171">
        <v>80111600</v>
      </c>
      <c r="F898" s="1171" t="s">
        <v>1523</v>
      </c>
      <c r="G898" s="1343">
        <v>44890</v>
      </c>
      <c r="H898" s="1343">
        <v>44890</v>
      </c>
      <c r="I898" s="1173">
        <v>1</v>
      </c>
      <c r="J898" s="1173" t="s">
        <v>677</v>
      </c>
      <c r="K898" s="1174" t="s">
        <v>678</v>
      </c>
      <c r="L898" s="1175" t="s">
        <v>679</v>
      </c>
      <c r="M898" s="1176">
        <f>898333+1551667</f>
        <v>2450000</v>
      </c>
      <c r="N898" s="1344" t="s">
        <v>784</v>
      </c>
      <c r="O898" s="1171" t="s">
        <v>771</v>
      </c>
      <c r="P898" s="1218" t="s">
        <v>759</v>
      </c>
      <c r="R898" s="1327"/>
      <c r="S898" s="1327"/>
      <c r="T898" s="1327">
        <f>+'PAA V30'!$R898-'PAA V30'!$S898</f>
        <v>0</v>
      </c>
      <c r="U898" s="1327"/>
      <c r="V898" s="1327"/>
      <c r="W898" s="1327"/>
    </row>
    <row r="899" spans="1:23" s="1204" customFormat="1" ht="75" hidden="1" x14ac:dyDescent="0.2">
      <c r="A899" s="1169">
        <v>20221002</v>
      </c>
      <c r="B899" s="1169">
        <v>7655</v>
      </c>
      <c r="C899" s="1326" t="s">
        <v>648</v>
      </c>
      <c r="D899" s="1187" t="s">
        <v>690</v>
      </c>
      <c r="E899" s="1171">
        <v>80111600</v>
      </c>
      <c r="F899" s="1171" t="s">
        <v>1524</v>
      </c>
      <c r="G899" s="1343">
        <v>44890</v>
      </c>
      <c r="H899" s="1343">
        <v>44890</v>
      </c>
      <c r="I899" s="1173">
        <v>1</v>
      </c>
      <c r="J899" s="1173" t="s">
        <v>677</v>
      </c>
      <c r="K899" s="1174" t="s">
        <v>678</v>
      </c>
      <c r="L899" s="1175" t="s">
        <v>679</v>
      </c>
      <c r="M899" s="1176">
        <f>1225000+1225000+2450000</f>
        <v>4900000</v>
      </c>
      <c r="N899" s="1344" t="s">
        <v>784</v>
      </c>
      <c r="O899" s="1171" t="s">
        <v>771</v>
      </c>
      <c r="P899" s="1218" t="s">
        <v>759</v>
      </c>
      <c r="R899" s="1327"/>
      <c r="S899" s="1327"/>
      <c r="T899" s="1327">
        <f>+'PAA V30'!$R899-'PAA V30'!$S899</f>
        <v>0</v>
      </c>
      <c r="U899" s="1327"/>
      <c r="V899" s="1327"/>
      <c r="W899" s="1327"/>
    </row>
    <row r="900" spans="1:23" s="1204" customFormat="1" ht="105" hidden="1" x14ac:dyDescent="0.2">
      <c r="A900" s="1169">
        <v>20221003</v>
      </c>
      <c r="B900" s="1169">
        <v>7655</v>
      </c>
      <c r="C900" s="1326" t="s">
        <v>648</v>
      </c>
      <c r="D900" s="1187" t="s">
        <v>690</v>
      </c>
      <c r="E900" s="1171">
        <v>80111600</v>
      </c>
      <c r="F900" s="1171" t="s">
        <v>1525</v>
      </c>
      <c r="G900" s="1343">
        <v>44890</v>
      </c>
      <c r="H900" s="1343">
        <v>44890</v>
      </c>
      <c r="I900" s="1173">
        <v>1</v>
      </c>
      <c r="J900" s="1173" t="s">
        <v>677</v>
      </c>
      <c r="K900" s="1174" t="s">
        <v>678</v>
      </c>
      <c r="L900" s="1175" t="s">
        <v>783</v>
      </c>
      <c r="M900" s="1176">
        <f>2933333+2566667</f>
        <v>5500000</v>
      </c>
      <c r="N900" s="1344" t="s">
        <v>784</v>
      </c>
      <c r="O900" s="1171" t="s">
        <v>771</v>
      </c>
      <c r="P900" s="1218" t="s">
        <v>759</v>
      </c>
      <c r="R900" s="1327"/>
      <c r="S900" s="1327"/>
      <c r="T900" s="1327">
        <f>+'PAA V30'!$R900-'PAA V30'!$S900</f>
        <v>0</v>
      </c>
      <c r="U900" s="1327"/>
      <c r="V900" s="1327"/>
      <c r="W900" s="1327"/>
    </row>
    <row r="901" spans="1:23" s="1204" customFormat="1" ht="90" hidden="1" x14ac:dyDescent="0.2">
      <c r="A901" s="1169">
        <v>20221004</v>
      </c>
      <c r="B901" s="1169">
        <v>7655</v>
      </c>
      <c r="C901" s="1326" t="s">
        <v>648</v>
      </c>
      <c r="D901" s="1187" t="s">
        <v>690</v>
      </c>
      <c r="E901" s="1171">
        <v>80111600</v>
      </c>
      <c r="F901" s="1171" t="s">
        <v>1526</v>
      </c>
      <c r="G901" s="1343">
        <v>44890</v>
      </c>
      <c r="H901" s="1343">
        <v>44890</v>
      </c>
      <c r="I901" s="1173">
        <v>2</v>
      </c>
      <c r="J901" s="1173" t="s">
        <v>677</v>
      </c>
      <c r="K901" s="1174" t="s">
        <v>678</v>
      </c>
      <c r="L901" s="1175" t="s">
        <v>679</v>
      </c>
      <c r="M901" s="1176">
        <f>5416667+7583333</f>
        <v>13000000</v>
      </c>
      <c r="N901" s="1344" t="s">
        <v>784</v>
      </c>
      <c r="O901" s="1171" t="s">
        <v>771</v>
      </c>
      <c r="P901" s="1218" t="s">
        <v>759</v>
      </c>
      <c r="R901" s="1327"/>
      <c r="S901" s="1327"/>
      <c r="T901" s="1327">
        <f>+'PAA V30'!$R901-'PAA V30'!$S901</f>
        <v>0</v>
      </c>
      <c r="U901" s="1327"/>
      <c r="V901" s="1327"/>
      <c r="W901" s="1327"/>
    </row>
    <row r="902" spans="1:23" s="1204" customFormat="1" ht="75" hidden="1" x14ac:dyDescent="0.2">
      <c r="A902" s="1169">
        <v>20221005</v>
      </c>
      <c r="B902" s="1169">
        <v>7655</v>
      </c>
      <c r="C902" s="1326" t="s">
        <v>648</v>
      </c>
      <c r="D902" s="1187" t="s">
        <v>690</v>
      </c>
      <c r="E902" s="1171">
        <v>80111600</v>
      </c>
      <c r="F902" s="1171" t="s">
        <v>1527</v>
      </c>
      <c r="G902" s="1343">
        <v>44890</v>
      </c>
      <c r="H902" s="1343">
        <v>44890</v>
      </c>
      <c r="I902" s="1173">
        <v>2</v>
      </c>
      <c r="J902" s="1173" t="s">
        <v>677</v>
      </c>
      <c r="K902" s="1174" t="s">
        <v>678</v>
      </c>
      <c r="L902" s="1175" t="s">
        <v>679</v>
      </c>
      <c r="M902" s="1176">
        <f>1668334+6031666</f>
        <v>7700000</v>
      </c>
      <c r="N902" s="1344" t="s">
        <v>784</v>
      </c>
      <c r="O902" s="1171" t="s">
        <v>771</v>
      </c>
      <c r="P902" s="1218" t="s">
        <v>759</v>
      </c>
      <c r="R902" s="1327"/>
      <c r="S902" s="1327"/>
      <c r="T902" s="1327">
        <f>+'PAA V30'!$R902-'PAA V30'!$S902</f>
        <v>0</v>
      </c>
      <c r="U902" s="1327"/>
      <c r="V902" s="1327"/>
      <c r="W902" s="1327"/>
    </row>
    <row r="903" spans="1:23" s="1204" customFormat="1" ht="60" hidden="1" x14ac:dyDescent="0.2">
      <c r="A903" s="1169">
        <v>20221006</v>
      </c>
      <c r="B903" s="1169" t="s">
        <v>459</v>
      </c>
      <c r="C903" s="1326"/>
      <c r="D903" s="1187" t="s">
        <v>674</v>
      </c>
      <c r="E903" s="1171" t="s">
        <v>1196</v>
      </c>
      <c r="F903" s="1171" t="s">
        <v>1528</v>
      </c>
      <c r="G903" s="1343">
        <v>44880</v>
      </c>
      <c r="H903" s="1343">
        <v>44895</v>
      </c>
      <c r="I903" s="1173">
        <v>1</v>
      </c>
      <c r="J903" s="1173" t="s">
        <v>677</v>
      </c>
      <c r="K903" s="1174" t="s">
        <v>678</v>
      </c>
      <c r="L903" s="1175" t="s">
        <v>1529</v>
      </c>
      <c r="M903" s="1176">
        <v>34373653</v>
      </c>
      <c r="N903" s="1344"/>
      <c r="O903" s="1171"/>
      <c r="P903" s="1218" t="s">
        <v>759</v>
      </c>
      <c r="R903" s="1327"/>
      <c r="S903" s="1327"/>
      <c r="T903" s="1327">
        <f>+'PAA V30'!$R903-'PAA V30'!$S903</f>
        <v>0</v>
      </c>
      <c r="U903" s="1327"/>
      <c r="V903" s="1327"/>
      <c r="W903" s="1327"/>
    </row>
    <row r="904" spans="1:23" s="1204" customFormat="1" ht="120" hidden="1" x14ac:dyDescent="0.2">
      <c r="A904" s="1169">
        <v>20221007</v>
      </c>
      <c r="B904" s="1169">
        <v>7658</v>
      </c>
      <c r="C904" s="1326" t="s">
        <v>673</v>
      </c>
      <c r="D904" s="1187" t="s">
        <v>690</v>
      </c>
      <c r="E904" s="1171" t="s">
        <v>97</v>
      </c>
      <c r="F904" s="1171" t="s">
        <v>1530</v>
      </c>
      <c r="G904" s="1343" t="s">
        <v>97</v>
      </c>
      <c r="H904" s="1343" t="s">
        <v>97</v>
      </c>
      <c r="I904" s="1173" t="s">
        <v>97</v>
      </c>
      <c r="J904" s="1173" t="s">
        <v>97</v>
      </c>
      <c r="K904" s="1174" t="s">
        <v>516</v>
      </c>
      <c r="L904" s="1175" t="s">
        <v>962</v>
      </c>
      <c r="M904" s="1176">
        <v>33316750</v>
      </c>
      <c r="N904" s="1344" t="s">
        <v>931</v>
      </c>
      <c r="O904" s="1171" t="s">
        <v>915</v>
      </c>
      <c r="P904" s="1218" t="s">
        <v>759</v>
      </c>
      <c r="R904" s="1327"/>
      <c r="S904" s="1327"/>
      <c r="T904" s="1327">
        <f>+'PAA V30'!$R904-'PAA V30'!$S904</f>
        <v>0</v>
      </c>
      <c r="U904" s="1327"/>
      <c r="V904" s="1327"/>
      <c r="W904" s="1327"/>
    </row>
    <row r="905" spans="1:23" s="1204" customFormat="1" ht="120" hidden="1" x14ac:dyDescent="0.2">
      <c r="A905" s="1169">
        <v>20221008</v>
      </c>
      <c r="B905" s="1169">
        <v>7658</v>
      </c>
      <c r="C905" s="1326" t="s">
        <v>673</v>
      </c>
      <c r="D905" s="1187" t="s">
        <v>702</v>
      </c>
      <c r="E905" s="1171">
        <v>80111600</v>
      </c>
      <c r="F905" s="1171" t="s">
        <v>1531</v>
      </c>
      <c r="G905" s="1343">
        <v>44890</v>
      </c>
      <c r="H905" s="1343">
        <v>44893</v>
      </c>
      <c r="I905" s="1173">
        <v>0.77</v>
      </c>
      <c r="J905" s="1173" t="s">
        <v>677</v>
      </c>
      <c r="K905" s="1174" t="s">
        <v>678</v>
      </c>
      <c r="L905" s="1175" t="s">
        <v>679</v>
      </c>
      <c r="M905" s="1176">
        <v>2951667</v>
      </c>
      <c r="N905" s="1344" t="s">
        <v>1002</v>
      </c>
      <c r="O905" s="1171" t="s">
        <v>915</v>
      </c>
      <c r="P905" s="1218" t="s">
        <v>759</v>
      </c>
      <c r="R905" s="1327"/>
      <c r="S905" s="1327"/>
      <c r="T905" s="1327">
        <f>+'PAA V30'!$R905-'PAA V30'!$S905</f>
        <v>0</v>
      </c>
      <c r="U905" s="1327"/>
      <c r="V905" s="1327"/>
      <c r="W905" s="1327"/>
    </row>
    <row r="906" spans="1:23" s="1204" customFormat="1" ht="105" hidden="1" x14ac:dyDescent="0.2">
      <c r="A906" s="1169">
        <v>20221009</v>
      </c>
      <c r="B906" s="1169">
        <v>7637</v>
      </c>
      <c r="C906" s="1326" t="s">
        <v>645</v>
      </c>
      <c r="D906" s="1187" t="s">
        <v>674</v>
      </c>
      <c r="E906" s="1171">
        <v>80111600</v>
      </c>
      <c r="F906" s="1171" t="s">
        <v>1532</v>
      </c>
      <c r="G906" s="1343">
        <v>44562</v>
      </c>
      <c r="H906" s="1343">
        <v>44819</v>
      </c>
      <c r="I906" s="1173">
        <v>0.37</v>
      </c>
      <c r="J906" s="1173" t="s">
        <v>677</v>
      </c>
      <c r="K906" s="1174" t="s">
        <v>678</v>
      </c>
      <c r="L906" s="1175" t="s">
        <v>679</v>
      </c>
      <c r="M906" s="1176">
        <v>1833333</v>
      </c>
      <c r="N906" s="1344" t="s">
        <v>680</v>
      </c>
      <c r="O906" s="1171" t="s">
        <v>681</v>
      </c>
      <c r="P906" s="1218" t="s">
        <v>759</v>
      </c>
      <c r="R906" s="1327"/>
      <c r="S906" s="1327"/>
      <c r="T906" s="1327">
        <f>+'PAA V30'!$R906-'PAA V30'!$S906</f>
        <v>0</v>
      </c>
      <c r="U906" s="1327"/>
      <c r="V906" s="1327"/>
      <c r="W906" s="1327"/>
    </row>
    <row r="907" spans="1:23" s="1204" customFormat="1" ht="90" hidden="1" x14ac:dyDescent="0.2">
      <c r="A907" s="1169">
        <v>20221011</v>
      </c>
      <c r="B907" s="1169">
        <v>7658</v>
      </c>
      <c r="C907" s="1326" t="s">
        <v>673</v>
      </c>
      <c r="D907" s="1187" t="s">
        <v>693</v>
      </c>
      <c r="E907" s="1171" t="s">
        <v>1030</v>
      </c>
      <c r="F907" s="1171" t="s">
        <v>1533</v>
      </c>
      <c r="G907" s="1343">
        <v>44896</v>
      </c>
      <c r="H907" s="1343">
        <v>44915</v>
      </c>
      <c r="I907" s="1173">
        <v>3</v>
      </c>
      <c r="J907" s="1173" t="s">
        <v>647</v>
      </c>
      <c r="K907" s="1174" t="s">
        <v>678</v>
      </c>
      <c r="L907" s="1175" t="s">
        <v>679</v>
      </c>
      <c r="M907" s="1176">
        <f>32732734+19400000+16500000+16500000+16500000+9000000+5000000+3300000+2800000+3200000+2450000+2450000+850000+166667-4850000-5250000+18000000+3479331</f>
        <v>142228732</v>
      </c>
      <c r="N907" s="1344" t="s">
        <v>1032</v>
      </c>
      <c r="O907" s="1171" t="s">
        <v>1033</v>
      </c>
      <c r="P907" s="1218" t="s">
        <v>759</v>
      </c>
      <c r="R907" s="1327"/>
      <c r="S907" s="1327"/>
      <c r="T907" s="1327">
        <f>+'PAA V30'!$R907-'PAA V30'!$S907</f>
        <v>0</v>
      </c>
      <c r="U907" s="1327"/>
      <c r="V907" s="1327"/>
      <c r="W907" s="1327"/>
    </row>
    <row r="908" spans="1:23" s="1204" customFormat="1" ht="90" hidden="1" x14ac:dyDescent="0.2">
      <c r="A908" s="1169">
        <v>20221012</v>
      </c>
      <c r="B908" s="1169">
        <v>7658</v>
      </c>
      <c r="C908" s="1326" t="s">
        <v>673</v>
      </c>
      <c r="D908" s="1187" t="s">
        <v>693</v>
      </c>
      <c r="E908" s="1171" t="s">
        <v>1534</v>
      </c>
      <c r="F908" s="1171" t="s">
        <v>1535</v>
      </c>
      <c r="G908" s="1343">
        <v>44896</v>
      </c>
      <c r="H908" s="1343">
        <v>44915</v>
      </c>
      <c r="I908" s="1173">
        <v>1</v>
      </c>
      <c r="J908" s="1173" t="s">
        <v>677</v>
      </c>
      <c r="K908" s="1174" t="s">
        <v>774</v>
      </c>
      <c r="L908" s="1175" t="s">
        <v>962</v>
      </c>
      <c r="M908" s="1176">
        <f>25032147+15501019+1766834+8037000-8037000</f>
        <v>42300000</v>
      </c>
      <c r="N908" s="1344" t="s">
        <v>1032</v>
      </c>
      <c r="O908" s="1171" t="s">
        <v>1033</v>
      </c>
      <c r="P908" s="1218" t="s">
        <v>682</v>
      </c>
      <c r="R908" s="1327"/>
      <c r="S908" s="1327"/>
      <c r="T908" s="1327">
        <f>+'PAA V30'!$R908-'PAA V30'!$S908</f>
        <v>0</v>
      </c>
      <c r="U908" s="1327"/>
      <c r="V908" s="1327"/>
      <c r="W908" s="1327"/>
    </row>
    <row r="909" spans="1:23" s="1204" customFormat="1" ht="75" hidden="1" x14ac:dyDescent="0.2">
      <c r="A909" s="1169">
        <v>20221013</v>
      </c>
      <c r="B909" s="1169">
        <v>7658</v>
      </c>
      <c r="C909" s="1326" t="s">
        <v>673</v>
      </c>
      <c r="D909" s="1187" t="s">
        <v>696</v>
      </c>
      <c r="E909" s="1171">
        <v>80111600</v>
      </c>
      <c r="F909" s="1171" t="s">
        <v>1536</v>
      </c>
      <c r="G909" s="1343">
        <v>44890</v>
      </c>
      <c r="H909" s="1343">
        <v>44893</v>
      </c>
      <c r="I909" s="1173">
        <v>2</v>
      </c>
      <c r="J909" s="1173" t="s">
        <v>677</v>
      </c>
      <c r="K909" s="1174" t="s">
        <v>678</v>
      </c>
      <c r="L909" s="1175" t="s">
        <v>679</v>
      </c>
      <c r="M909" s="1176">
        <v>7100000</v>
      </c>
      <c r="N909" s="1344" t="s">
        <v>765</v>
      </c>
      <c r="O909" s="1171" t="s">
        <v>764</v>
      </c>
      <c r="P909" s="1218" t="s">
        <v>682</v>
      </c>
      <c r="R909" s="1327"/>
      <c r="S909" s="1327"/>
      <c r="T909" s="1327">
        <f>+'PAA V30'!$R909-'PAA V30'!$S909</f>
        <v>0</v>
      </c>
      <c r="U909" s="1327"/>
      <c r="V909" s="1327"/>
      <c r="W909" s="1327"/>
    </row>
    <row r="910" spans="1:23" s="1204" customFormat="1" ht="75" hidden="1" x14ac:dyDescent="0.2">
      <c r="A910" s="1169">
        <v>20221014</v>
      </c>
      <c r="B910" s="1169">
        <v>7658</v>
      </c>
      <c r="C910" s="1326" t="s">
        <v>673</v>
      </c>
      <c r="D910" s="1187" t="s">
        <v>696</v>
      </c>
      <c r="E910" s="1171">
        <v>80111600</v>
      </c>
      <c r="F910" s="1171" t="s">
        <v>1537</v>
      </c>
      <c r="G910" s="1343">
        <v>44890</v>
      </c>
      <c r="H910" s="1343">
        <v>44893</v>
      </c>
      <c r="I910" s="1173">
        <v>2</v>
      </c>
      <c r="J910" s="1173" t="s">
        <v>677</v>
      </c>
      <c r="K910" s="1174" t="s">
        <v>678</v>
      </c>
      <c r="L910" s="1175" t="s">
        <v>679</v>
      </c>
      <c r="M910" s="1176">
        <v>4900000</v>
      </c>
      <c r="N910" s="1344" t="s">
        <v>765</v>
      </c>
      <c r="O910" s="1171" t="s">
        <v>764</v>
      </c>
      <c r="P910" s="1218" t="s">
        <v>682</v>
      </c>
      <c r="R910" s="1327"/>
      <c r="S910" s="1327"/>
      <c r="T910" s="1327">
        <f>+'PAA V30'!$R910-'PAA V30'!$S910</f>
        <v>0</v>
      </c>
      <c r="U910" s="1327"/>
      <c r="V910" s="1327"/>
      <c r="W910" s="1327"/>
    </row>
    <row r="911" spans="1:23" s="1204" customFormat="1" ht="75" hidden="1" x14ac:dyDescent="0.2">
      <c r="A911" s="1169">
        <v>20221015</v>
      </c>
      <c r="B911" s="1169">
        <v>7655</v>
      </c>
      <c r="C911" s="1326" t="s">
        <v>648</v>
      </c>
      <c r="D911" s="1187" t="s">
        <v>683</v>
      </c>
      <c r="E911" s="1171">
        <v>80111600</v>
      </c>
      <c r="F911" s="1349" t="s">
        <v>1538</v>
      </c>
      <c r="G911" s="1343">
        <v>44905</v>
      </c>
      <c r="H911" s="1343">
        <v>44905</v>
      </c>
      <c r="I911" s="1173">
        <v>0.82</v>
      </c>
      <c r="J911" s="1173" t="s">
        <v>677</v>
      </c>
      <c r="K911" s="1174" t="s">
        <v>678</v>
      </c>
      <c r="L911" s="1175" t="s">
        <v>679</v>
      </c>
      <c r="M911" s="1176">
        <f>6375000+17340000</f>
        <v>23715000</v>
      </c>
      <c r="N911" s="1344" t="s">
        <v>784</v>
      </c>
      <c r="O911" s="1171" t="s">
        <v>771</v>
      </c>
      <c r="P911" s="1267" t="s">
        <v>759</v>
      </c>
      <c r="T911" s="1204">
        <f>+'PAA V30'!$R911-'PAA V30'!$S911</f>
        <v>0</v>
      </c>
    </row>
    <row r="912" spans="1:23" s="1204" customFormat="1" ht="75" hidden="1" x14ac:dyDescent="0.2">
      <c r="A912" s="1169">
        <v>20221016</v>
      </c>
      <c r="B912" s="1169">
        <v>7655</v>
      </c>
      <c r="C912" s="1326" t="s">
        <v>648</v>
      </c>
      <c r="D912" s="1187" t="s">
        <v>683</v>
      </c>
      <c r="E912" s="1171">
        <v>80111600</v>
      </c>
      <c r="F912" s="1171" t="s">
        <v>1539</v>
      </c>
      <c r="G912" s="1343">
        <v>44910</v>
      </c>
      <c r="H912" s="1343">
        <v>44910</v>
      </c>
      <c r="I912" s="1173">
        <v>3</v>
      </c>
      <c r="J912" s="1173" t="s">
        <v>677</v>
      </c>
      <c r="K912" s="1174" t="s">
        <v>678</v>
      </c>
      <c r="L912" s="1175" t="s">
        <v>679</v>
      </c>
      <c r="M912" s="1176">
        <f>6375000+16575000</f>
        <v>22950000</v>
      </c>
      <c r="N912" s="1344" t="s">
        <v>784</v>
      </c>
      <c r="O912" s="1171" t="s">
        <v>771</v>
      </c>
      <c r="P912" s="1218" t="s">
        <v>759</v>
      </c>
      <c r="R912" s="1327"/>
      <c r="S912" s="1327"/>
      <c r="T912" s="1327">
        <f>+'PAA V30'!$R912-'PAA V30'!$S912</f>
        <v>0</v>
      </c>
      <c r="U912" s="1327"/>
      <c r="V912" s="1327"/>
      <c r="W912" s="1327"/>
    </row>
    <row r="913" spans="1:23" s="1204" customFormat="1" ht="75" hidden="1" x14ac:dyDescent="0.2">
      <c r="A913" s="1169">
        <v>20221017</v>
      </c>
      <c r="B913" s="1169">
        <v>7655</v>
      </c>
      <c r="C913" s="1326" t="s">
        <v>648</v>
      </c>
      <c r="D913" s="1187" t="s">
        <v>683</v>
      </c>
      <c r="E913" s="1171">
        <v>80111600</v>
      </c>
      <c r="F913" s="1171" t="s">
        <v>1540</v>
      </c>
      <c r="G913" s="1343">
        <v>44910</v>
      </c>
      <c r="H913" s="1343">
        <v>44910</v>
      </c>
      <c r="I913" s="1173">
        <v>1.4</v>
      </c>
      <c r="J913" s="1173" t="s">
        <v>677</v>
      </c>
      <c r="K913" s="1174" t="s">
        <v>678</v>
      </c>
      <c r="L913" s="1175" t="s">
        <v>679</v>
      </c>
      <c r="M913" s="1176">
        <f>2240000+2893333</f>
        <v>5133333</v>
      </c>
      <c r="N913" s="1344" t="s">
        <v>784</v>
      </c>
      <c r="O913" s="1171" t="s">
        <v>771</v>
      </c>
      <c r="P913" s="1218" t="s">
        <v>759</v>
      </c>
      <c r="R913" s="1327"/>
      <c r="S913" s="1327"/>
      <c r="T913" s="1327">
        <f>+'PAA V30'!$R913-'PAA V30'!$S913</f>
        <v>0</v>
      </c>
      <c r="U913" s="1327"/>
      <c r="V913" s="1327"/>
      <c r="W913" s="1327"/>
    </row>
    <row r="914" spans="1:23" s="1204" customFormat="1" ht="75" hidden="1" x14ac:dyDescent="0.2">
      <c r="A914" s="1169">
        <v>20221018</v>
      </c>
      <c r="B914" s="1169">
        <v>7655</v>
      </c>
      <c r="C914" s="1326" t="s">
        <v>648</v>
      </c>
      <c r="D914" s="1187" t="s">
        <v>683</v>
      </c>
      <c r="E914" s="1171">
        <v>80111600</v>
      </c>
      <c r="F914" s="1171" t="s">
        <v>1541</v>
      </c>
      <c r="G914" s="1343">
        <v>44905</v>
      </c>
      <c r="H914" s="1343">
        <v>44905</v>
      </c>
      <c r="I914" s="1173">
        <v>0.82</v>
      </c>
      <c r="J914" s="1173" t="s">
        <v>677</v>
      </c>
      <c r="K914" s="1174" t="s">
        <v>678</v>
      </c>
      <c r="L914" s="1175" t="s">
        <v>679</v>
      </c>
      <c r="M914" s="1176">
        <f>3090000+8528400</f>
        <v>11618400</v>
      </c>
      <c r="N914" s="1344" t="s">
        <v>784</v>
      </c>
      <c r="O914" s="1171" t="s">
        <v>771</v>
      </c>
      <c r="P914" s="1218" t="s">
        <v>759</v>
      </c>
      <c r="R914" s="1327"/>
      <c r="S914" s="1327"/>
      <c r="T914" s="1327">
        <f>+'PAA V30'!$R914-'PAA V30'!$S914</f>
        <v>0</v>
      </c>
      <c r="U914" s="1327"/>
      <c r="V914" s="1327"/>
      <c r="W914" s="1327"/>
    </row>
    <row r="915" spans="1:23" s="1204" customFormat="1" ht="75" hidden="1" x14ac:dyDescent="0.2">
      <c r="A915" s="1169">
        <v>20221019</v>
      </c>
      <c r="B915" s="1169">
        <v>7655</v>
      </c>
      <c r="C915" s="1326" t="s">
        <v>648</v>
      </c>
      <c r="D915" s="1187" t="s">
        <v>683</v>
      </c>
      <c r="E915" s="1171">
        <v>80111600</v>
      </c>
      <c r="F915" s="1171" t="s">
        <v>1542</v>
      </c>
      <c r="G915" s="1343">
        <v>44910</v>
      </c>
      <c r="H915" s="1343">
        <v>44910</v>
      </c>
      <c r="I915" s="1173">
        <v>1.6</v>
      </c>
      <c r="J915" s="1173" t="s">
        <v>677</v>
      </c>
      <c r="K915" s="1174" t="s">
        <v>678</v>
      </c>
      <c r="L915" s="1175" t="s">
        <v>679</v>
      </c>
      <c r="M915" s="1176">
        <f>3600000+2850000</f>
        <v>6450000</v>
      </c>
      <c r="N915" s="1344" t="s">
        <v>784</v>
      </c>
      <c r="O915" s="1171" t="s">
        <v>771</v>
      </c>
      <c r="P915" s="1218" t="s">
        <v>759</v>
      </c>
      <c r="R915" s="1327"/>
      <c r="S915" s="1327"/>
      <c r="T915" s="1327">
        <f>+'PAA V30'!$R915-'PAA V30'!$S915</f>
        <v>0</v>
      </c>
      <c r="U915" s="1327"/>
      <c r="V915" s="1327"/>
      <c r="W915" s="1327"/>
    </row>
    <row r="916" spans="1:23" s="1204" customFormat="1" ht="90" hidden="1" x14ac:dyDescent="0.2">
      <c r="A916" s="1169">
        <v>20221020</v>
      </c>
      <c r="B916" s="1169">
        <v>7655</v>
      </c>
      <c r="C916" s="1326" t="s">
        <v>648</v>
      </c>
      <c r="D916" s="1187" t="s">
        <v>683</v>
      </c>
      <c r="E916" s="1171">
        <v>80111600</v>
      </c>
      <c r="F916" s="1171" t="s">
        <v>1543</v>
      </c>
      <c r="G916" s="1343">
        <v>44905</v>
      </c>
      <c r="H916" s="1343">
        <v>44905</v>
      </c>
      <c r="I916" s="1173">
        <v>3.5</v>
      </c>
      <c r="J916" s="1173" t="s">
        <v>677</v>
      </c>
      <c r="K916" s="1174" t="s">
        <v>678</v>
      </c>
      <c r="L916" s="1175" t="s">
        <v>679</v>
      </c>
      <c r="M916" s="1176">
        <f>5600000+15866667+3500000</f>
        <v>24966667</v>
      </c>
      <c r="N916" s="1344" t="s">
        <v>784</v>
      </c>
      <c r="O916" s="1171" t="s">
        <v>771</v>
      </c>
      <c r="P916" s="1218" t="s">
        <v>759</v>
      </c>
      <c r="R916" s="1327"/>
      <c r="S916" s="1327"/>
      <c r="T916" s="1327">
        <f>+'PAA V30'!$R916-'PAA V30'!$S916</f>
        <v>0</v>
      </c>
      <c r="U916" s="1327"/>
      <c r="V916" s="1327"/>
      <c r="W916" s="1327"/>
    </row>
    <row r="917" spans="1:23" s="1204" customFormat="1" ht="75" hidden="1" x14ac:dyDescent="0.2">
      <c r="A917" s="1169">
        <v>20221021</v>
      </c>
      <c r="B917" s="1169">
        <v>7655</v>
      </c>
      <c r="C917" s="1326" t="s">
        <v>648</v>
      </c>
      <c r="D917" s="1187" t="s">
        <v>683</v>
      </c>
      <c r="E917" s="1171">
        <v>80111600</v>
      </c>
      <c r="F917" s="1171" t="s">
        <v>1544</v>
      </c>
      <c r="G917" s="1343">
        <v>44910</v>
      </c>
      <c r="H917" s="1343">
        <v>44910</v>
      </c>
      <c r="I917" s="1173">
        <v>0.5</v>
      </c>
      <c r="J917" s="1173" t="s">
        <v>677</v>
      </c>
      <c r="K917" s="1174" t="s">
        <v>678</v>
      </c>
      <c r="L917" s="1175" t="s">
        <v>679</v>
      </c>
      <c r="M917" s="1176">
        <f>2800000+2555000</f>
        <v>5355000</v>
      </c>
      <c r="N917" s="1344" t="s">
        <v>784</v>
      </c>
      <c r="O917" s="1171" t="s">
        <v>771</v>
      </c>
      <c r="P917" s="1218" t="s">
        <v>759</v>
      </c>
      <c r="R917" s="1327"/>
      <c r="S917" s="1327"/>
      <c r="T917" s="1327">
        <f>+'PAA V30'!$R917-'PAA V30'!$S917</f>
        <v>0</v>
      </c>
      <c r="U917" s="1327"/>
      <c r="V917" s="1327"/>
      <c r="W917" s="1327"/>
    </row>
    <row r="918" spans="1:23" s="1204" customFormat="1" ht="75" hidden="1" x14ac:dyDescent="0.2">
      <c r="A918" s="1169">
        <v>20221022</v>
      </c>
      <c r="B918" s="1169">
        <v>7655</v>
      </c>
      <c r="C918" s="1326" t="s">
        <v>648</v>
      </c>
      <c r="D918" s="1187" t="s">
        <v>683</v>
      </c>
      <c r="E918" s="1171">
        <v>80111600</v>
      </c>
      <c r="F918" s="1171" t="s">
        <v>1545</v>
      </c>
      <c r="G918" s="1343">
        <v>44905</v>
      </c>
      <c r="H918" s="1343">
        <v>44905</v>
      </c>
      <c r="I918" s="1173">
        <v>5</v>
      </c>
      <c r="J918" s="1173" t="s">
        <v>677</v>
      </c>
      <c r="K918" s="1174" t="s">
        <v>678</v>
      </c>
      <c r="L918" s="1175" t="s">
        <v>679</v>
      </c>
      <c r="M918" s="1176">
        <f>2750000+3570000+5355000+4620000+22440000</f>
        <v>38735000</v>
      </c>
      <c r="N918" s="1344" t="s">
        <v>784</v>
      </c>
      <c r="O918" s="1171" t="s">
        <v>771</v>
      </c>
      <c r="P918" s="1218" t="s">
        <v>759</v>
      </c>
      <c r="R918" s="1327"/>
      <c r="S918" s="1327"/>
      <c r="T918" s="1327">
        <f>+'PAA V30'!$R918-'PAA V30'!$S918</f>
        <v>0</v>
      </c>
      <c r="U918" s="1327"/>
      <c r="V918" s="1327"/>
      <c r="W918" s="1327"/>
    </row>
    <row r="919" spans="1:23" s="1204" customFormat="1" ht="90" hidden="1" x14ac:dyDescent="0.2">
      <c r="A919" s="1169">
        <v>20221023</v>
      </c>
      <c r="B919" s="1169">
        <v>7655</v>
      </c>
      <c r="C919" s="1326" t="s">
        <v>648</v>
      </c>
      <c r="D919" s="1187" t="s">
        <v>683</v>
      </c>
      <c r="E919" s="1171">
        <v>80111600</v>
      </c>
      <c r="F919" s="1171" t="s">
        <v>1546</v>
      </c>
      <c r="G919" s="1343">
        <v>44905</v>
      </c>
      <c r="H919" s="1343">
        <v>44905</v>
      </c>
      <c r="I919" s="1173">
        <v>0.84</v>
      </c>
      <c r="J919" s="1173" t="s">
        <v>677</v>
      </c>
      <c r="K919" s="1174" t="s">
        <v>678</v>
      </c>
      <c r="L919" s="1175" t="s">
        <v>679</v>
      </c>
      <c r="M919" s="1176">
        <f>4441667+12436666</f>
        <v>16878333</v>
      </c>
      <c r="N919" s="1344" t="s">
        <v>784</v>
      </c>
      <c r="O919" s="1171" t="s">
        <v>771</v>
      </c>
      <c r="P919" s="1218" t="s">
        <v>759</v>
      </c>
      <c r="R919" s="1327"/>
      <c r="S919" s="1327"/>
      <c r="T919" s="1327">
        <f>+'PAA V30'!$R919-'PAA V30'!$S919</f>
        <v>0</v>
      </c>
      <c r="U919" s="1327"/>
      <c r="V919" s="1327"/>
      <c r="W919" s="1327"/>
    </row>
    <row r="920" spans="1:23" s="1204" customFormat="1" ht="75" hidden="1" x14ac:dyDescent="0.2">
      <c r="A920" s="1169">
        <v>20221024</v>
      </c>
      <c r="B920" s="1169">
        <v>7655</v>
      </c>
      <c r="C920" s="1326" t="s">
        <v>648</v>
      </c>
      <c r="D920" s="1187" t="s">
        <v>683</v>
      </c>
      <c r="E920" s="1171">
        <v>80111600</v>
      </c>
      <c r="F920" s="1171" t="s">
        <v>1547</v>
      </c>
      <c r="G920" s="1343">
        <v>44905</v>
      </c>
      <c r="H920" s="1343">
        <v>44905</v>
      </c>
      <c r="I920" s="1173">
        <v>1</v>
      </c>
      <c r="J920" s="1173" t="s">
        <v>677</v>
      </c>
      <c r="K920" s="1174" t="s">
        <v>678</v>
      </c>
      <c r="L920" s="1175" t="s">
        <v>679</v>
      </c>
      <c r="M920" s="1176">
        <f>3708000+7910400</f>
        <v>11618400</v>
      </c>
      <c r="N920" s="1344" t="s">
        <v>784</v>
      </c>
      <c r="O920" s="1171" t="s">
        <v>771</v>
      </c>
      <c r="P920" s="1218" t="s">
        <v>759</v>
      </c>
      <c r="R920" s="1327"/>
      <c r="S920" s="1327"/>
      <c r="T920" s="1327">
        <f>+'PAA V30'!$R920-'PAA V30'!$S920</f>
        <v>0</v>
      </c>
      <c r="U920" s="1327"/>
      <c r="V920" s="1327"/>
      <c r="W920" s="1327"/>
    </row>
    <row r="921" spans="1:23" s="1204" customFormat="1" ht="75" hidden="1" x14ac:dyDescent="0.2">
      <c r="A921" s="1169">
        <v>20221025</v>
      </c>
      <c r="B921" s="1169">
        <v>7655</v>
      </c>
      <c r="C921" s="1326" t="s">
        <v>648</v>
      </c>
      <c r="D921" s="1187" t="s">
        <v>683</v>
      </c>
      <c r="E921" s="1171">
        <v>80111600</v>
      </c>
      <c r="F921" s="1171" t="s">
        <v>1548</v>
      </c>
      <c r="G921" s="1343">
        <v>44905</v>
      </c>
      <c r="H921" s="1343">
        <v>44905</v>
      </c>
      <c r="I921" s="1173">
        <v>0.67</v>
      </c>
      <c r="J921" s="1173" t="s">
        <v>677</v>
      </c>
      <c r="K921" s="1174" t="s">
        <v>678</v>
      </c>
      <c r="L921" s="1175" t="s">
        <v>679</v>
      </c>
      <c r="M921" s="1176">
        <f>5100000+18615000</f>
        <v>23715000</v>
      </c>
      <c r="N921" s="1344" t="s">
        <v>784</v>
      </c>
      <c r="O921" s="1171" t="s">
        <v>771</v>
      </c>
      <c r="P921" s="1218" t="s">
        <v>759</v>
      </c>
      <c r="R921" s="1327"/>
      <c r="S921" s="1327"/>
      <c r="T921" s="1327">
        <f>+'PAA V30'!$R921-'PAA V30'!$S921</f>
        <v>0</v>
      </c>
      <c r="U921" s="1327"/>
      <c r="V921" s="1327"/>
      <c r="W921" s="1327"/>
    </row>
    <row r="922" spans="1:23" s="1204" customFormat="1" ht="75" hidden="1" x14ac:dyDescent="0.2">
      <c r="A922" s="1169">
        <v>20221026</v>
      </c>
      <c r="B922" s="1169">
        <v>7655</v>
      </c>
      <c r="C922" s="1326" t="s">
        <v>648</v>
      </c>
      <c r="D922" s="1187" t="s">
        <v>683</v>
      </c>
      <c r="E922" s="1171">
        <v>80111600</v>
      </c>
      <c r="F922" s="1171" t="s">
        <v>1549</v>
      </c>
      <c r="G922" s="1343">
        <v>44905</v>
      </c>
      <c r="H922" s="1343">
        <v>44905</v>
      </c>
      <c r="I922" s="1173">
        <v>1</v>
      </c>
      <c r="J922" s="1173" t="s">
        <v>677</v>
      </c>
      <c r="K922" s="1174" t="s">
        <v>678</v>
      </c>
      <c r="L922" s="1175" t="s">
        <v>679</v>
      </c>
      <c r="M922" s="1176">
        <f>3350000+6700000</f>
        <v>10050000</v>
      </c>
      <c r="N922" s="1344" t="s">
        <v>784</v>
      </c>
      <c r="O922" s="1171" t="s">
        <v>771</v>
      </c>
      <c r="P922" s="1218" t="s">
        <v>759</v>
      </c>
      <c r="R922" s="1327"/>
      <c r="S922" s="1327"/>
      <c r="T922" s="1327">
        <f>+'PAA V30'!$R922-'PAA V30'!$S922</f>
        <v>0</v>
      </c>
      <c r="U922" s="1327"/>
      <c r="V922" s="1327"/>
      <c r="W922" s="1327"/>
    </row>
    <row r="923" spans="1:23" s="1204" customFormat="1" ht="75" hidden="1" x14ac:dyDescent="0.2">
      <c r="A923" s="1169">
        <v>20221027</v>
      </c>
      <c r="B923" s="1169">
        <v>7655</v>
      </c>
      <c r="C923" s="1326" t="s">
        <v>648</v>
      </c>
      <c r="D923" s="1187" t="s">
        <v>683</v>
      </c>
      <c r="E923" s="1171">
        <v>80111600</v>
      </c>
      <c r="F923" s="1171" t="s">
        <v>1550</v>
      </c>
      <c r="G923" s="1343">
        <v>44905</v>
      </c>
      <c r="H923" s="1343">
        <v>44905</v>
      </c>
      <c r="I923" s="1173">
        <v>0.67</v>
      </c>
      <c r="J923" s="1173" t="s">
        <v>677</v>
      </c>
      <c r="K923" s="1174" t="s">
        <v>678</v>
      </c>
      <c r="L923" s="1175" t="s">
        <v>679</v>
      </c>
      <c r="M923" s="1176">
        <f>1960000+5600000</f>
        <v>7560000</v>
      </c>
      <c r="N923" s="1344" t="s">
        <v>784</v>
      </c>
      <c r="O923" s="1171" t="s">
        <v>771</v>
      </c>
      <c r="P923" s="1218" t="s">
        <v>759</v>
      </c>
      <c r="R923" s="1327"/>
      <c r="S923" s="1327"/>
      <c r="T923" s="1327">
        <f>+'PAA V30'!$R923-'PAA V30'!$S923</f>
        <v>0</v>
      </c>
      <c r="U923" s="1327"/>
      <c r="V923" s="1327"/>
      <c r="W923" s="1327"/>
    </row>
    <row r="924" spans="1:23" s="1204" customFormat="1" ht="75" hidden="1" x14ac:dyDescent="0.2">
      <c r="A924" s="1169">
        <v>20221028</v>
      </c>
      <c r="B924" s="1169">
        <v>7655</v>
      </c>
      <c r="C924" s="1326" t="s">
        <v>648</v>
      </c>
      <c r="D924" s="1187" t="s">
        <v>683</v>
      </c>
      <c r="E924" s="1171">
        <v>80111600</v>
      </c>
      <c r="F924" s="1171" t="s">
        <v>1551</v>
      </c>
      <c r="G924" s="1343">
        <v>44905</v>
      </c>
      <c r="H924" s="1343">
        <v>44905</v>
      </c>
      <c r="I924" s="1173">
        <v>0.65</v>
      </c>
      <c r="J924" s="1173" t="s">
        <v>677</v>
      </c>
      <c r="K924" s="1174" t="s">
        <v>678</v>
      </c>
      <c r="L924" s="1175" t="s">
        <v>679</v>
      </c>
      <c r="M924" s="1176">
        <f>1551667+4981666</f>
        <v>6533333</v>
      </c>
      <c r="N924" s="1344" t="s">
        <v>784</v>
      </c>
      <c r="O924" s="1171" t="s">
        <v>771</v>
      </c>
      <c r="P924" s="1218" t="s">
        <v>759</v>
      </c>
      <c r="R924" s="1327"/>
      <c r="S924" s="1327"/>
      <c r="T924" s="1327">
        <f>+'PAA V30'!$R924-'PAA V30'!$S924</f>
        <v>0</v>
      </c>
      <c r="U924" s="1327"/>
      <c r="V924" s="1327"/>
      <c r="W924" s="1327"/>
    </row>
    <row r="925" spans="1:23" s="1204" customFormat="1" ht="90" hidden="1" x14ac:dyDescent="0.2">
      <c r="A925" s="1169">
        <v>20221029</v>
      </c>
      <c r="B925" s="1169">
        <v>7655</v>
      </c>
      <c r="C925" s="1326" t="s">
        <v>648</v>
      </c>
      <c r="D925" s="1187" t="s">
        <v>683</v>
      </c>
      <c r="E925" s="1171">
        <v>80111600</v>
      </c>
      <c r="F925" s="1171" t="s">
        <v>1552</v>
      </c>
      <c r="G925" s="1343">
        <v>44905</v>
      </c>
      <c r="H925" s="1343">
        <v>44905</v>
      </c>
      <c r="I925" s="1173">
        <v>0.5</v>
      </c>
      <c r="J925" s="1173" t="s">
        <v>677</v>
      </c>
      <c r="K925" s="1174" t="s">
        <v>678</v>
      </c>
      <c r="L925" s="1175" t="s">
        <v>679</v>
      </c>
      <c r="M925" s="1176">
        <f>3500000+6563366</f>
        <v>10063366</v>
      </c>
      <c r="N925" s="1344" t="s">
        <v>784</v>
      </c>
      <c r="O925" s="1171" t="s">
        <v>771</v>
      </c>
      <c r="P925" s="1218" t="s">
        <v>759</v>
      </c>
      <c r="R925" s="1327"/>
      <c r="S925" s="1327"/>
      <c r="T925" s="1327">
        <f>+'PAA V30'!$R925-'PAA V30'!$S925</f>
        <v>0</v>
      </c>
      <c r="U925" s="1327"/>
      <c r="V925" s="1327"/>
      <c r="W925" s="1327"/>
    </row>
    <row r="926" spans="1:23" s="1204" customFormat="1" ht="105" hidden="1" x14ac:dyDescent="0.2">
      <c r="A926" s="1169">
        <v>20221030</v>
      </c>
      <c r="B926" s="1169">
        <v>7637</v>
      </c>
      <c r="C926" s="1326" t="s">
        <v>645</v>
      </c>
      <c r="D926" s="1187" t="s">
        <v>674</v>
      </c>
      <c r="E926" s="1171" t="s">
        <v>1553</v>
      </c>
      <c r="F926" s="1171" t="s">
        <v>1554</v>
      </c>
      <c r="G926" s="1343">
        <v>44889</v>
      </c>
      <c r="H926" s="1343">
        <v>44895</v>
      </c>
      <c r="I926" s="1173">
        <v>1</v>
      </c>
      <c r="J926" s="1173" t="s">
        <v>677</v>
      </c>
      <c r="K926" s="1174" t="s">
        <v>774</v>
      </c>
      <c r="L926" s="1175" t="s">
        <v>738</v>
      </c>
      <c r="M926" s="1176">
        <f>12048000+1500000</f>
        <v>13548000</v>
      </c>
      <c r="N926" s="1344" t="s">
        <v>680</v>
      </c>
      <c r="O926" s="1171" t="s">
        <v>681</v>
      </c>
      <c r="P926" s="1218" t="s">
        <v>682</v>
      </c>
      <c r="R926" s="1327"/>
      <c r="S926" s="1327"/>
      <c r="T926" s="1327">
        <f>+'PAA V30'!$R926-'PAA V30'!$S926</f>
        <v>0</v>
      </c>
      <c r="U926" s="1327"/>
      <c r="V926" s="1327"/>
      <c r="W926" s="1327"/>
    </row>
    <row r="927" spans="1:23" s="1204" customFormat="1" ht="90" hidden="1" x14ac:dyDescent="0.2">
      <c r="A927" s="1169">
        <v>20221031</v>
      </c>
      <c r="B927" s="1169">
        <v>7658</v>
      </c>
      <c r="C927" s="1326" t="s">
        <v>673</v>
      </c>
      <c r="D927" s="1187" t="s">
        <v>693</v>
      </c>
      <c r="E927" s="1171">
        <v>80111600</v>
      </c>
      <c r="F927" s="1171" t="s">
        <v>1555</v>
      </c>
      <c r="G927" s="1343">
        <v>44895</v>
      </c>
      <c r="H927" s="1343">
        <v>44896</v>
      </c>
      <c r="I927" s="1173">
        <v>3</v>
      </c>
      <c r="J927" s="1173" t="s">
        <v>677</v>
      </c>
      <c r="K927" s="1174" t="s">
        <v>678</v>
      </c>
      <c r="L927" s="1175" t="s">
        <v>679</v>
      </c>
      <c r="M927" s="1176">
        <f>8250000-2750000</f>
        <v>5500000</v>
      </c>
      <c r="N927" s="1344" t="s">
        <v>1032</v>
      </c>
      <c r="O927" s="1171" t="s">
        <v>1033</v>
      </c>
      <c r="P927" s="1218" t="s">
        <v>682</v>
      </c>
      <c r="R927" s="1327"/>
      <c r="S927" s="1327"/>
      <c r="T927" s="1327">
        <f>+'PAA V30'!$R927-'PAA V30'!$S927</f>
        <v>0</v>
      </c>
      <c r="U927" s="1327"/>
      <c r="V927" s="1327"/>
      <c r="W927" s="1327"/>
    </row>
    <row r="928" spans="1:23" s="1204" customFormat="1" ht="75" hidden="1" x14ac:dyDescent="0.2">
      <c r="A928" s="1169">
        <v>20221032</v>
      </c>
      <c r="B928" s="1169">
        <v>7655</v>
      </c>
      <c r="C928" s="1326" t="s">
        <v>648</v>
      </c>
      <c r="D928" s="1187" t="s">
        <v>699</v>
      </c>
      <c r="E928" s="1171">
        <v>80111600</v>
      </c>
      <c r="F928" s="1171" t="s">
        <v>1556</v>
      </c>
      <c r="G928" s="1343">
        <v>44910</v>
      </c>
      <c r="H928" s="1343">
        <v>44911</v>
      </c>
      <c r="I928" s="1173">
        <v>1</v>
      </c>
      <c r="J928" s="1173" t="s">
        <v>677</v>
      </c>
      <c r="K928" s="1174" t="s">
        <v>678</v>
      </c>
      <c r="L928" s="1175" t="s">
        <v>679</v>
      </c>
      <c r="M928" s="1176">
        <v>2850000</v>
      </c>
      <c r="N928" s="1344" t="s">
        <v>784</v>
      </c>
      <c r="O928" s="1171" t="s">
        <v>771</v>
      </c>
      <c r="P928" s="1218" t="s">
        <v>759</v>
      </c>
      <c r="R928" s="1327"/>
      <c r="S928" s="1327"/>
      <c r="T928" s="1327">
        <f>+'PAA V30'!$R928-'PAA V30'!$S928</f>
        <v>0</v>
      </c>
      <c r="U928" s="1327"/>
      <c r="V928" s="1327"/>
      <c r="W928" s="1327"/>
    </row>
    <row r="929" spans="1:23" s="1204" customFormat="1" ht="120" hidden="1" x14ac:dyDescent="0.2">
      <c r="A929" s="1169">
        <v>20221033</v>
      </c>
      <c r="B929" s="1169">
        <v>7658</v>
      </c>
      <c r="C929" s="1326" t="s">
        <v>673</v>
      </c>
      <c r="D929" s="1187" t="s">
        <v>699</v>
      </c>
      <c r="E929" s="1171">
        <v>80111600</v>
      </c>
      <c r="F929" s="1171" t="s">
        <v>1557</v>
      </c>
      <c r="G929" s="1343">
        <v>44910</v>
      </c>
      <c r="H929" s="1343">
        <v>44911</v>
      </c>
      <c r="I929" s="1173">
        <v>1</v>
      </c>
      <c r="J929" s="1173" t="s">
        <v>677</v>
      </c>
      <c r="K929" s="1174" t="s">
        <v>678</v>
      </c>
      <c r="L929" s="1175" t="s">
        <v>679</v>
      </c>
      <c r="M929" s="1176">
        <v>12393333.3333333</v>
      </c>
      <c r="N929" s="1344" t="s">
        <v>775</v>
      </c>
      <c r="O929" s="1171" t="s">
        <v>915</v>
      </c>
      <c r="P929" s="1218" t="s">
        <v>759</v>
      </c>
      <c r="R929" s="1327"/>
      <c r="S929" s="1327"/>
      <c r="T929" s="1327">
        <f>+'PAA V30'!$R929-'PAA V30'!$S929</f>
        <v>0</v>
      </c>
      <c r="U929" s="1327"/>
      <c r="V929" s="1327"/>
      <c r="W929" s="1327"/>
    </row>
    <row r="930" spans="1:23" s="1204" customFormat="1" ht="120" hidden="1" x14ac:dyDescent="0.2">
      <c r="A930" s="1169">
        <v>20221034</v>
      </c>
      <c r="B930" s="1169">
        <v>7658</v>
      </c>
      <c r="C930" s="1326" t="s">
        <v>673</v>
      </c>
      <c r="D930" s="1187" t="s">
        <v>699</v>
      </c>
      <c r="E930" s="1171">
        <v>80111600</v>
      </c>
      <c r="F930" s="1171" t="s">
        <v>1558</v>
      </c>
      <c r="G930" s="1343">
        <v>44910</v>
      </c>
      <c r="H930" s="1343">
        <v>44911</v>
      </c>
      <c r="I930" s="1173">
        <v>1</v>
      </c>
      <c r="J930" s="1173" t="s">
        <v>677</v>
      </c>
      <c r="K930" s="1174" t="s">
        <v>678</v>
      </c>
      <c r="L930" s="1175" t="s">
        <v>679</v>
      </c>
      <c r="M930" s="1176">
        <v>12393333.3333333</v>
      </c>
      <c r="N930" s="1344" t="s">
        <v>772</v>
      </c>
      <c r="O930" s="1171" t="s">
        <v>915</v>
      </c>
      <c r="P930" s="1218" t="s">
        <v>759</v>
      </c>
      <c r="R930" s="1327"/>
      <c r="S930" s="1327"/>
      <c r="T930" s="1327">
        <f>+'PAA V30'!$R930-'PAA V30'!$S930</f>
        <v>0</v>
      </c>
      <c r="U930" s="1327"/>
      <c r="V930" s="1327"/>
      <c r="W930" s="1327"/>
    </row>
    <row r="931" spans="1:23" s="1204" customFormat="1" ht="120" hidden="1" x14ac:dyDescent="0.2">
      <c r="A931" s="1169">
        <v>20221035</v>
      </c>
      <c r="B931" s="1169">
        <v>7658</v>
      </c>
      <c r="C931" s="1326" t="s">
        <v>673</v>
      </c>
      <c r="D931" s="1187" t="s">
        <v>699</v>
      </c>
      <c r="E931" s="1171">
        <v>80111600</v>
      </c>
      <c r="F931" s="1171" t="s">
        <v>1559</v>
      </c>
      <c r="G931" s="1343">
        <v>44910</v>
      </c>
      <c r="H931" s="1343">
        <v>44911</v>
      </c>
      <c r="I931" s="1173">
        <v>1</v>
      </c>
      <c r="J931" s="1173" t="s">
        <v>677</v>
      </c>
      <c r="K931" s="1174" t="s">
        <v>678</v>
      </c>
      <c r="L931" s="1175" t="s">
        <v>679</v>
      </c>
      <c r="M931" s="1176">
        <v>4350000</v>
      </c>
      <c r="N931" s="1344" t="s">
        <v>772</v>
      </c>
      <c r="O931" s="1171" t="s">
        <v>915</v>
      </c>
      <c r="P931" s="1218" t="s">
        <v>759</v>
      </c>
      <c r="R931" s="1327"/>
      <c r="S931" s="1327"/>
      <c r="T931" s="1327">
        <f>+'PAA V30'!$R931-'PAA V30'!$S931</f>
        <v>0</v>
      </c>
      <c r="U931" s="1327"/>
      <c r="V931" s="1327"/>
      <c r="W931" s="1327"/>
    </row>
    <row r="932" spans="1:23" s="1204" customFormat="1" ht="120" hidden="1" x14ac:dyDescent="0.2">
      <c r="A932" s="1169">
        <v>20221036</v>
      </c>
      <c r="B932" s="1169">
        <v>7658</v>
      </c>
      <c r="C932" s="1326" t="s">
        <v>673</v>
      </c>
      <c r="D932" s="1187" t="s">
        <v>699</v>
      </c>
      <c r="E932" s="1171">
        <v>80111600</v>
      </c>
      <c r="F932" s="1171" t="s">
        <v>1560</v>
      </c>
      <c r="G932" s="1343">
        <v>44910</v>
      </c>
      <c r="H932" s="1343">
        <v>44911</v>
      </c>
      <c r="I932" s="1173">
        <v>1</v>
      </c>
      <c r="J932" s="1173" t="s">
        <v>677</v>
      </c>
      <c r="K932" s="1174" t="s">
        <v>678</v>
      </c>
      <c r="L932" s="1175" t="s">
        <v>679</v>
      </c>
      <c r="M932" s="1176">
        <v>10606666.6666667</v>
      </c>
      <c r="N932" s="1344" t="s">
        <v>775</v>
      </c>
      <c r="O932" s="1171" t="s">
        <v>915</v>
      </c>
      <c r="P932" s="1218" t="s">
        <v>759</v>
      </c>
      <c r="R932" s="1327"/>
      <c r="S932" s="1327"/>
      <c r="T932" s="1327">
        <f>+'PAA V30'!$R932-'PAA V30'!$S932</f>
        <v>0</v>
      </c>
      <c r="U932" s="1327"/>
      <c r="V932" s="1327"/>
      <c r="W932" s="1327"/>
    </row>
    <row r="933" spans="1:23" s="1204" customFormat="1" ht="120" hidden="1" x14ac:dyDescent="0.2">
      <c r="A933" s="1169">
        <v>20221037</v>
      </c>
      <c r="B933" s="1169">
        <v>7658</v>
      </c>
      <c r="C933" s="1326" t="s">
        <v>673</v>
      </c>
      <c r="D933" s="1187" t="s">
        <v>699</v>
      </c>
      <c r="E933" s="1171">
        <v>80111600</v>
      </c>
      <c r="F933" s="1171" t="s">
        <v>1561</v>
      </c>
      <c r="G933" s="1343">
        <v>44910</v>
      </c>
      <c r="H933" s="1343">
        <v>44911</v>
      </c>
      <c r="I933" s="1173">
        <v>1</v>
      </c>
      <c r="J933" s="1173" t="s">
        <v>677</v>
      </c>
      <c r="K933" s="1174" t="s">
        <v>678</v>
      </c>
      <c r="L933" s="1175" t="s">
        <v>679</v>
      </c>
      <c r="M933" s="1176">
        <v>2911333.3333333302</v>
      </c>
      <c r="N933" s="1344" t="s">
        <v>772</v>
      </c>
      <c r="O933" s="1171" t="s">
        <v>915</v>
      </c>
      <c r="P933" s="1218" t="s">
        <v>759</v>
      </c>
      <c r="R933" s="1327"/>
      <c r="S933" s="1327"/>
      <c r="T933" s="1327">
        <f>+'PAA V30'!$R933-'PAA V30'!$S933</f>
        <v>0</v>
      </c>
      <c r="U933" s="1327"/>
      <c r="V933" s="1327"/>
      <c r="W933" s="1327"/>
    </row>
    <row r="934" spans="1:23" s="1204" customFormat="1" ht="120" hidden="1" x14ac:dyDescent="0.2">
      <c r="A934" s="1169">
        <v>20221038</v>
      </c>
      <c r="B934" s="1169">
        <v>7658</v>
      </c>
      <c r="C934" s="1326" t="s">
        <v>673</v>
      </c>
      <c r="D934" s="1187" t="s">
        <v>699</v>
      </c>
      <c r="E934" s="1171">
        <v>80111600</v>
      </c>
      <c r="F934" s="1171" t="s">
        <v>1562</v>
      </c>
      <c r="G934" s="1343">
        <v>44910</v>
      </c>
      <c r="H934" s="1343">
        <v>44911</v>
      </c>
      <c r="I934" s="1173">
        <v>1</v>
      </c>
      <c r="J934" s="1173" t="s">
        <v>677</v>
      </c>
      <c r="K934" s="1174" t="s">
        <v>678</v>
      </c>
      <c r="L934" s="1175" t="s">
        <v>783</v>
      </c>
      <c r="M934" s="1176">
        <v>10800000</v>
      </c>
      <c r="N934" s="1344" t="s">
        <v>775</v>
      </c>
      <c r="O934" s="1171" t="s">
        <v>915</v>
      </c>
      <c r="P934" s="1218" t="s">
        <v>759</v>
      </c>
      <c r="R934" s="1327"/>
      <c r="S934" s="1327"/>
      <c r="T934" s="1327">
        <f>+'PAA V30'!$R934-'PAA V30'!$S934</f>
        <v>0</v>
      </c>
      <c r="U934" s="1327"/>
      <c r="V934" s="1327"/>
      <c r="W934" s="1327"/>
    </row>
    <row r="935" spans="1:23" s="1204" customFormat="1" ht="120" hidden="1" x14ac:dyDescent="0.2">
      <c r="A935" s="1169">
        <v>20221039</v>
      </c>
      <c r="B935" s="1169">
        <v>7658</v>
      </c>
      <c r="C935" s="1326" t="s">
        <v>673</v>
      </c>
      <c r="D935" s="1187" t="s">
        <v>699</v>
      </c>
      <c r="E935" s="1171">
        <v>80111600</v>
      </c>
      <c r="F935" s="1171" t="s">
        <v>1563</v>
      </c>
      <c r="G935" s="1343">
        <v>44910</v>
      </c>
      <c r="H935" s="1343">
        <v>44911</v>
      </c>
      <c r="I935" s="1173">
        <v>1</v>
      </c>
      <c r="J935" s="1173" t="s">
        <v>677</v>
      </c>
      <c r="K935" s="1174" t="s">
        <v>678</v>
      </c>
      <c r="L935" s="1175" t="s">
        <v>783</v>
      </c>
      <c r="M935" s="1176">
        <v>5390000</v>
      </c>
      <c r="N935" s="1344" t="s">
        <v>775</v>
      </c>
      <c r="O935" s="1171" t="s">
        <v>915</v>
      </c>
      <c r="P935" s="1218" t="s">
        <v>759</v>
      </c>
      <c r="R935" s="1327"/>
      <c r="S935" s="1327"/>
      <c r="T935" s="1327">
        <f>+'PAA V30'!$R935-'PAA V30'!$S935</f>
        <v>0</v>
      </c>
      <c r="U935" s="1327"/>
      <c r="V935" s="1327"/>
      <c r="W935" s="1327"/>
    </row>
    <row r="936" spans="1:23" s="1204" customFormat="1" ht="120" hidden="1" x14ac:dyDescent="0.2">
      <c r="A936" s="1169">
        <v>20221040</v>
      </c>
      <c r="B936" s="1169">
        <v>7658</v>
      </c>
      <c r="C936" s="1326" t="s">
        <v>673</v>
      </c>
      <c r="D936" s="1187" t="s">
        <v>699</v>
      </c>
      <c r="E936" s="1171">
        <v>80111600</v>
      </c>
      <c r="F936" s="1171" t="s">
        <v>1564</v>
      </c>
      <c r="G936" s="1343">
        <v>44910</v>
      </c>
      <c r="H936" s="1343">
        <v>44911</v>
      </c>
      <c r="I936" s="1173">
        <v>1</v>
      </c>
      <c r="J936" s="1173" t="s">
        <v>677</v>
      </c>
      <c r="K936" s="1174" t="s">
        <v>678</v>
      </c>
      <c r="L936" s="1175" t="s">
        <v>679</v>
      </c>
      <c r="M936" s="1176">
        <v>2233000</v>
      </c>
      <c r="N936" s="1344" t="s">
        <v>775</v>
      </c>
      <c r="O936" s="1171" t="s">
        <v>915</v>
      </c>
      <c r="P936" s="1218" t="s">
        <v>759</v>
      </c>
      <c r="R936" s="1327"/>
      <c r="S936" s="1327"/>
      <c r="T936" s="1327">
        <f>+'PAA V30'!$R936-'PAA V30'!$S936</f>
        <v>0</v>
      </c>
      <c r="U936" s="1327"/>
      <c r="V936" s="1327"/>
      <c r="W936" s="1327"/>
    </row>
    <row r="937" spans="1:23" s="1204" customFormat="1" ht="120" hidden="1" x14ac:dyDescent="0.2">
      <c r="A937" s="1169">
        <v>20221041</v>
      </c>
      <c r="B937" s="1169">
        <v>7658</v>
      </c>
      <c r="C937" s="1326" t="s">
        <v>673</v>
      </c>
      <c r="D937" s="1187" t="s">
        <v>699</v>
      </c>
      <c r="E937" s="1171">
        <v>80111600</v>
      </c>
      <c r="F937" s="1171" t="s">
        <v>1565</v>
      </c>
      <c r="G937" s="1343">
        <v>44910</v>
      </c>
      <c r="H937" s="1343">
        <v>44911</v>
      </c>
      <c r="I937" s="1173">
        <v>1</v>
      </c>
      <c r="J937" s="1173" t="s">
        <v>677</v>
      </c>
      <c r="K937" s="1174" t="s">
        <v>678</v>
      </c>
      <c r="L937" s="1175" t="s">
        <v>679</v>
      </c>
      <c r="M937" s="1176">
        <v>1715000</v>
      </c>
      <c r="N937" s="1344" t="s">
        <v>775</v>
      </c>
      <c r="O937" s="1171" t="s">
        <v>915</v>
      </c>
      <c r="P937" s="1218" t="s">
        <v>759</v>
      </c>
      <c r="R937" s="1327"/>
      <c r="S937" s="1327"/>
      <c r="T937" s="1327">
        <f>+'PAA V30'!$R937-'PAA V30'!$S937</f>
        <v>0</v>
      </c>
      <c r="U937" s="1327"/>
      <c r="V937" s="1327"/>
      <c r="W937" s="1327"/>
    </row>
    <row r="938" spans="1:23" s="1204" customFormat="1" ht="120" hidden="1" x14ac:dyDescent="0.2">
      <c r="A938" s="1169">
        <v>20221042</v>
      </c>
      <c r="B938" s="1169">
        <v>7658</v>
      </c>
      <c r="C938" s="1326" t="s">
        <v>673</v>
      </c>
      <c r="D938" s="1187" t="s">
        <v>699</v>
      </c>
      <c r="E938" s="1171">
        <v>80111600</v>
      </c>
      <c r="F938" s="1171" t="s">
        <v>1566</v>
      </c>
      <c r="G938" s="1343">
        <v>44910</v>
      </c>
      <c r="H938" s="1343">
        <v>44911</v>
      </c>
      <c r="I938" s="1173">
        <v>1</v>
      </c>
      <c r="J938" s="1173" t="s">
        <v>677</v>
      </c>
      <c r="K938" s="1174" t="s">
        <v>678</v>
      </c>
      <c r="L938" s="1175" t="s">
        <v>679</v>
      </c>
      <c r="M938" s="1176">
        <v>5047000</v>
      </c>
      <c r="N938" s="1344" t="s">
        <v>775</v>
      </c>
      <c r="O938" s="1171" t="s">
        <v>915</v>
      </c>
      <c r="P938" s="1218" t="s">
        <v>759</v>
      </c>
      <c r="R938" s="1327"/>
      <c r="S938" s="1327"/>
      <c r="T938" s="1327">
        <f>+'PAA V30'!$R938-'PAA V30'!$S938</f>
        <v>0</v>
      </c>
      <c r="U938" s="1327"/>
      <c r="V938" s="1327"/>
      <c r="W938" s="1327"/>
    </row>
    <row r="939" spans="1:23" s="1204" customFormat="1" ht="120" hidden="1" x14ac:dyDescent="0.2">
      <c r="A939" s="1169">
        <v>20221043</v>
      </c>
      <c r="B939" s="1169">
        <v>7658</v>
      </c>
      <c r="C939" s="1326" t="s">
        <v>673</v>
      </c>
      <c r="D939" s="1187" t="s">
        <v>699</v>
      </c>
      <c r="E939" s="1171">
        <v>80111600</v>
      </c>
      <c r="F939" s="1171" t="s">
        <v>1567</v>
      </c>
      <c r="G939" s="1343">
        <v>44910</v>
      </c>
      <c r="H939" s="1343">
        <v>44911</v>
      </c>
      <c r="I939" s="1173">
        <v>1</v>
      </c>
      <c r="J939" s="1173" t="s">
        <v>677</v>
      </c>
      <c r="K939" s="1174" t="s">
        <v>678</v>
      </c>
      <c r="L939" s="1175" t="s">
        <v>679</v>
      </c>
      <c r="M939" s="1176">
        <v>3000000</v>
      </c>
      <c r="N939" s="1344" t="s">
        <v>775</v>
      </c>
      <c r="O939" s="1171" t="s">
        <v>915</v>
      </c>
      <c r="P939" s="1218" t="s">
        <v>759</v>
      </c>
      <c r="R939" s="1327"/>
      <c r="S939" s="1327"/>
      <c r="T939" s="1327">
        <f>+'PAA V30'!$R939-'PAA V30'!$S939</f>
        <v>0</v>
      </c>
      <c r="U939" s="1327"/>
      <c r="V939" s="1327"/>
      <c r="W939" s="1327"/>
    </row>
    <row r="940" spans="1:23" s="1204" customFormat="1" ht="120" hidden="1" x14ac:dyDescent="0.2">
      <c r="A940" s="1169">
        <v>20221044</v>
      </c>
      <c r="B940" s="1169">
        <v>7658</v>
      </c>
      <c r="C940" s="1326" t="s">
        <v>673</v>
      </c>
      <c r="D940" s="1187" t="s">
        <v>699</v>
      </c>
      <c r="E940" s="1171">
        <v>80111600</v>
      </c>
      <c r="F940" s="1171" t="s">
        <v>1568</v>
      </c>
      <c r="G940" s="1343">
        <v>44910</v>
      </c>
      <c r="H940" s="1343">
        <v>44911</v>
      </c>
      <c r="I940" s="1173">
        <v>1</v>
      </c>
      <c r="J940" s="1173" t="s">
        <v>677</v>
      </c>
      <c r="K940" s="1174" t="s">
        <v>678</v>
      </c>
      <c r="L940" s="1175" t="s">
        <v>679</v>
      </c>
      <c r="M940" s="1176">
        <v>2153333.3333333302</v>
      </c>
      <c r="N940" s="1344" t="s">
        <v>775</v>
      </c>
      <c r="O940" s="1171" t="s">
        <v>915</v>
      </c>
      <c r="P940" s="1218" t="s">
        <v>759</v>
      </c>
      <c r="R940" s="1327"/>
      <c r="S940" s="1327"/>
      <c r="T940" s="1327">
        <f>+'PAA V30'!$R940-'PAA V30'!$S940</f>
        <v>0</v>
      </c>
      <c r="U940" s="1327"/>
      <c r="V940" s="1327"/>
      <c r="W940" s="1327"/>
    </row>
    <row r="941" spans="1:23" s="1204" customFormat="1" ht="120" hidden="1" x14ac:dyDescent="0.2">
      <c r="A941" s="1169">
        <v>20221045</v>
      </c>
      <c r="B941" s="1169">
        <v>7658</v>
      </c>
      <c r="C941" s="1326" t="s">
        <v>673</v>
      </c>
      <c r="D941" s="1187" t="s">
        <v>699</v>
      </c>
      <c r="E941" s="1171">
        <v>80111600</v>
      </c>
      <c r="F941" s="1171" t="s">
        <v>1569</v>
      </c>
      <c r="G941" s="1343">
        <v>44910</v>
      </c>
      <c r="H941" s="1343">
        <v>44911</v>
      </c>
      <c r="I941" s="1173">
        <v>1</v>
      </c>
      <c r="J941" s="1173" t="s">
        <v>677</v>
      </c>
      <c r="K941" s="1174" t="s">
        <v>678</v>
      </c>
      <c r="L941" s="1175" t="s">
        <v>679</v>
      </c>
      <c r="M941" s="1176">
        <v>4326000</v>
      </c>
      <c r="N941" s="1344" t="s">
        <v>775</v>
      </c>
      <c r="O941" s="1171" t="s">
        <v>915</v>
      </c>
      <c r="P941" s="1218" t="s">
        <v>759</v>
      </c>
      <c r="R941" s="1327"/>
      <c r="S941" s="1327"/>
      <c r="T941" s="1327">
        <f>+'PAA V30'!$R941-'PAA V30'!$S941</f>
        <v>0</v>
      </c>
      <c r="U941" s="1327"/>
      <c r="V941" s="1327"/>
      <c r="W941" s="1327"/>
    </row>
    <row r="942" spans="1:23" s="1204" customFormat="1" ht="120" hidden="1" x14ac:dyDescent="0.2">
      <c r="A942" s="1169">
        <v>20221046</v>
      </c>
      <c r="B942" s="1169">
        <v>7658</v>
      </c>
      <c r="C942" s="1326" t="s">
        <v>673</v>
      </c>
      <c r="D942" s="1187" t="s">
        <v>699</v>
      </c>
      <c r="E942" s="1171">
        <v>80111600</v>
      </c>
      <c r="F942" s="1171" t="s">
        <v>1570</v>
      </c>
      <c r="G942" s="1343">
        <v>44910</v>
      </c>
      <c r="H942" s="1343">
        <v>44911</v>
      </c>
      <c r="I942" s="1173">
        <v>1</v>
      </c>
      <c r="J942" s="1173" t="s">
        <v>677</v>
      </c>
      <c r="K942" s="1174" t="s">
        <v>678</v>
      </c>
      <c r="L942" s="1175" t="s">
        <v>679</v>
      </c>
      <c r="M942" s="1176">
        <v>1985000</v>
      </c>
      <c r="N942" s="1344" t="s">
        <v>772</v>
      </c>
      <c r="O942" s="1171" t="s">
        <v>915</v>
      </c>
      <c r="P942" s="1218" t="s">
        <v>759</v>
      </c>
      <c r="R942" s="1327"/>
      <c r="S942" s="1327"/>
      <c r="T942" s="1327">
        <f>+'PAA V30'!$R942-'PAA V30'!$S942</f>
        <v>0</v>
      </c>
      <c r="U942" s="1327"/>
      <c r="V942" s="1327"/>
      <c r="W942" s="1327"/>
    </row>
    <row r="943" spans="1:23" s="1204" customFormat="1" ht="120" hidden="1" x14ac:dyDescent="0.2">
      <c r="A943" s="1169">
        <v>20221047</v>
      </c>
      <c r="B943" s="1169">
        <v>7658</v>
      </c>
      <c r="C943" s="1326" t="s">
        <v>673</v>
      </c>
      <c r="D943" s="1187" t="s">
        <v>699</v>
      </c>
      <c r="E943" s="1171">
        <v>80111600</v>
      </c>
      <c r="F943" s="1171" t="s">
        <v>1571</v>
      </c>
      <c r="G943" s="1343">
        <v>44910</v>
      </c>
      <c r="H943" s="1343">
        <v>44911</v>
      </c>
      <c r="I943" s="1173">
        <v>1</v>
      </c>
      <c r="J943" s="1173" t="s">
        <v>677</v>
      </c>
      <c r="K943" s="1174" t="s">
        <v>678</v>
      </c>
      <c r="L943" s="1175" t="s">
        <v>679</v>
      </c>
      <c r="M943" s="1176">
        <v>1700000</v>
      </c>
      <c r="N943" s="1344" t="s">
        <v>775</v>
      </c>
      <c r="O943" s="1171" t="s">
        <v>915</v>
      </c>
      <c r="P943" s="1218" t="s">
        <v>759</v>
      </c>
      <c r="R943" s="1327"/>
      <c r="S943" s="1327"/>
      <c r="T943" s="1327">
        <f>+'PAA V30'!$R943-'PAA V30'!$S943</f>
        <v>0</v>
      </c>
      <c r="U943" s="1327"/>
      <c r="V943" s="1327"/>
      <c r="W943" s="1327"/>
    </row>
    <row r="944" spans="1:23" s="1204" customFormat="1" ht="120" hidden="1" x14ac:dyDescent="0.2">
      <c r="A944" s="1169">
        <v>20221048</v>
      </c>
      <c r="B944" s="1169">
        <v>7658</v>
      </c>
      <c r="C944" s="1326" t="s">
        <v>673</v>
      </c>
      <c r="D944" s="1187" t="s">
        <v>699</v>
      </c>
      <c r="E944" s="1171">
        <v>78181505</v>
      </c>
      <c r="F944" s="1171" t="s">
        <v>1572</v>
      </c>
      <c r="G944" s="1343">
        <v>44910</v>
      </c>
      <c r="H944" s="1343">
        <v>44910</v>
      </c>
      <c r="I944" s="1173">
        <v>7</v>
      </c>
      <c r="J944" s="1173" t="s">
        <v>677</v>
      </c>
      <c r="K944" s="1174" t="s">
        <v>678</v>
      </c>
      <c r="L944" s="1175" t="s">
        <v>962</v>
      </c>
      <c r="M944" s="1176">
        <v>7209236</v>
      </c>
      <c r="N944" s="1344" t="s">
        <v>775</v>
      </c>
      <c r="O944" s="1171" t="s">
        <v>915</v>
      </c>
      <c r="P944" s="1218" t="s">
        <v>759</v>
      </c>
      <c r="R944" s="1327"/>
      <c r="S944" s="1327"/>
      <c r="T944" s="1327">
        <f>+'PAA V30'!$R944-'PAA V30'!$S944</f>
        <v>0</v>
      </c>
      <c r="U944" s="1327"/>
      <c r="V944" s="1327"/>
      <c r="W944" s="1327"/>
    </row>
    <row r="945" spans="1:23" s="1204" customFormat="1" ht="75" hidden="1" x14ac:dyDescent="0.2">
      <c r="A945" s="1169">
        <v>20221049</v>
      </c>
      <c r="B945" s="1169">
        <v>7658</v>
      </c>
      <c r="C945" s="1326" t="s">
        <v>673</v>
      </c>
      <c r="D945" s="1187" t="s">
        <v>696</v>
      </c>
      <c r="E945" s="1171">
        <v>80111600</v>
      </c>
      <c r="F945" s="1171" t="s">
        <v>859</v>
      </c>
      <c r="G945" s="1343">
        <v>44904</v>
      </c>
      <c r="H945" s="1343">
        <v>44907</v>
      </c>
      <c r="I945" s="1173">
        <v>2</v>
      </c>
      <c r="J945" s="1173" t="s">
        <v>677</v>
      </c>
      <c r="K945" s="1174" t="s">
        <v>678</v>
      </c>
      <c r="L945" s="1175" t="s">
        <v>679</v>
      </c>
      <c r="M945" s="1176">
        <f>8694000+4347000</f>
        <v>13041000</v>
      </c>
      <c r="N945" s="1344" t="s">
        <v>765</v>
      </c>
      <c r="O945" s="1171" t="s">
        <v>764</v>
      </c>
      <c r="P945" s="1218" t="s">
        <v>682</v>
      </c>
      <c r="R945" s="1327"/>
      <c r="S945" s="1327"/>
      <c r="T945" s="1327">
        <f>+'PAA V30'!$R945-'PAA V30'!$S945</f>
        <v>0</v>
      </c>
      <c r="U945" s="1327"/>
      <c r="V945" s="1327"/>
      <c r="W945" s="1327"/>
    </row>
    <row r="946" spans="1:23" s="1204" customFormat="1" ht="105" hidden="1" x14ac:dyDescent="0.2">
      <c r="A946" s="1169">
        <v>20221050</v>
      </c>
      <c r="B946" s="1169">
        <v>7637</v>
      </c>
      <c r="C946" s="1326" t="s">
        <v>645</v>
      </c>
      <c r="D946" s="1187" t="s">
        <v>674</v>
      </c>
      <c r="E946" s="1171">
        <v>81112401</v>
      </c>
      <c r="F946" s="1171" t="s">
        <v>1573</v>
      </c>
      <c r="G946" s="1343">
        <v>44896</v>
      </c>
      <c r="H946" s="1343">
        <v>44911</v>
      </c>
      <c r="I946" s="1173">
        <v>3</v>
      </c>
      <c r="J946" s="1173" t="s">
        <v>721</v>
      </c>
      <c r="K946" s="1174" t="s">
        <v>678</v>
      </c>
      <c r="L946" s="1175" t="s">
        <v>732</v>
      </c>
      <c r="M946" s="1176">
        <v>21287387</v>
      </c>
      <c r="N946" s="1344" t="s">
        <v>680</v>
      </c>
      <c r="O946" s="1171" t="s">
        <v>681</v>
      </c>
      <c r="P946" s="1218" t="s">
        <v>682</v>
      </c>
      <c r="R946" s="1327"/>
      <c r="S946" s="1327"/>
      <c r="T946" s="1327">
        <f>+'PAA V30'!$R946-'PAA V30'!$S946</f>
        <v>0</v>
      </c>
      <c r="U946" s="1327"/>
      <c r="V946" s="1327"/>
      <c r="W946" s="1327"/>
    </row>
    <row r="947" spans="1:23" s="1204" customFormat="1" ht="105" hidden="1" x14ac:dyDescent="0.2">
      <c r="A947" s="1169">
        <v>20221051</v>
      </c>
      <c r="B947" s="1169">
        <v>7637</v>
      </c>
      <c r="C947" s="1326" t="s">
        <v>645</v>
      </c>
      <c r="D947" s="1187" t="s">
        <v>674</v>
      </c>
      <c r="E947" s="1171">
        <v>81112401</v>
      </c>
      <c r="F947" s="1171" t="s">
        <v>1574</v>
      </c>
      <c r="G947" s="1343">
        <v>44896</v>
      </c>
      <c r="H947" s="1343">
        <v>44911</v>
      </c>
      <c r="I947" s="1173">
        <v>3</v>
      </c>
      <c r="J947" s="1173" t="s">
        <v>721</v>
      </c>
      <c r="K947" s="1174" t="s">
        <v>678</v>
      </c>
      <c r="L947" s="1175" t="s">
        <v>732</v>
      </c>
      <c r="M947" s="1176">
        <v>2979887</v>
      </c>
      <c r="N947" s="1344" t="s">
        <v>680</v>
      </c>
      <c r="O947" s="1171" t="s">
        <v>681</v>
      </c>
      <c r="P947" s="1218" t="s">
        <v>682</v>
      </c>
      <c r="R947" s="1327"/>
      <c r="S947" s="1327"/>
      <c r="T947" s="1327">
        <f>+'PAA V30'!$R947-'PAA V30'!$S947</f>
        <v>0</v>
      </c>
      <c r="U947" s="1327"/>
      <c r="V947" s="1327"/>
      <c r="W947" s="1327"/>
    </row>
    <row r="948" spans="1:23" s="1204" customFormat="1" ht="105" hidden="1" x14ac:dyDescent="0.2">
      <c r="A948" s="1169">
        <v>20221052</v>
      </c>
      <c r="B948" s="1169">
        <v>7637</v>
      </c>
      <c r="C948" s="1326" t="s">
        <v>645</v>
      </c>
      <c r="D948" s="1187" t="s">
        <v>674</v>
      </c>
      <c r="E948" s="1171">
        <v>80111600</v>
      </c>
      <c r="F948" s="1171" t="s">
        <v>1575</v>
      </c>
      <c r="G948" s="1343">
        <v>44896</v>
      </c>
      <c r="H948" s="1343">
        <v>44911</v>
      </c>
      <c r="I948" s="1173">
        <v>0.9</v>
      </c>
      <c r="J948" s="1173" t="s">
        <v>677</v>
      </c>
      <c r="K948" s="1174" t="s">
        <v>678</v>
      </c>
      <c r="L948" s="1175" t="s">
        <v>679</v>
      </c>
      <c r="M948" s="1176">
        <v>2800000</v>
      </c>
      <c r="N948" s="1344" t="s">
        <v>680</v>
      </c>
      <c r="O948" s="1171" t="s">
        <v>681</v>
      </c>
      <c r="P948" s="1218" t="s">
        <v>682</v>
      </c>
      <c r="R948" s="1327"/>
      <c r="S948" s="1327"/>
      <c r="T948" s="1327">
        <f>+'PAA V30'!$R948-'PAA V30'!$S948</f>
        <v>0</v>
      </c>
      <c r="U948" s="1327"/>
      <c r="V948" s="1327"/>
      <c r="W948" s="1327"/>
    </row>
    <row r="949" spans="1:23" s="1204" customFormat="1" ht="105" hidden="1" x14ac:dyDescent="0.2">
      <c r="A949" s="1169">
        <v>20221053</v>
      </c>
      <c r="B949" s="1169">
        <v>7637</v>
      </c>
      <c r="C949" s="1326" t="s">
        <v>645</v>
      </c>
      <c r="D949" s="1187" t="s">
        <v>674</v>
      </c>
      <c r="E949" s="1171">
        <v>80111600</v>
      </c>
      <c r="F949" s="1171" t="s">
        <v>1576</v>
      </c>
      <c r="G949" s="1343">
        <v>44896</v>
      </c>
      <c r="H949" s="1343">
        <v>44911</v>
      </c>
      <c r="I949" s="1173">
        <v>0.5</v>
      </c>
      <c r="J949" s="1173" t="s">
        <v>677</v>
      </c>
      <c r="K949" s="1174" t="s">
        <v>678</v>
      </c>
      <c r="L949" s="1175" t="s">
        <v>679</v>
      </c>
      <c r="M949" s="1176">
        <f>2250000-1350000</f>
        <v>900000</v>
      </c>
      <c r="N949" s="1344" t="s">
        <v>680</v>
      </c>
      <c r="O949" s="1171" t="s">
        <v>681</v>
      </c>
      <c r="P949" s="1218" t="s">
        <v>682</v>
      </c>
      <c r="R949" s="1327"/>
      <c r="S949" s="1327"/>
      <c r="T949" s="1327">
        <f>+'PAA V30'!$R949-'PAA V30'!$S949</f>
        <v>0</v>
      </c>
      <c r="U949" s="1327"/>
      <c r="V949" s="1327"/>
      <c r="W949" s="1327"/>
    </row>
    <row r="950" spans="1:23" s="1204" customFormat="1" ht="75" hidden="1" x14ac:dyDescent="0.2">
      <c r="A950" s="1169">
        <v>20221054</v>
      </c>
      <c r="B950" s="1169">
        <v>7658</v>
      </c>
      <c r="C950" s="1326" t="s">
        <v>673</v>
      </c>
      <c r="D950" s="1187" t="s">
        <v>696</v>
      </c>
      <c r="E950" s="1171">
        <v>80111600</v>
      </c>
      <c r="F950" s="1171" t="s">
        <v>1404</v>
      </c>
      <c r="G950" s="1343">
        <v>44904</v>
      </c>
      <c r="H950" s="1343">
        <v>44907</v>
      </c>
      <c r="I950" s="1173">
        <v>2</v>
      </c>
      <c r="J950" s="1173" t="s">
        <v>677</v>
      </c>
      <c r="K950" s="1174" t="s">
        <v>678</v>
      </c>
      <c r="L950" s="1175" t="s">
        <v>679</v>
      </c>
      <c r="M950" s="1176">
        <v>5775000</v>
      </c>
      <c r="N950" s="1344" t="s">
        <v>765</v>
      </c>
      <c r="O950" s="1171" t="s">
        <v>764</v>
      </c>
      <c r="P950" s="1218" t="s">
        <v>759</v>
      </c>
      <c r="R950" s="1327"/>
      <c r="S950" s="1327"/>
      <c r="T950" s="1327">
        <f>+'PAA V30'!$R950-'PAA V30'!$S950</f>
        <v>0</v>
      </c>
      <c r="U950" s="1327"/>
      <c r="V950" s="1327"/>
      <c r="W950" s="1327"/>
    </row>
    <row r="951" spans="1:23" s="1204" customFormat="1" ht="75" hidden="1" x14ac:dyDescent="0.2">
      <c r="A951" s="1169">
        <v>20221055</v>
      </c>
      <c r="B951" s="1169">
        <v>7658</v>
      </c>
      <c r="C951" s="1326" t="s">
        <v>673</v>
      </c>
      <c r="D951" s="1187" t="s">
        <v>696</v>
      </c>
      <c r="E951" s="1171">
        <v>80111600</v>
      </c>
      <c r="F951" s="1171" t="s">
        <v>1577</v>
      </c>
      <c r="G951" s="1343">
        <v>44904</v>
      </c>
      <c r="H951" s="1343">
        <v>44907</v>
      </c>
      <c r="I951" s="1173">
        <v>2</v>
      </c>
      <c r="J951" s="1173" t="s">
        <v>677</v>
      </c>
      <c r="K951" s="1174" t="s">
        <v>678</v>
      </c>
      <c r="L951" s="1175" t="s">
        <v>679</v>
      </c>
      <c r="M951" s="1176">
        <v>8073000</v>
      </c>
      <c r="N951" s="1344" t="s">
        <v>765</v>
      </c>
      <c r="O951" s="1171" t="s">
        <v>764</v>
      </c>
      <c r="P951" s="1218" t="s">
        <v>759</v>
      </c>
      <c r="R951" s="1327"/>
      <c r="S951" s="1327"/>
      <c r="T951" s="1327">
        <f>+'PAA V30'!$R951-'PAA V30'!$S951</f>
        <v>0</v>
      </c>
      <c r="U951" s="1327"/>
      <c r="V951" s="1327"/>
      <c r="W951" s="1327"/>
    </row>
    <row r="952" spans="1:23" s="1204" customFormat="1" ht="75" hidden="1" x14ac:dyDescent="0.2">
      <c r="A952" s="1169">
        <v>20221056</v>
      </c>
      <c r="B952" s="1169">
        <v>7658</v>
      </c>
      <c r="C952" s="1326" t="s">
        <v>673</v>
      </c>
      <c r="D952" s="1187" t="s">
        <v>696</v>
      </c>
      <c r="E952" s="1171">
        <v>80111600</v>
      </c>
      <c r="F952" s="1171" t="s">
        <v>850</v>
      </c>
      <c r="G952" s="1343">
        <v>44904</v>
      </c>
      <c r="H952" s="1343">
        <v>44907</v>
      </c>
      <c r="I952" s="1173">
        <v>3</v>
      </c>
      <c r="J952" s="1173" t="s">
        <v>677</v>
      </c>
      <c r="K952" s="1174" t="s">
        <v>678</v>
      </c>
      <c r="L952" s="1175" t="s">
        <v>679</v>
      </c>
      <c r="M952" s="1176">
        <v>15525000</v>
      </c>
      <c r="N952" s="1344" t="s">
        <v>765</v>
      </c>
      <c r="O952" s="1171" t="s">
        <v>764</v>
      </c>
      <c r="P952" s="1218" t="s">
        <v>682</v>
      </c>
      <c r="R952" s="1327"/>
      <c r="S952" s="1327"/>
      <c r="T952" s="1327">
        <f>+'PAA V30'!$R952-'PAA V30'!$S952</f>
        <v>0</v>
      </c>
      <c r="U952" s="1327"/>
      <c r="V952" s="1327"/>
      <c r="W952" s="1327"/>
    </row>
    <row r="953" spans="1:23" s="1204" customFormat="1" ht="75" hidden="1" x14ac:dyDescent="0.2">
      <c r="A953" s="1169">
        <v>20221057</v>
      </c>
      <c r="B953" s="1169">
        <v>7658</v>
      </c>
      <c r="C953" s="1326" t="s">
        <v>673</v>
      </c>
      <c r="D953" s="1187" t="s">
        <v>696</v>
      </c>
      <c r="E953" s="1171">
        <v>80111600</v>
      </c>
      <c r="F953" s="1171" t="s">
        <v>987</v>
      </c>
      <c r="G953" s="1343">
        <v>44904</v>
      </c>
      <c r="H953" s="1343">
        <v>44907</v>
      </c>
      <c r="I953" s="1173">
        <v>3</v>
      </c>
      <c r="J953" s="1173" t="s">
        <v>677</v>
      </c>
      <c r="K953" s="1174" t="s">
        <v>678</v>
      </c>
      <c r="L953" s="1175" t="s">
        <v>679</v>
      </c>
      <c r="M953" s="1176">
        <v>11550000</v>
      </c>
      <c r="N953" s="1344" t="s">
        <v>765</v>
      </c>
      <c r="O953" s="1171" t="s">
        <v>764</v>
      </c>
      <c r="P953" s="1218" t="s">
        <v>682</v>
      </c>
      <c r="R953" s="1327"/>
      <c r="S953" s="1327"/>
      <c r="T953" s="1327">
        <f>+'PAA V30'!$R953-'PAA V30'!$S953</f>
        <v>0</v>
      </c>
      <c r="U953" s="1327"/>
      <c r="V953" s="1327"/>
      <c r="W953" s="1327"/>
    </row>
    <row r="954" spans="1:23" s="1204" customFormat="1" ht="75" hidden="1" x14ac:dyDescent="0.2">
      <c r="A954" s="1169">
        <v>20221058</v>
      </c>
      <c r="B954" s="1169">
        <v>7658</v>
      </c>
      <c r="C954" s="1326" t="s">
        <v>673</v>
      </c>
      <c r="D954" s="1187" t="s">
        <v>696</v>
      </c>
      <c r="E954" s="1171">
        <v>80111600</v>
      </c>
      <c r="F954" s="1171" t="s">
        <v>1372</v>
      </c>
      <c r="G954" s="1343">
        <v>44904</v>
      </c>
      <c r="H954" s="1343">
        <v>44907</v>
      </c>
      <c r="I954" s="1173">
        <v>1</v>
      </c>
      <c r="J954" s="1173" t="s">
        <v>677</v>
      </c>
      <c r="K954" s="1174" t="s">
        <v>678</v>
      </c>
      <c r="L954" s="1175" t="s">
        <v>679</v>
      </c>
      <c r="M954" s="1176">
        <v>1449000</v>
      </c>
      <c r="N954" s="1344" t="s">
        <v>765</v>
      </c>
      <c r="O954" s="1171" t="s">
        <v>764</v>
      </c>
      <c r="P954" s="1218" t="s">
        <v>759</v>
      </c>
      <c r="R954" s="1327"/>
      <c r="S954" s="1327"/>
      <c r="T954" s="1327">
        <f>+'PAA V30'!$R954-'PAA V30'!$S954</f>
        <v>0</v>
      </c>
      <c r="U954" s="1327"/>
      <c r="V954" s="1327"/>
      <c r="W954" s="1327"/>
    </row>
    <row r="955" spans="1:23" s="1204" customFormat="1" ht="90" hidden="1" x14ac:dyDescent="0.2">
      <c r="A955" s="1169">
        <v>20221059</v>
      </c>
      <c r="B955" s="1169">
        <v>7658</v>
      </c>
      <c r="C955" s="1326" t="s">
        <v>673</v>
      </c>
      <c r="D955" s="1187" t="s">
        <v>696</v>
      </c>
      <c r="E955" s="1171">
        <v>80111600</v>
      </c>
      <c r="F955" s="1171" t="s">
        <v>1578</v>
      </c>
      <c r="G955" s="1343">
        <v>44904</v>
      </c>
      <c r="H955" s="1343">
        <v>44907</v>
      </c>
      <c r="I955" s="1173">
        <v>2</v>
      </c>
      <c r="J955" s="1173" t="s">
        <v>677</v>
      </c>
      <c r="K955" s="1174" t="s">
        <v>678</v>
      </c>
      <c r="L955" s="1175" t="s">
        <v>679</v>
      </c>
      <c r="M955" s="1176">
        <v>10350000</v>
      </c>
      <c r="N955" s="1344" t="s">
        <v>765</v>
      </c>
      <c r="O955" s="1171" t="s">
        <v>764</v>
      </c>
      <c r="P955" s="1218" t="s">
        <v>759</v>
      </c>
      <c r="R955" s="1327"/>
      <c r="S955" s="1327"/>
      <c r="T955" s="1327">
        <f>+'PAA V30'!$R955-'PAA V30'!$S955</f>
        <v>0</v>
      </c>
      <c r="U955" s="1327"/>
      <c r="V955" s="1327"/>
      <c r="W955" s="1327"/>
    </row>
    <row r="956" spans="1:23" s="1204" customFormat="1" ht="75" hidden="1" x14ac:dyDescent="0.2">
      <c r="A956" s="1169">
        <v>20221060</v>
      </c>
      <c r="B956" s="1169">
        <v>7658</v>
      </c>
      <c r="C956" s="1326" t="s">
        <v>673</v>
      </c>
      <c r="D956" s="1187" t="s">
        <v>696</v>
      </c>
      <c r="E956" s="1171">
        <v>80111600</v>
      </c>
      <c r="F956" s="1171" t="s">
        <v>1579</v>
      </c>
      <c r="G956" s="1343">
        <v>44904</v>
      </c>
      <c r="H956" s="1343">
        <v>44907</v>
      </c>
      <c r="I956" s="1173">
        <v>2</v>
      </c>
      <c r="J956" s="1173" t="s">
        <v>677</v>
      </c>
      <c r="K956" s="1174" t="s">
        <v>678</v>
      </c>
      <c r="L956" s="1175" t="s">
        <v>679</v>
      </c>
      <c r="M956" s="1176">
        <v>7762500</v>
      </c>
      <c r="N956" s="1344" t="s">
        <v>765</v>
      </c>
      <c r="O956" s="1171" t="s">
        <v>764</v>
      </c>
      <c r="P956" s="1218" t="s">
        <v>759</v>
      </c>
      <c r="R956" s="1327"/>
      <c r="S956" s="1327"/>
      <c r="T956" s="1327">
        <f>+'PAA V30'!$R956-'PAA V30'!$S956</f>
        <v>0</v>
      </c>
      <c r="U956" s="1327"/>
      <c r="V956" s="1327"/>
      <c r="W956" s="1327"/>
    </row>
    <row r="957" spans="1:23" s="1204" customFormat="1" ht="75" hidden="1" x14ac:dyDescent="0.2">
      <c r="A957" s="1169">
        <v>20221061</v>
      </c>
      <c r="B957" s="1169">
        <v>7655</v>
      </c>
      <c r="C957" s="1326" t="s">
        <v>648</v>
      </c>
      <c r="D957" s="1187" t="s">
        <v>696</v>
      </c>
      <c r="E957" s="1171">
        <v>80111600</v>
      </c>
      <c r="F957" s="1171" t="s">
        <v>1381</v>
      </c>
      <c r="G957" s="1343">
        <v>44904</v>
      </c>
      <c r="H957" s="1343">
        <v>44907</v>
      </c>
      <c r="I957" s="1173">
        <v>2</v>
      </c>
      <c r="J957" s="1173" t="s">
        <v>677</v>
      </c>
      <c r="K957" s="1174" t="s">
        <v>678</v>
      </c>
      <c r="L957" s="1175" t="s">
        <v>679</v>
      </c>
      <c r="M957" s="1176">
        <v>7650000</v>
      </c>
      <c r="N957" s="1344" t="s">
        <v>784</v>
      </c>
      <c r="O957" s="1171" t="s">
        <v>771</v>
      </c>
      <c r="P957" s="1218" t="s">
        <v>759</v>
      </c>
      <c r="R957" s="1327"/>
      <c r="S957" s="1327"/>
      <c r="T957" s="1327">
        <f>+'PAA V30'!$R957-'PAA V30'!$S957</f>
        <v>0</v>
      </c>
      <c r="U957" s="1327"/>
      <c r="V957" s="1327"/>
      <c r="W957" s="1327"/>
    </row>
    <row r="958" spans="1:23" s="1204" customFormat="1" ht="75" hidden="1" x14ac:dyDescent="0.2">
      <c r="A958" s="1169">
        <v>20221062</v>
      </c>
      <c r="B958" s="1169">
        <v>7655</v>
      </c>
      <c r="C958" s="1326" t="s">
        <v>648</v>
      </c>
      <c r="D958" s="1187" t="s">
        <v>696</v>
      </c>
      <c r="E958" s="1171">
        <v>80111600</v>
      </c>
      <c r="F958" s="1171" t="s">
        <v>1363</v>
      </c>
      <c r="G958" s="1343">
        <v>44904</v>
      </c>
      <c r="H958" s="1343">
        <v>44907</v>
      </c>
      <c r="I958" s="1173">
        <v>1</v>
      </c>
      <c r="J958" s="1173" t="s">
        <v>677</v>
      </c>
      <c r="K958" s="1174" t="s">
        <v>678</v>
      </c>
      <c r="L958" s="1175" t="s">
        <v>679</v>
      </c>
      <c r="M958" s="1176">
        <v>3042900</v>
      </c>
      <c r="N958" s="1344" t="s">
        <v>784</v>
      </c>
      <c r="O958" s="1171" t="s">
        <v>771</v>
      </c>
      <c r="P958" s="1218" t="s">
        <v>759</v>
      </c>
      <c r="R958" s="1327"/>
      <c r="S958" s="1327"/>
      <c r="T958" s="1327">
        <f>+'PAA V30'!$R958-'PAA V30'!$S958</f>
        <v>0</v>
      </c>
      <c r="U958" s="1327"/>
      <c r="V958" s="1327"/>
      <c r="W958" s="1327"/>
    </row>
    <row r="959" spans="1:23" s="1204" customFormat="1" ht="75" hidden="1" x14ac:dyDescent="0.2">
      <c r="A959" s="1169">
        <v>20221063</v>
      </c>
      <c r="B959" s="1169">
        <v>7655</v>
      </c>
      <c r="C959" s="1326" t="s">
        <v>648</v>
      </c>
      <c r="D959" s="1187" t="s">
        <v>696</v>
      </c>
      <c r="E959" s="1171">
        <v>80111600</v>
      </c>
      <c r="F959" s="1171" t="s">
        <v>1408</v>
      </c>
      <c r="G959" s="1343">
        <v>44904</v>
      </c>
      <c r="H959" s="1343">
        <v>44907</v>
      </c>
      <c r="I959" s="1173">
        <v>1</v>
      </c>
      <c r="J959" s="1173" t="s">
        <v>677</v>
      </c>
      <c r="K959" s="1174" t="s">
        <v>678</v>
      </c>
      <c r="L959" s="1175" t="s">
        <v>679</v>
      </c>
      <c r="M959" s="1176">
        <v>2466967</v>
      </c>
      <c r="N959" s="1344" t="s">
        <v>784</v>
      </c>
      <c r="O959" s="1171" t="s">
        <v>771</v>
      </c>
      <c r="P959" s="1218" t="s">
        <v>759</v>
      </c>
      <c r="R959" s="1327"/>
      <c r="S959" s="1327"/>
      <c r="T959" s="1327">
        <f>+'PAA V30'!$R959-'PAA V30'!$S959</f>
        <v>0</v>
      </c>
      <c r="U959" s="1327"/>
      <c r="V959" s="1327"/>
      <c r="W959" s="1327"/>
    </row>
    <row r="960" spans="1:23" s="1204" customFormat="1" ht="75" hidden="1" x14ac:dyDescent="0.2">
      <c r="A960" s="1169">
        <v>20221064</v>
      </c>
      <c r="B960" s="1169">
        <v>7655</v>
      </c>
      <c r="C960" s="1326" t="s">
        <v>648</v>
      </c>
      <c r="D960" s="1187" t="s">
        <v>696</v>
      </c>
      <c r="E960" s="1171">
        <v>80111600</v>
      </c>
      <c r="F960" s="1171" t="s">
        <v>1366</v>
      </c>
      <c r="G960" s="1343">
        <v>44904</v>
      </c>
      <c r="H960" s="1343">
        <v>44907</v>
      </c>
      <c r="I960" s="1173">
        <v>2</v>
      </c>
      <c r="J960" s="1173" t="s">
        <v>677</v>
      </c>
      <c r="K960" s="1174" t="s">
        <v>678</v>
      </c>
      <c r="L960" s="1175" t="s">
        <v>679</v>
      </c>
      <c r="M960" s="1176">
        <v>7021367</v>
      </c>
      <c r="N960" s="1344" t="s">
        <v>784</v>
      </c>
      <c r="O960" s="1171" t="s">
        <v>771</v>
      </c>
      <c r="P960" s="1218" t="s">
        <v>759</v>
      </c>
      <c r="R960" s="1327"/>
      <c r="S960" s="1327"/>
      <c r="T960" s="1327">
        <f>+'PAA V30'!$R960-'PAA V30'!$S960</f>
        <v>0</v>
      </c>
      <c r="U960" s="1327"/>
      <c r="V960" s="1327"/>
      <c r="W960" s="1327"/>
    </row>
    <row r="961" spans="1:23" s="1204" customFormat="1" ht="75" hidden="1" x14ac:dyDescent="0.2">
      <c r="A961" s="1169">
        <v>20221065</v>
      </c>
      <c r="B961" s="1169">
        <v>7655</v>
      </c>
      <c r="C961" s="1326" t="s">
        <v>648</v>
      </c>
      <c r="D961" s="1187" t="s">
        <v>696</v>
      </c>
      <c r="E961" s="1171">
        <v>80111600</v>
      </c>
      <c r="F961" s="1171" t="s">
        <v>1580</v>
      </c>
      <c r="G961" s="1343">
        <v>44904</v>
      </c>
      <c r="H961" s="1343">
        <v>44907</v>
      </c>
      <c r="I961" s="1173">
        <v>2</v>
      </c>
      <c r="J961" s="1173" t="s">
        <v>677</v>
      </c>
      <c r="K961" s="1174" t="s">
        <v>678</v>
      </c>
      <c r="L961" s="1175" t="s">
        <v>679</v>
      </c>
      <c r="M961" s="1176">
        <v>8159967</v>
      </c>
      <c r="N961" s="1344" t="s">
        <v>784</v>
      </c>
      <c r="O961" s="1171" t="s">
        <v>771</v>
      </c>
      <c r="P961" s="1218" t="s">
        <v>759</v>
      </c>
      <c r="R961" s="1327"/>
      <c r="S961" s="1327"/>
      <c r="T961" s="1327">
        <f>+'PAA V30'!$R961-'PAA V30'!$S961</f>
        <v>0</v>
      </c>
      <c r="U961" s="1327"/>
      <c r="V961" s="1327"/>
      <c r="W961" s="1327"/>
    </row>
    <row r="962" spans="1:23" s="1204" customFormat="1" ht="75" hidden="1" x14ac:dyDescent="0.2">
      <c r="A962" s="1169">
        <v>20221066</v>
      </c>
      <c r="B962" s="1169">
        <v>7655</v>
      </c>
      <c r="C962" s="1326" t="s">
        <v>648</v>
      </c>
      <c r="D962" s="1187" t="s">
        <v>696</v>
      </c>
      <c r="E962" s="1171">
        <v>80111600</v>
      </c>
      <c r="F962" s="1171" t="s">
        <v>1581</v>
      </c>
      <c r="G962" s="1343">
        <v>44904</v>
      </c>
      <c r="H962" s="1343">
        <v>44907</v>
      </c>
      <c r="I962" s="1173">
        <v>2</v>
      </c>
      <c r="J962" s="1173" t="s">
        <v>677</v>
      </c>
      <c r="K962" s="1174" t="s">
        <v>678</v>
      </c>
      <c r="L962" s="1175" t="s">
        <v>679</v>
      </c>
      <c r="M962" s="1176">
        <v>10350000</v>
      </c>
      <c r="N962" s="1344" t="s">
        <v>784</v>
      </c>
      <c r="O962" s="1171" t="s">
        <v>771</v>
      </c>
      <c r="P962" s="1218" t="s">
        <v>759</v>
      </c>
      <c r="R962" s="1327"/>
      <c r="S962" s="1327"/>
      <c r="T962" s="1327">
        <f>+'PAA V30'!$R962-'PAA V30'!$S962</f>
        <v>0</v>
      </c>
      <c r="U962" s="1327"/>
      <c r="V962" s="1327"/>
      <c r="W962" s="1327"/>
    </row>
    <row r="963" spans="1:23" s="1204" customFormat="1" ht="75" hidden="1" x14ac:dyDescent="0.2">
      <c r="A963" s="1169">
        <v>20221067</v>
      </c>
      <c r="B963" s="1169">
        <v>7655</v>
      </c>
      <c r="C963" s="1326" t="s">
        <v>648</v>
      </c>
      <c r="D963" s="1187" t="s">
        <v>690</v>
      </c>
      <c r="E963" s="1171">
        <v>80111600</v>
      </c>
      <c r="F963" s="1171" t="s">
        <v>1582</v>
      </c>
      <c r="G963" s="1343">
        <v>44890</v>
      </c>
      <c r="H963" s="1343">
        <v>44890</v>
      </c>
      <c r="I963" s="1173">
        <v>1</v>
      </c>
      <c r="J963" s="1173" t="s">
        <v>677</v>
      </c>
      <c r="K963" s="1174" t="s">
        <v>678</v>
      </c>
      <c r="L963" s="1175" t="s">
        <v>679</v>
      </c>
      <c r="M963" s="1176">
        <v>1800000</v>
      </c>
      <c r="N963" s="1344" t="s">
        <v>784</v>
      </c>
      <c r="O963" s="1171" t="s">
        <v>771</v>
      </c>
      <c r="P963" s="1218" t="s">
        <v>759</v>
      </c>
      <c r="R963" s="1327"/>
      <c r="S963" s="1327"/>
      <c r="T963" s="1327">
        <f>+'PAA V30'!$R963-'PAA V30'!$S963</f>
        <v>0</v>
      </c>
      <c r="U963" s="1327"/>
      <c r="V963" s="1327"/>
      <c r="W963" s="1327"/>
    </row>
    <row r="964" spans="1:23" s="1204" customFormat="1" ht="75" hidden="1" x14ac:dyDescent="0.2">
      <c r="A964" s="1169">
        <v>20221068</v>
      </c>
      <c r="B964" s="1169">
        <v>7655</v>
      </c>
      <c r="C964" s="1326" t="s">
        <v>648</v>
      </c>
      <c r="D964" s="1187" t="s">
        <v>690</v>
      </c>
      <c r="E964" s="1171">
        <v>80111600</v>
      </c>
      <c r="F964" s="1171" t="s">
        <v>1583</v>
      </c>
      <c r="G964" s="1343">
        <v>44890</v>
      </c>
      <c r="H964" s="1343">
        <v>44890</v>
      </c>
      <c r="I964" s="1173">
        <v>1</v>
      </c>
      <c r="J964" s="1173" t="s">
        <v>677</v>
      </c>
      <c r="K964" s="1174" t="s">
        <v>678</v>
      </c>
      <c r="L964" s="1175" t="s">
        <v>679</v>
      </c>
      <c r="M964" s="1176">
        <v>4500000</v>
      </c>
      <c r="N964" s="1344" t="s">
        <v>784</v>
      </c>
      <c r="O964" s="1171" t="s">
        <v>771</v>
      </c>
      <c r="P964" s="1218" t="s">
        <v>759</v>
      </c>
      <c r="R964" s="1327"/>
      <c r="S964" s="1327"/>
      <c r="T964" s="1327">
        <f>+'PAA V30'!$R964-'PAA V30'!$S964</f>
        <v>0</v>
      </c>
      <c r="U964" s="1327"/>
      <c r="V964" s="1327"/>
      <c r="W964" s="1327"/>
    </row>
    <row r="965" spans="1:23" s="1204" customFormat="1" ht="90" hidden="1" x14ac:dyDescent="0.2">
      <c r="A965" s="1169">
        <v>20221069</v>
      </c>
      <c r="B965" s="1169">
        <v>7655</v>
      </c>
      <c r="C965" s="1326" t="s">
        <v>648</v>
      </c>
      <c r="D965" s="1187" t="s">
        <v>690</v>
      </c>
      <c r="E965" s="1171">
        <v>80111600</v>
      </c>
      <c r="F965" s="1171" t="s">
        <v>1584</v>
      </c>
      <c r="G965" s="1343">
        <v>44890</v>
      </c>
      <c r="H965" s="1343">
        <v>44890</v>
      </c>
      <c r="I965" s="1173">
        <v>2</v>
      </c>
      <c r="J965" s="1173" t="s">
        <v>677</v>
      </c>
      <c r="K965" s="1174" t="s">
        <v>678</v>
      </c>
      <c r="L965" s="1175" t="s">
        <v>679</v>
      </c>
      <c r="M965" s="1176">
        <v>7700000</v>
      </c>
      <c r="N965" s="1344" t="s">
        <v>784</v>
      </c>
      <c r="O965" s="1171" t="s">
        <v>771</v>
      </c>
      <c r="P965" s="1218" t="s">
        <v>759</v>
      </c>
      <c r="R965" s="1327"/>
      <c r="S965" s="1327"/>
      <c r="T965" s="1327">
        <f>+'PAA V30'!$R965-'PAA V30'!$S965</f>
        <v>0</v>
      </c>
      <c r="U965" s="1327"/>
      <c r="V965" s="1327"/>
      <c r="W965" s="1327"/>
    </row>
    <row r="966" spans="1:23" s="1204" customFormat="1" ht="120" hidden="1" x14ac:dyDescent="0.2">
      <c r="A966" s="1169">
        <v>20221070</v>
      </c>
      <c r="B966" s="1169">
        <v>7655</v>
      </c>
      <c r="C966" s="1326" t="s">
        <v>648</v>
      </c>
      <c r="D966" s="1187" t="s">
        <v>690</v>
      </c>
      <c r="E966" s="1171" t="s">
        <v>97</v>
      </c>
      <c r="F966" s="1171" t="s">
        <v>1585</v>
      </c>
      <c r="G966" s="1343" t="s">
        <v>97</v>
      </c>
      <c r="H966" s="1343" t="s">
        <v>97</v>
      </c>
      <c r="I966" s="1173" t="s">
        <v>97</v>
      </c>
      <c r="J966" s="1173" t="s">
        <v>97</v>
      </c>
      <c r="K966" s="1174" t="s">
        <v>1586</v>
      </c>
      <c r="L966" s="1175" t="s">
        <v>679</v>
      </c>
      <c r="M966" s="1176">
        <v>455800</v>
      </c>
      <c r="N966" s="1344" t="s">
        <v>784</v>
      </c>
      <c r="O966" s="1171" t="s">
        <v>771</v>
      </c>
      <c r="P966" s="1218" t="s">
        <v>759</v>
      </c>
      <c r="R966" s="1327"/>
      <c r="S966" s="1327"/>
      <c r="T966" s="1327">
        <f>+'PAA V30'!$R966-'PAA V30'!$S966</f>
        <v>0</v>
      </c>
      <c r="U966" s="1327"/>
      <c r="V966" s="1327"/>
      <c r="W966" s="1327"/>
    </row>
    <row r="967" spans="1:23" s="1204" customFormat="1" ht="120" hidden="1" x14ac:dyDescent="0.2">
      <c r="A967" s="1169">
        <v>20221071</v>
      </c>
      <c r="B967" s="1169">
        <v>7655</v>
      </c>
      <c r="C967" s="1326" t="s">
        <v>648</v>
      </c>
      <c r="D967" s="1187" t="s">
        <v>690</v>
      </c>
      <c r="E967" s="1171" t="s">
        <v>97</v>
      </c>
      <c r="F967" s="1171" t="s">
        <v>1587</v>
      </c>
      <c r="G967" s="1343" t="s">
        <v>97</v>
      </c>
      <c r="H967" s="1343" t="s">
        <v>97</v>
      </c>
      <c r="I967" s="1173" t="s">
        <v>97</v>
      </c>
      <c r="J967" s="1173" t="s">
        <v>97</v>
      </c>
      <c r="K967" s="1174" t="s">
        <v>1586</v>
      </c>
      <c r="L967" s="1175" t="s">
        <v>679</v>
      </c>
      <c r="M967" s="1176">
        <v>812532</v>
      </c>
      <c r="N967" s="1344" t="s">
        <v>784</v>
      </c>
      <c r="O967" s="1171" t="s">
        <v>771</v>
      </c>
      <c r="P967" s="1218" t="s">
        <v>759</v>
      </c>
      <c r="R967" s="1327"/>
      <c r="S967" s="1327"/>
      <c r="T967" s="1327">
        <f>+'PAA V30'!$R967-'PAA V30'!$S967</f>
        <v>0</v>
      </c>
      <c r="U967" s="1327"/>
      <c r="V967" s="1327"/>
      <c r="W967" s="1327"/>
    </row>
    <row r="968" spans="1:23" s="1204" customFormat="1" ht="120" hidden="1" x14ac:dyDescent="0.2">
      <c r="A968" s="1169">
        <v>20221072</v>
      </c>
      <c r="B968" s="1169">
        <v>7658</v>
      </c>
      <c r="C968" s="1326" t="s">
        <v>673</v>
      </c>
      <c r="D968" s="1187" t="s">
        <v>690</v>
      </c>
      <c r="E968" s="1171">
        <v>80111600</v>
      </c>
      <c r="F968" s="1171" t="s">
        <v>1588</v>
      </c>
      <c r="G968" s="1343">
        <v>44900</v>
      </c>
      <c r="H968" s="1343">
        <v>44900</v>
      </c>
      <c r="I968" s="1173">
        <v>3</v>
      </c>
      <c r="J968" s="1173" t="s">
        <v>677</v>
      </c>
      <c r="K968" s="1174" t="s">
        <v>678</v>
      </c>
      <c r="L968" s="1175" t="s">
        <v>783</v>
      </c>
      <c r="M968" s="1176">
        <v>27000000</v>
      </c>
      <c r="N968" s="1344" t="s">
        <v>931</v>
      </c>
      <c r="O968" s="1171" t="s">
        <v>915</v>
      </c>
      <c r="P968" s="1218" t="s">
        <v>759</v>
      </c>
      <c r="R968" s="1327"/>
      <c r="S968" s="1327"/>
      <c r="T968" s="1327">
        <f>+'PAA V30'!$R968-'PAA V30'!$S968</f>
        <v>0</v>
      </c>
      <c r="U968" s="1327"/>
      <c r="V968" s="1327"/>
      <c r="W968" s="1327"/>
    </row>
    <row r="969" spans="1:23" s="1204" customFormat="1" ht="75" hidden="1" x14ac:dyDescent="0.2">
      <c r="A969" s="1169">
        <v>20221073</v>
      </c>
      <c r="B969" s="1169">
        <v>7655</v>
      </c>
      <c r="C969" s="1326" t="s">
        <v>648</v>
      </c>
      <c r="D969" s="1187" t="s">
        <v>693</v>
      </c>
      <c r="E969" s="1171">
        <v>80111600</v>
      </c>
      <c r="F969" s="1171" t="s">
        <v>1463</v>
      </c>
      <c r="G969" s="1343">
        <v>44942</v>
      </c>
      <c r="H969" s="1343">
        <v>44942</v>
      </c>
      <c r="I969" s="1173">
        <v>3</v>
      </c>
      <c r="J969" s="1173" t="s">
        <v>677</v>
      </c>
      <c r="K969" s="1174" t="s">
        <v>678</v>
      </c>
      <c r="L969" s="1175" t="s">
        <v>679</v>
      </c>
      <c r="M969" s="1176">
        <v>24000000</v>
      </c>
      <c r="N969" s="1344" t="s">
        <v>784</v>
      </c>
      <c r="O969" s="1171" t="s">
        <v>771</v>
      </c>
      <c r="P969" s="1218" t="s">
        <v>759</v>
      </c>
      <c r="R969" s="1327"/>
      <c r="S969" s="1327"/>
      <c r="T969" s="1327">
        <f>+'PAA V30'!$R969-'PAA V30'!$S969</f>
        <v>0</v>
      </c>
      <c r="U969" s="1327"/>
      <c r="V969" s="1327"/>
      <c r="W969" s="1327"/>
    </row>
    <row r="970" spans="1:23" s="1204" customFormat="1" ht="45" hidden="1" x14ac:dyDescent="0.2">
      <c r="A970" s="1169">
        <v>20221074</v>
      </c>
      <c r="B970" s="1169" t="s">
        <v>459</v>
      </c>
      <c r="C970" s="1326"/>
      <c r="D970" s="1187" t="s">
        <v>683</v>
      </c>
      <c r="E970" s="1171"/>
      <c r="F970" s="1171" t="s">
        <v>1589</v>
      </c>
      <c r="G970" s="1343">
        <v>44905</v>
      </c>
      <c r="H970" s="1343">
        <v>44905</v>
      </c>
      <c r="I970" s="1173">
        <v>2.4</v>
      </c>
      <c r="J970" s="1173" t="s">
        <v>677</v>
      </c>
      <c r="K970" s="1174"/>
      <c r="L970" s="1175"/>
      <c r="M970" s="1176">
        <v>22950000</v>
      </c>
      <c r="N970" s="1344"/>
      <c r="O970" s="1171"/>
      <c r="P970" s="1218" t="s">
        <v>682</v>
      </c>
      <c r="R970" s="1327"/>
      <c r="S970" s="1327"/>
      <c r="T970" s="1327">
        <f>+'PAA V30'!$R970-'PAA V30'!$S970</f>
        <v>0</v>
      </c>
      <c r="U970" s="1327"/>
      <c r="V970" s="1327"/>
      <c r="W970" s="1327"/>
    </row>
    <row r="971" spans="1:23" s="1204" customFormat="1" ht="45" hidden="1" x14ac:dyDescent="0.2">
      <c r="A971" s="1169">
        <v>20221075</v>
      </c>
      <c r="B971" s="1169" t="s">
        <v>459</v>
      </c>
      <c r="C971" s="1326"/>
      <c r="D971" s="1187" t="s">
        <v>683</v>
      </c>
      <c r="E971" s="1171"/>
      <c r="F971" s="1171" t="s">
        <v>1589</v>
      </c>
      <c r="G971" s="1343">
        <v>44905</v>
      </c>
      <c r="H971" s="1343">
        <v>44905</v>
      </c>
      <c r="I971" s="1173">
        <v>2.4</v>
      </c>
      <c r="J971" s="1173" t="s">
        <v>677</v>
      </c>
      <c r="K971" s="1174"/>
      <c r="L971" s="1175"/>
      <c r="M971" s="1176">
        <v>20400000</v>
      </c>
      <c r="N971" s="1344"/>
      <c r="O971" s="1171"/>
      <c r="P971" s="1218" t="s">
        <v>682</v>
      </c>
      <c r="R971" s="1327"/>
      <c r="S971" s="1327"/>
      <c r="T971" s="1327">
        <f>+'PAA V30'!$R971-'PAA V30'!$S971</f>
        <v>0</v>
      </c>
      <c r="U971" s="1327"/>
      <c r="V971" s="1327"/>
      <c r="W971" s="1327"/>
    </row>
    <row r="972" spans="1:23" s="1204" customFormat="1" ht="75" hidden="1" x14ac:dyDescent="0.2">
      <c r="A972" s="1169">
        <v>20221076</v>
      </c>
      <c r="B972" s="1169" t="s">
        <v>459</v>
      </c>
      <c r="C972" s="1326"/>
      <c r="D972" s="1187" t="s">
        <v>683</v>
      </c>
      <c r="E972" s="1171"/>
      <c r="F972" s="1171" t="s">
        <v>1590</v>
      </c>
      <c r="G972" s="1343">
        <v>44905</v>
      </c>
      <c r="H972" s="1343">
        <v>44905</v>
      </c>
      <c r="I972" s="1173">
        <v>0.81</v>
      </c>
      <c r="J972" s="1173" t="s">
        <v>677</v>
      </c>
      <c r="K972" s="1174"/>
      <c r="L972" s="1175"/>
      <c r="M972" s="1176">
        <v>6600000</v>
      </c>
      <c r="N972" s="1344"/>
      <c r="O972" s="1171"/>
      <c r="P972" s="1218" t="s">
        <v>759</v>
      </c>
      <c r="R972" s="1327"/>
      <c r="S972" s="1327"/>
      <c r="T972" s="1327">
        <f>+'PAA V30'!$R972-'PAA V30'!$S972</f>
        <v>0</v>
      </c>
      <c r="U972" s="1327"/>
      <c r="V972" s="1327"/>
      <c r="W972" s="1327"/>
    </row>
    <row r="973" spans="1:23" s="1204" customFormat="1" ht="75" hidden="1" x14ac:dyDescent="0.2">
      <c r="A973" s="1169">
        <v>20221077</v>
      </c>
      <c r="B973" s="1169">
        <v>7658</v>
      </c>
      <c r="C973" s="1326" t="s">
        <v>673</v>
      </c>
      <c r="D973" s="1187" t="s">
        <v>696</v>
      </c>
      <c r="E973" s="1171">
        <v>80111600</v>
      </c>
      <c r="F973" s="1171" t="s">
        <v>1591</v>
      </c>
      <c r="G973" s="1343">
        <v>44904</v>
      </c>
      <c r="H973" s="1343">
        <v>44907</v>
      </c>
      <c r="I973" s="1173">
        <v>2</v>
      </c>
      <c r="J973" s="1173" t="s">
        <v>677</v>
      </c>
      <c r="K973" s="1174" t="s">
        <v>678</v>
      </c>
      <c r="L973" s="1175" t="s">
        <v>679</v>
      </c>
      <c r="M973" s="1176">
        <v>10000000</v>
      </c>
      <c r="N973" s="1344" t="s">
        <v>765</v>
      </c>
      <c r="O973" s="1171" t="s">
        <v>764</v>
      </c>
      <c r="P973" s="1218" t="s">
        <v>682</v>
      </c>
      <c r="R973" s="1327"/>
      <c r="S973" s="1327"/>
      <c r="T973" s="1327">
        <f>+'PAA V30'!$R973-'PAA V30'!$S973</f>
        <v>0</v>
      </c>
      <c r="U973" s="1327"/>
      <c r="V973" s="1327"/>
      <c r="W973" s="1327"/>
    </row>
    <row r="974" spans="1:23" s="1204" customFormat="1" ht="120" hidden="1" x14ac:dyDescent="0.2">
      <c r="A974" s="1169">
        <v>20221078</v>
      </c>
      <c r="B974" s="1169">
        <v>7637</v>
      </c>
      <c r="C974" s="1326" t="s">
        <v>1482</v>
      </c>
      <c r="D974" s="1187" t="s">
        <v>674</v>
      </c>
      <c r="E974" s="1171" t="s">
        <v>1592</v>
      </c>
      <c r="F974" s="1171" t="s">
        <v>1593</v>
      </c>
      <c r="G974" s="1343">
        <v>44902</v>
      </c>
      <c r="H974" s="1343">
        <v>44911</v>
      </c>
      <c r="I974" s="1173">
        <v>5</v>
      </c>
      <c r="J974" s="1173" t="s">
        <v>697</v>
      </c>
      <c r="K974" s="1174" t="s">
        <v>774</v>
      </c>
      <c r="L974" s="1175" t="s">
        <v>738</v>
      </c>
      <c r="M974" s="1176">
        <f>15000000-1500000</f>
        <v>13500000</v>
      </c>
      <c r="N974" s="1344" t="s">
        <v>680</v>
      </c>
      <c r="O974" s="1171" t="s">
        <v>681</v>
      </c>
      <c r="P974" s="1218" t="s">
        <v>759</v>
      </c>
      <c r="R974" s="1327"/>
      <c r="S974" s="1327"/>
      <c r="T974" s="1327">
        <f>+'PAA V30'!$R974-'PAA V30'!$S974</f>
        <v>0</v>
      </c>
      <c r="U974" s="1327"/>
      <c r="V974" s="1327"/>
      <c r="W974" s="1327"/>
    </row>
    <row r="975" spans="1:23" s="1204" customFormat="1" ht="120" hidden="1" x14ac:dyDescent="0.2">
      <c r="A975" s="1169">
        <v>20221079</v>
      </c>
      <c r="B975" s="1169">
        <v>7637</v>
      </c>
      <c r="C975" s="1326" t="s">
        <v>1482</v>
      </c>
      <c r="D975" s="1187" t="s">
        <v>674</v>
      </c>
      <c r="E975" s="1171" t="s">
        <v>1592</v>
      </c>
      <c r="F975" s="1171" t="s">
        <v>1593</v>
      </c>
      <c r="G975" s="1343">
        <v>44902</v>
      </c>
      <c r="H975" s="1343">
        <v>44911</v>
      </c>
      <c r="I975" s="1173">
        <v>5</v>
      </c>
      <c r="J975" s="1173" t="s">
        <v>697</v>
      </c>
      <c r="K975" s="1174" t="s">
        <v>678</v>
      </c>
      <c r="L975" s="1175" t="s">
        <v>738</v>
      </c>
      <c r="M975" s="1176">
        <f>5430000+34998495+38544000</f>
        <v>78972495</v>
      </c>
      <c r="N975" s="1344" t="s">
        <v>680</v>
      </c>
      <c r="O975" s="1171" t="s">
        <v>681</v>
      </c>
      <c r="P975" s="1218" t="s">
        <v>759</v>
      </c>
      <c r="R975" s="1327"/>
      <c r="S975" s="1327"/>
      <c r="T975" s="1327">
        <f>+'PAA V30'!$R975-'PAA V30'!$S975</f>
        <v>0</v>
      </c>
      <c r="U975" s="1327"/>
      <c r="V975" s="1327"/>
      <c r="W975" s="1327"/>
    </row>
    <row r="976" spans="1:23" s="1204" customFormat="1" ht="75" hidden="1" x14ac:dyDescent="0.2">
      <c r="A976" s="1169">
        <v>20221080</v>
      </c>
      <c r="B976" s="1169">
        <v>7655</v>
      </c>
      <c r="C976" s="1326" t="s">
        <v>648</v>
      </c>
      <c r="D976" s="1187" t="s">
        <v>674</v>
      </c>
      <c r="E976" s="1171">
        <v>80111600</v>
      </c>
      <c r="F976" s="1171" t="s">
        <v>1594</v>
      </c>
      <c r="G976" s="1343">
        <v>44897</v>
      </c>
      <c r="H976" s="1343">
        <v>44911</v>
      </c>
      <c r="I976" s="1173">
        <v>2</v>
      </c>
      <c r="J976" s="1173" t="s">
        <v>677</v>
      </c>
      <c r="K976" s="1174" t="s">
        <v>678</v>
      </c>
      <c r="L976" s="1175" t="s">
        <v>679</v>
      </c>
      <c r="M976" s="1176">
        <v>17000000</v>
      </c>
      <c r="N976" s="1344" t="s">
        <v>784</v>
      </c>
      <c r="O976" s="1171" t="s">
        <v>771</v>
      </c>
      <c r="P976" s="1218" t="s">
        <v>759</v>
      </c>
      <c r="R976" s="1327"/>
      <c r="S976" s="1327"/>
      <c r="T976" s="1327">
        <f>+'PAA V30'!$R976-'PAA V30'!$S976</f>
        <v>0</v>
      </c>
      <c r="U976" s="1327"/>
      <c r="V976" s="1327"/>
      <c r="W976" s="1327"/>
    </row>
    <row r="977" spans="1:23" s="1204" customFormat="1" ht="75" hidden="1" x14ac:dyDescent="0.2">
      <c r="A977" s="1169">
        <v>20221081</v>
      </c>
      <c r="B977" s="1169">
        <v>7655</v>
      </c>
      <c r="C977" s="1326" t="s">
        <v>648</v>
      </c>
      <c r="D977" s="1187" t="s">
        <v>674</v>
      </c>
      <c r="E977" s="1171">
        <v>80111600</v>
      </c>
      <c r="F977" s="1171" t="s">
        <v>1595</v>
      </c>
      <c r="G977" s="1343">
        <v>44897</v>
      </c>
      <c r="H977" s="1343">
        <v>44911</v>
      </c>
      <c r="I977" s="1173">
        <v>2</v>
      </c>
      <c r="J977" s="1173" t="s">
        <v>677</v>
      </c>
      <c r="K977" s="1174" t="s">
        <v>678</v>
      </c>
      <c r="L977" s="1175" t="s">
        <v>679</v>
      </c>
      <c r="M977" s="1176">
        <v>14000000</v>
      </c>
      <c r="N977" s="1344" t="s">
        <v>784</v>
      </c>
      <c r="O977" s="1171" t="s">
        <v>771</v>
      </c>
      <c r="P977" s="1218" t="s">
        <v>759</v>
      </c>
      <c r="R977" s="1327"/>
      <c r="S977" s="1327"/>
      <c r="T977" s="1327">
        <f>+'PAA V30'!$R977-'PAA V30'!$S977</f>
        <v>0</v>
      </c>
      <c r="U977" s="1327"/>
      <c r="V977" s="1327"/>
      <c r="W977" s="1327"/>
    </row>
    <row r="978" spans="1:23" s="1204" customFormat="1" ht="90" hidden="1" x14ac:dyDescent="0.2">
      <c r="A978" s="1169">
        <v>20221082</v>
      </c>
      <c r="B978" s="1169">
        <v>7655</v>
      </c>
      <c r="C978" s="1326" t="s">
        <v>1596</v>
      </c>
      <c r="D978" s="1187" t="s">
        <v>674</v>
      </c>
      <c r="E978" s="1171">
        <v>80111600</v>
      </c>
      <c r="F978" s="1171" t="s">
        <v>1597</v>
      </c>
      <c r="G978" s="1343">
        <v>44562</v>
      </c>
      <c r="H978" s="1343">
        <v>44592</v>
      </c>
      <c r="I978" s="1173">
        <v>2</v>
      </c>
      <c r="J978" s="1173" t="s">
        <v>677</v>
      </c>
      <c r="K978" s="1174" t="s">
        <v>678</v>
      </c>
      <c r="L978" s="1175" t="s">
        <v>679</v>
      </c>
      <c r="M978" s="1176">
        <v>18600000</v>
      </c>
      <c r="N978" s="1344" t="s">
        <v>784</v>
      </c>
      <c r="O978" s="1171" t="s">
        <v>771</v>
      </c>
      <c r="P978" s="1218" t="s">
        <v>759</v>
      </c>
      <c r="R978" s="1327"/>
      <c r="S978" s="1327"/>
      <c r="T978" s="1327">
        <f>+'PAA V30'!$R978-'PAA V30'!$S978</f>
        <v>0</v>
      </c>
      <c r="U978" s="1327"/>
      <c r="V978" s="1327"/>
      <c r="W978" s="1327"/>
    </row>
    <row r="979" spans="1:23" s="1204" customFormat="1" ht="75" hidden="1" x14ac:dyDescent="0.2">
      <c r="A979" s="1169">
        <v>20221083</v>
      </c>
      <c r="B979" s="1169">
        <v>7655</v>
      </c>
      <c r="C979" s="1326" t="s">
        <v>648</v>
      </c>
      <c r="D979" s="1187" t="s">
        <v>674</v>
      </c>
      <c r="E979" s="1171">
        <v>80111600</v>
      </c>
      <c r="F979" s="1171" t="s">
        <v>1598</v>
      </c>
      <c r="G979" s="1343">
        <v>44897</v>
      </c>
      <c r="H979" s="1343">
        <v>44911</v>
      </c>
      <c r="I979" s="1173">
        <v>2</v>
      </c>
      <c r="J979" s="1173" t="s">
        <v>677</v>
      </c>
      <c r="K979" s="1174" t="s">
        <v>678</v>
      </c>
      <c r="L979" s="1175" t="s">
        <v>783</v>
      </c>
      <c r="M979" s="1176">
        <v>9000000</v>
      </c>
      <c r="N979" s="1344" t="s">
        <v>784</v>
      </c>
      <c r="O979" s="1171" t="s">
        <v>771</v>
      </c>
      <c r="P979" s="1218" t="s">
        <v>759</v>
      </c>
      <c r="R979" s="1327"/>
      <c r="S979" s="1327"/>
      <c r="T979" s="1327">
        <f>+'PAA V30'!$R979-'PAA V30'!$S979</f>
        <v>0</v>
      </c>
      <c r="U979" s="1327"/>
      <c r="V979" s="1327"/>
      <c r="W979" s="1327"/>
    </row>
    <row r="980" spans="1:23" s="1204" customFormat="1" ht="75" hidden="1" x14ac:dyDescent="0.2">
      <c r="A980" s="1169">
        <v>20221084</v>
      </c>
      <c r="B980" s="1169">
        <v>7655</v>
      </c>
      <c r="C980" s="1326" t="s">
        <v>648</v>
      </c>
      <c r="D980" s="1187" t="s">
        <v>674</v>
      </c>
      <c r="E980" s="1171">
        <v>80111600</v>
      </c>
      <c r="F980" s="1171" t="s">
        <v>1486</v>
      </c>
      <c r="G980" s="1343">
        <v>44897</v>
      </c>
      <c r="H980" s="1343">
        <v>44911</v>
      </c>
      <c r="I980" s="1173">
        <v>0.5</v>
      </c>
      <c r="J980" s="1173" t="s">
        <v>677</v>
      </c>
      <c r="K980" s="1174" t="s">
        <v>678</v>
      </c>
      <c r="L980" s="1175" t="s">
        <v>679</v>
      </c>
      <c r="M980" s="1176">
        <v>2500000</v>
      </c>
      <c r="N980" s="1344" t="s">
        <v>784</v>
      </c>
      <c r="O980" s="1171" t="s">
        <v>771</v>
      </c>
      <c r="P980" s="1218" t="s">
        <v>759</v>
      </c>
      <c r="R980" s="1327"/>
      <c r="S980" s="1327"/>
      <c r="T980" s="1327">
        <f>+'PAA V30'!$R980-'PAA V30'!$S980</f>
        <v>0</v>
      </c>
      <c r="U980" s="1327"/>
      <c r="V980" s="1327"/>
      <c r="W980" s="1327"/>
    </row>
    <row r="981" spans="1:23" s="1204" customFormat="1" ht="90" hidden="1" x14ac:dyDescent="0.2">
      <c r="A981" s="1169">
        <v>20221085</v>
      </c>
      <c r="B981" s="1169">
        <v>7655</v>
      </c>
      <c r="C981" s="1326" t="s">
        <v>648</v>
      </c>
      <c r="D981" s="1187" t="s">
        <v>674</v>
      </c>
      <c r="E981" s="1171">
        <v>80111600</v>
      </c>
      <c r="F981" s="1171" t="s">
        <v>1487</v>
      </c>
      <c r="G981" s="1343">
        <v>44897</v>
      </c>
      <c r="H981" s="1343">
        <v>44911</v>
      </c>
      <c r="I981" s="1173">
        <v>2</v>
      </c>
      <c r="J981" s="1173" t="s">
        <v>677</v>
      </c>
      <c r="K981" s="1174" t="s">
        <v>678</v>
      </c>
      <c r="L981" s="1175" t="s">
        <v>679</v>
      </c>
      <c r="M981" s="1176">
        <v>14000000</v>
      </c>
      <c r="N981" s="1344" t="s">
        <v>784</v>
      </c>
      <c r="O981" s="1171" t="s">
        <v>771</v>
      </c>
      <c r="P981" s="1218" t="s">
        <v>759</v>
      </c>
      <c r="R981" s="1327"/>
      <c r="S981" s="1327"/>
      <c r="T981" s="1327">
        <f>+'PAA V30'!$R981-'PAA V30'!$S981</f>
        <v>0</v>
      </c>
      <c r="U981" s="1327"/>
      <c r="V981" s="1327"/>
      <c r="W981" s="1327"/>
    </row>
    <row r="982" spans="1:23" s="1204" customFormat="1" ht="90" hidden="1" x14ac:dyDescent="0.2">
      <c r="A982" s="1169">
        <v>20221086</v>
      </c>
      <c r="B982" s="1169">
        <v>7655</v>
      </c>
      <c r="C982" s="1326" t="s">
        <v>648</v>
      </c>
      <c r="D982" s="1187" t="s">
        <v>674</v>
      </c>
      <c r="E982" s="1171">
        <v>80111600</v>
      </c>
      <c r="F982" s="1171" t="s">
        <v>1599</v>
      </c>
      <c r="G982" s="1343">
        <v>44897</v>
      </c>
      <c r="H982" s="1343">
        <v>44911</v>
      </c>
      <c r="I982" s="1173">
        <v>2</v>
      </c>
      <c r="J982" s="1173" t="s">
        <v>677</v>
      </c>
      <c r="K982" s="1174" t="s">
        <v>678</v>
      </c>
      <c r="L982" s="1175" t="s">
        <v>679</v>
      </c>
      <c r="M982" s="1176">
        <v>10000000</v>
      </c>
      <c r="N982" s="1344" t="s">
        <v>784</v>
      </c>
      <c r="O982" s="1171" t="s">
        <v>771</v>
      </c>
      <c r="P982" s="1218" t="s">
        <v>759</v>
      </c>
      <c r="R982" s="1327"/>
      <c r="S982" s="1327"/>
      <c r="T982" s="1327">
        <f>+'PAA V30'!$R982-'PAA V30'!$S982</f>
        <v>0</v>
      </c>
      <c r="U982" s="1327"/>
      <c r="V982" s="1327"/>
      <c r="W982" s="1327"/>
    </row>
    <row r="983" spans="1:23" s="1204" customFormat="1" ht="75" hidden="1" x14ac:dyDescent="0.2">
      <c r="A983" s="1169">
        <v>20221087</v>
      </c>
      <c r="B983" s="1169">
        <v>7655</v>
      </c>
      <c r="C983" s="1326" t="s">
        <v>648</v>
      </c>
      <c r="D983" s="1187" t="s">
        <v>674</v>
      </c>
      <c r="E983" s="1171">
        <v>80111600</v>
      </c>
      <c r="F983" s="1171" t="s">
        <v>1492</v>
      </c>
      <c r="G983" s="1343">
        <v>44897</v>
      </c>
      <c r="H983" s="1343">
        <v>44911</v>
      </c>
      <c r="I983" s="1173">
        <v>1</v>
      </c>
      <c r="J983" s="1173" t="s">
        <v>677</v>
      </c>
      <c r="K983" s="1174" t="s">
        <v>678</v>
      </c>
      <c r="L983" s="1175" t="s">
        <v>679</v>
      </c>
      <c r="M983" s="1176">
        <v>5000000</v>
      </c>
      <c r="N983" s="1344" t="s">
        <v>784</v>
      </c>
      <c r="O983" s="1171" t="s">
        <v>771</v>
      </c>
      <c r="P983" s="1218" t="s">
        <v>759</v>
      </c>
      <c r="R983" s="1327"/>
      <c r="S983" s="1327"/>
      <c r="T983" s="1327">
        <f>+'PAA V30'!$R983-'PAA V30'!$S983</f>
        <v>0</v>
      </c>
      <c r="U983" s="1327"/>
      <c r="V983" s="1327"/>
      <c r="W983" s="1327"/>
    </row>
    <row r="984" spans="1:23" s="1204" customFormat="1" ht="75" hidden="1" x14ac:dyDescent="0.2">
      <c r="A984" s="1169">
        <v>20221088</v>
      </c>
      <c r="B984" s="1169">
        <v>7655</v>
      </c>
      <c r="C984" s="1326" t="s">
        <v>648</v>
      </c>
      <c r="D984" s="1187" t="s">
        <v>674</v>
      </c>
      <c r="E984" s="1171">
        <v>80111600</v>
      </c>
      <c r="F984" s="1171" t="s">
        <v>1600</v>
      </c>
      <c r="G984" s="1343">
        <v>44897</v>
      </c>
      <c r="H984" s="1343">
        <v>44911</v>
      </c>
      <c r="I984" s="1173">
        <v>1</v>
      </c>
      <c r="J984" s="1173" t="s">
        <v>677</v>
      </c>
      <c r="K984" s="1174" t="s">
        <v>678</v>
      </c>
      <c r="L984" s="1175" t="s">
        <v>679</v>
      </c>
      <c r="M984" s="1176">
        <v>4500000</v>
      </c>
      <c r="N984" s="1344" t="s">
        <v>784</v>
      </c>
      <c r="O984" s="1171" t="s">
        <v>771</v>
      </c>
      <c r="P984" s="1218" t="s">
        <v>759</v>
      </c>
      <c r="R984" s="1327"/>
      <c r="S984" s="1327"/>
      <c r="T984" s="1327">
        <f>+'PAA V30'!$R984-'PAA V30'!$S984</f>
        <v>0</v>
      </c>
      <c r="U984" s="1327"/>
      <c r="V984" s="1327"/>
      <c r="W984" s="1327"/>
    </row>
    <row r="985" spans="1:23" s="1204" customFormat="1" ht="75" hidden="1" x14ac:dyDescent="0.2">
      <c r="A985" s="1169">
        <v>20221089</v>
      </c>
      <c r="B985" s="1169">
        <v>7655</v>
      </c>
      <c r="C985" s="1326" t="s">
        <v>648</v>
      </c>
      <c r="D985" s="1187" t="s">
        <v>674</v>
      </c>
      <c r="E985" s="1171">
        <v>80111600</v>
      </c>
      <c r="F985" s="1171" t="s">
        <v>1601</v>
      </c>
      <c r="G985" s="1343">
        <v>44897</v>
      </c>
      <c r="H985" s="1343">
        <v>44911</v>
      </c>
      <c r="I985" s="1173">
        <v>2</v>
      </c>
      <c r="J985" s="1173" t="s">
        <v>677</v>
      </c>
      <c r="K985" s="1174" t="s">
        <v>678</v>
      </c>
      <c r="L985" s="1175" t="s">
        <v>679</v>
      </c>
      <c r="M985" s="1176">
        <v>12600000</v>
      </c>
      <c r="N985" s="1344" t="s">
        <v>784</v>
      </c>
      <c r="O985" s="1171" t="s">
        <v>771</v>
      </c>
      <c r="P985" s="1218" t="s">
        <v>759</v>
      </c>
      <c r="R985" s="1327"/>
      <c r="S985" s="1327"/>
      <c r="T985" s="1327">
        <f>+'PAA V30'!$R985-'PAA V30'!$S985</f>
        <v>0</v>
      </c>
      <c r="U985" s="1327"/>
      <c r="V985" s="1327"/>
      <c r="W985" s="1327"/>
    </row>
    <row r="986" spans="1:23" s="1204" customFormat="1" ht="75" hidden="1" x14ac:dyDescent="0.2">
      <c r="A986" s="1169">
        <v>20221090</v>
      </c>
      <c r="B986" s="1169">
        <v>7655</v>
      </c>
      <c r="C986" s="1326" t="s">
        <v>648</v>
      </c>
      <c r="D986" s="1187" t="s">
        <v>674</v>
      </c>
      <c r="E986" s="1171">
        <v>80111600</v>
      </c>
      <c r="F986" s="1171" t="s">
        <v>1602</v>
      </c>
      <c r="G986" s="1343">
        <v>44897</v>
      </c>
      <c r="H986" s="1343">
        <v>44911</v>
      </c>
      <c r="I986" s="1173">
        <v>2</v>
      </c>
      <c r="J986" s="1173" t="s">
        <v>677</v>
      </c>
      <c r="K986" s="1174" t="s">
        <v>678</v>
      </c>
      <c r="L986" s="1175" t="s">
        <v>679</v>
      </c>
      <c r="M986" s="1176">
        <v>10400000</v>
      </c>
      <c r="N986" s="1344" t="s">
        <v>784</v>
      </c>
      <c r="O986" s="1171" t="s">
        <v>771</v>
      </c>
      <c r="P986" s="1218" t="s">
        <v>759</v>
      </c>
      <c r="R986" s="1327"/>
      <c r="S986" s="1327"/>
      <c r="T986" s="1327">
        <f>+'PAA V30'!$R986-'PAA V30'!$S986</f>
        <v>0</v>
      </c>
      <c r="U986" s="1327"/>
      <c r="V986" s="1327"/>
      <c r="W986" s="1327"/>
    </row>
    <row r="987" spans="1:23" s="1204" customFormat="1" ht="75" hidden="1" x14ac:dyDescent="0.2">
      <c r="A987" s="1169">
        <v>20221091</v>
      </c>
      <c r="B987" s="1169">
        <v>7655</v>
      </c>
      <c r="C987" s="1326" t="s">
        <v>648</v>
      </c>
      <c r="D987" s="1187" t="s">
        <v>674</v>
      </c>
      <c r="E987" s="1171">
        <v>80111600</v>
      </c>
      <c r="F987" s="1171" t="s">
        <v>1603</v>
      </c>
      <c r="G987" s="1343">
        <v>44897</v>
      </c>
      <c r="H987" s="1343">
        <v>44911</v>
      </c>
      <c r="I987" s="1173">
        <v>1</v>
      </c>
      <c r="J987" s="1173" t="s">
        <v>677</v>
      </c>
      <c r="K987" s="1174" t="s">
        <v>678</v>
      </c>
      <c r="L987" s="1175" t="s">
        <v>679</v>
      </c>
      <c r="M987" s="1176">
        <v>3350000</v>
      </c>
      <c r="N987" s="1344" t="s">
        <v>784</v>
      </c>
      <c r="O987" s="1171" t="s">
        <v>771</v>
      </c>
      <c r="P987" s="1218" t="s">
        <v>759</v>
      </c>
      <c r="R987" s="1327"/>
      <c r="S987" s="1327"/>
      <c r="T987" s="1327">
        <f>+'PAA V30'!$R987-'PAA V30'!$S987</f>
        <v>0</v>
      </c>
      <c r="U987" s="1327"/>
      <c r="V987" s="1327"/>
      <c r="W987" s="1327"/>
    </row>
    <row r="988" spans="1:23" s="1204" customFormat="1" ht="75" hidden="1" x14ac:dyDescent="0.2">
      <c r="A988" s="1169">
        <v>20221092</v>
      </c>
      <c r="B988" s="1169">
        <v>7655</v>
      </c>
      <c r="C988" s="1326" t="s">
        <v>648</v>
      </c>
      <c r="D988" s="1187" t="s">
        <v>674</v>
      </c>
      <c r="E988" s="1171">
        <v>80111600</v>
      </c>
      <c r="F988" s="1171" t="s">
        <v>1604</v>
      </c>
      <c r="G988" s="1343">
        <v>44897</v>
      </c>
      <c r="H988" s="1343">
        <v>44911</v>
      </c>
      <c r="I988" s="1173">
        <v>1</v>
      </c>
      <c r="J988" s="1173" t="s">
        <v>677</v>
      </c>
      <c r="K988" s="1174" t="s">
        <v>678</v>
      </c>
      <c r="L988" s="1175" t="s">
        <v>679</v>
      </c>
      <c r="M988" s="1176">
        <v>10000000</v>
      </c>
      <c r="N988" s="1344" t="s">
        <v>784</v>
      </c>
      <c r="O988" s="1171" t="s">
        <v>771</v>
      </c>
      <c r="P988" s="1218" t="s">
        <v>759</v>
      </c>
      <c r="R988" s="1327"/>
      <c r="S988" s="1327"/>
      <c r="T988" s="1327">
        <f>+'PAA V30'!$R988-'PAA V30'!$S988</f>
        <v>0</v>
      </c>
      <c r="U988" s="1327"/>
      <c r="V988" s="1327"/>
      <c r="W988" s="1327"/>
    </row>
    <row r="989" spans="1:23" s="1204" customFormat="1" ht="90" hidden="1" x14ac:dyDescent="0.2">
      <c r="A989" s="1169">
        <v>20221093</v>
      </c>
      <c r="B989" s="1169">
        <v>7655</v>
      </c>
      <c r="C989" s="1326" t="s">
        <v>648</v>
      </c>
      <c r="D989" s="1187" t="s">
        <v>646</v>
      </c>
      <c r="E989" s="1171">
        <v>80111600</v>
      </c>
      <c r="F989" s="1171" t="s">
        <v>1605</v>
      </c>
      <c r="G989" s="1343">
        <v>44904</v>
      </c>
      <c r="H989" s="1343">
        <v>44904</v>
      </c>
      <c r="I989" s="1173">
        <v>1</v>
      </c>
      <c r="J989" s="1173" t="s">
        <v>677</v>
      </c>
      <c r="K989" s="1174" t="s">
        <v>678</v>
      </c>
      <c r="L989" s="1175" t="s">
        <v>679</v>
      </c>
      <c r="M989" s="1176">
        <v>19261333</v>
      </c>
      <c r="N989" s="1344" t="s">
        <v>784</v>
      </c>
      <c r="O989" s="1171" t="s">
        <v>771</v>
      </c>
      <c r="P989" s="1218" t="s">
        <v>759</v>
      </c>
      <c r="R989" s="1327"/>
      <c r="S989" s="1327"/>
      <c r="T989" s="1327">
        <f>+'PAA V30'!$R989-'PAA V30'!$S989</f>
        <v>0</v>
      </c>
      <c r="U989" s="1327"/>
      <c r="V989" s="1327"/>
      <c r="W989" s="1327"/>
    </row>
    <row r="990" spans="1:23" s="1204" customFormat="1" ht="90" hidden="1" x14ac:dyDescent="0.2">
      <c r="A990" s="1169">
        <v>20221094</v>
      </c>
      <c r="B990" s="1169">
        <v>7655</v>
      </c>
      <c r="C990" s="1326" t="s">
        <v>648</v>
      </c>
      <c r="D990" s="1187" t="s">
        <v>646</v>
      </c>
      <c r="E990" s="1171">
        <v>80111600</v>
      </c>
      <c r="F990" s="1171" t="s">
        <v>1606</v>
      </c>
      <c r="G990" s="1343">
        <v>44904</v>
      </c>
      <c r="H990" s="1343">
        <v>44904</v>
      </c>
      <c r="I990" s="1173">
        <v>1</v>
      </c>
      <c r="J990" s="1173" t="s">
        <v>677</v>
      </c>
      <c r="K990" s="1174" t="s">
        <v>678</v>
      </c>
      <c r="L990" s="1175" t="s">
        <v>679</v>
      </c>
      <c r="M990" s="1176">
        <v>13800000</v>
      </c>
      <c r="N990" s="1344" t="s">
        <v>784</v>
      </c>
      <c r="O990" s="1171" t="s">
        <v>771</v>
      </c>
      <c r="P990" s="1218" t="s">
        <v>759</v>
      </c>
      <c r="R990" s="1327"/>
      <c r="S990" s="1327"/>
      <c r="T990" s="1327">
        <f>+'PAA V30'!$R990-'PAA V30'!$S990</f>
        <v>0</v>
      </c>
      <c r="U990" s="1327"/>
      <c r="V990" s="1327"/>
      <c r="W990" s="1327"/>
    </row>
    <row r="991" spans="1:23" s="1204" customFormat="1" ht="75" hidden="1" x14ac:dyDescent="0.2">
      <c r="A991" s="1169">
        <v>20221095</v>
      </c>
      <c r="B991" s="1169">
        <v>7655</v>
      </c>
      <c r="C991" s="1326" t="s">
        <v>648</v>
      </c>
      <c r="D991" s="1187" t="s">
        <v>646</v>
      </c>
      <c r="E991" s="1171">
        <v>80111600</v>
      </c>
      <c r="F991" s="1171" t="s">
        <v>1607</v>
      </c>
      <c r="G991" s="1343">
        <v>44904</v>
      </c>
      <c r="H991" s="1343">
        <v>44904</v>
      </c>
      <c r="I991" s="1173">
        <v>1</v>
      </c>
      <c r="J991" s="1173" t="s">
        <v>677</v>
      </c>
      <c r="K991" s="1174" t="s">
        <v>678</v>
      </c>
      <c r="L991" s="1175" t="s">
        <v>679</v>
      </c>
      <c r="M991" s="1176">
        <v>8401667</v>
      </c>
      <c r="N991" s="1344" t="s">
        <v>784</v>
      </c>
      <c r="O991" s="1171" t="s">
        <v>771</v>
      </c>
      <c r="P991" s="1218" t="s">
        <v>759</v>
      </c>
      <c r="R991" s="1327"/>
      <c r="S991" s="1327"/>
      <c r="T991" s="1327">
        <f>+'PAA V30'!$R991-'PAA V30'!$S991</f>
        <v>0</v>
      </c>
      <c r="U991" s="1327"/>
      <c r="V991" s="1327"/>
      <c r="W991" s="1327"/>
    </row>
    <row r="992" spans="1:23" s="1204" customFormat="1" ht="75" hidden="1" x14ac:dyDescent="0.2">
      <c r="A992" s="1169">
        <v>20221096</v>
      </c>
      <c r="B992" s="1169">
        <v>7655</v>
      </c>
      <c r="C992" s="1326" t="s">
        <v>648</v>
      </c>
      <c r="D992" s="1187" t="s">
        <v>646</v>
      </c>
      <c r="E992" s="1171">
        <v>80111600</v>
      </c>
      <c r="F992" s="1171" t="s">
        <v>1608</v>
      </c>
      <c r="G992" s="1343">
        <v>44904</v>
      </c>
      <c r="H992" s="1343">
        <v>44904</v>
      </c>
      <c r="I992" s="1173">
        <v>1</v>
      </c>
      <c r="J992" s="1173" t="s">
        <v>677</v>
      </c>
      <c r="K992" s="1174" t="s">
        <v>678</v>
      </c>
      <c r="L992" s="1175" t="s">
        <v>679</v>
      </c>
      <c r="M992" s="1176">
        <v>10650000</v>
      </c>
      <c r="N992" s="1344" t="s">
        <v>784</v>
      </c>
      <c r="O992" s="1171" t="s">
        <v>771</v>
      </c>
      <c r="P992" s="1218" t="s">
        <v>759</v>
      </c>
      <c r="R992" s="1327"/>
      <c r="S992" s="1327"/>
      <c r="T992" s="1327">
        <f>+'PAA V30'!$R992-'PAA V30'!$S992</f>
        <v>0</v>
      </c>
      <c r="U992" s="1327"/>
      <c r="V992" s="1327"/>
      <c r="W992" s="1327"/>
    </row>
    <row r="993" spans="1:23" s="1204" customFormat="1" ht="75" hidden="1" x14ac:dyDescent="0.2">
      <c r="A993" s="1169">
        <v>20221097</v>
      </c>
      <c r="B993" s="1169">
        <v>7655</v>
      </c>
      <c r="C993" s="1326" t="s">
        <v>648</v>
      </c>
      <c r="D993" s="1187" t="s">
        <v>646</v>
      </c>
      <c r="E993" s="1171">
        <v>80111600</v>
      </c>
      <c r="F993" s="1171" t="s">
        <v>1609</v>
      </c>
      <c r="G993" s="1343">
        <v>44904</v>
      </c>
      <c r="H993" s="1343">
        <v>44904</v>
      </c>
      <c r="I993" s="1173">
        <v>1</v>
      </c>
      <c r="J993" s="1173" t="s">
        <v>677</v>
      </c>
      <c r="K993" s="1174" t="s">
        <v>678</v>
      </c>
      <c r="L993" s="1175" t="s">
        <v>679</v>
      </c>
      <c r="M993" s="1176">
        <v>8401667</v>
      </c>
      <c r="N993" s="1344" t="s">
        <v>784</v>
      </c>
      <c r="O993" s="1171" t="s">
        <v>771</v>
      </c>
      <c r="P993" s="1218" t="s">
        <v>759</v>
      </c>
      <c r="R993" s="1327"/>
      <c r="S993" s="1327"/>
      <c r="T993" s="1327">
        <f>+'PAA V30'!$R993-'PAA V30'!$S993</f>
        <v>0</v>
      </c>
      <c r="U993" s="1327"/>
      <c r="V993" s="1327"/>
      <c r="W993" s="1327"/>
    </row>
    <row r="994" spans="1:23" s="1204" customFormat="1" ht="90" hidden="1" x14ac:dyDescent="0.2">
      <c r="A994" s="1169">
        <v>20221098</v>
      </c>
      <c r="B994" s="1169">
        <v>7655</v>
      </c>
      <c r="C994" s="1326" t="s">
        <v>648</v>
      </c>
      <c r="D994" s="1187" t="s">
        <v>646</v>
      </c>
      <c r="E994" s="1171">
        <v>80111600</v>
      </c>
      <c r="F994" s="1171" t="s">
        <v>1610</v>
      </c>
      <c r="G994" s="1343">
        <v>44904</v>
      </c>
      <c r="H994" s="1343">
        <v>44904</v>
      </c>
      <c r="I994" s="1173">
        <v>1</v>
      </c>
      <c r="J994" s="1173" t="s">
        <v>677</v>
      </c>
      <c r="K994" s="1174" t="s">
        <v>678</v>
      </c>
      <c r="L994" s="1175" t="s">
        <v>679</v>
      </c>
      <c r="M994" s="1176">
        <v>6600000</v>
      </c>
      <c r="N994" s="1344" t="s">
        <v>784</v>
      </c>
      <c r="O994" s="1171" t="s">
        <v>771</v>
      </c>
      <c r="P994" s="1218" t="s">
        <v>759</v>
      </c>
      <c r="R994" s="1327"/>
      <c r="S994" s="1327"/>
      <c r="T994" s="1327">
        <f>+'PAA V30'!$R994-'PAA V30'!$S994</f>
        <v>0</v>
      </c>
      <c r="U994" s="1327"/>
      <c r="V994" s="1327"/>
      <c r="W994" s="1327"/>
    </row>
    <row r="995" spans="1:23" s="1204" customFormat="1" ht="75" hidden="1" x14ac:dyDescent="0.2">
      <c r="A995" s="1169">
        <v>20221099</v>
      </c>
      <c r="B995" s="1169">
        <v>7655</v>
      </c>
      <c r="C995" s="1326" t="s">
        <v>648</v>
      </c>
      <c r="D995" s="1187" t="s">
        <v>646</v>
      </c>
      <c r="E995" s="1171">
        <v>80111600</v>
      </c>
      <c r="F995" s="1171" t="s">
        <v>1611</v>
      </c>
      <c r="G995" s="1343">
        <v>44904</v>
      </c>
      <c r="H995" s="1343">
        <v>44904</v>
      </c>
      <c r="I995" s="1173">
        <v>1</v>
      </c>
      <c r="J995" s="1173" t="s">
        <v>677</v>
      </c>
      <c r="K995" s="1174" t="s">
        <v>678</v>
      </c>
      <c r="L995" s="1175" t="s">
        <v>679</v>
      </c>
      <c r="M995" s="1176">
        <v>7928333</v>
      </c>
      <c r="N995" s="1344" t="s">
        <v>784</v>
      </c>
      <c r="O995" s="1171" t="s">
        <v>771</v>
      </c>
      <c r="P995" s="1218" t="s">
        <v>759</v>
      </c>
      <c r="R995" s="1327"/>
      <c r="S995" s="1327"/>
      <c r="T995" s="1327">
        <f>+'PAA V30'!$R995-'PAA V30'!$S995</f>
        <v>0</v>
      </c>
      <c r="U995" s="1327"/>
      <c r="V995" s="1327"/>
      <c r="W995" s="1327"/>
    </row>
    <row r="996" spans="1:23" s="1204" customFormat="1" ht="90" hidden="1" x14ac:dyDescent="0.2">
      <c r="A996" s="1169">
        <v>20221100</v>
      </c>
      <c r="B996" s="1169">
        <v>7655</v>
      </c>
      <c r="C996" s="1326" t="s">
        <v>648</v>
      </c>
      <c r="D996" s="1187" t="s">
        <v>646</v>
      </c>
      <c r="E996" s="1171">
        <v>80111600</v>
      </c>
      <c r="F996" s="1171" t="s">
        <v>1612</v>
      </c>
      <c r="G996" s="1343">
        <v>44904</v>
      </c>
      <c r="H996" s="1343">
        <v>44904</v>
      </c>
      <c r="I996" s="1173">
        <v>1</v>
      </c>
      <c r="J996" s="1173" t="s">
        <v>677</v>
      </c>
      <c r="K996" s="1174" t="s">
        <v>678</v>
      </c>
      <c r="L996" s="1175" t="s">
        <v>679</v>
      </c>
      <c r="M996" s="1176">
        <v>7700000</v>
      </c>
      <c r="N996" s="1344" t="s">
        <v>784</v>
      </c>
      <c r="O996" s="1171" t="s">
        <v>771</v>
      </c>
      <c r="P996" s="1218" t="s">
        <v>759</v>
      </c>
      <c r="R996" s="1327"/>
      <c r="S996" s="1327"/>
      <c r="T996" s="1327">
        <f>+'PAA V30'!$R996-'PAA V30'!$S996</f>
        <v>0</v>
      </c>
      <c r="U996" s="1327"/>
      <c r="V996" s="1327"/>
      <c r="W996" s="1327"/>
    </row>
    <row r="997" spans="1:23" s="1204" customFormat="1" ht="75" hidden="1" x14ac:dyDescent="0.2">
      <c r="A997" s="1169">
        <v>20221101</v>
      </c>
      <c r="B997" s="1169">
        <v>7655</v>
      </c>
      <c r="C997" s="1326" t="s">
        <v>648</v>
      </c>
      <c r="D997" s="1187" t="s">
        <v>646</v>
      </c>
      <c r="E997" s="1171">
        <v>80111600</v>
      </c>
      <c r="F997" s="1171" t="s">
        <v>1613</v>
      </c>
      <c r="G997" s="1343">
        <v>44904</v>
      </c>
      <c r="H997" s="1343">
        <v>44904</v>
      </c>
      <c r="I997" s="1173">
        <v>1</v>
      </c>
      <c r="J997" s="1173" t="s">
        <v>677</v>
      </c>
      <c r="K997" s="1174" t="s">
        <v>678</v>
      </c>
      <c r="L997" s="1175" t="s">
        <v>679</v>
      </c>
      <c r="M997" s="1176">
        <v>20300000</v>
      </c>
      <c r="N997" s="1344" t="s">
        <v>784</v>
      </c>
      <c r="O997" s="1171" t="s">
        <v>771</v>
      </c>
      <c r="P997" s="1218" t="s">
        <v>759</v>
      </c>
      <c r="R997" s="1327"/>
      <c r="S997" s="1327"/>
      <c r="T997" s="1327">
        <f>+'PAA V30'!$R997-'PAA V30'!$S997</f>
        <v>0</v>
      </c>
      <c r="U997" s="1327"/>
      <c r="V997" s="1327"/>
      <c r="W997" s="1327"/>
    </row>
    <row r="998" spans="1:23" s="1204" customFormat="1" ht="90" hidden="1" x14ac:dyDescent="0.2">
      <c r="A998" s="1169">
        <v>20221102</v>
      </c>
      <c r="B998" s="1169">
        <v>7655</v>
      </c>
      <c r="C998" s="1326" t="s">
        <v>648</v>
      </c>
      <c r="D998" s="1187" t="s">
        <v>646</v>
      </c>
      <c r="E998" s="1171">
        <v>80111600</v>
      </c>
      <c r="F998" s="1171" t="s">
        <v>1614</v>
      </c>
      <c r="G998" s="1343">
        <v>44904</v>
      </c>
      <c r="H998" s="1343">
        <v>44904</v>
      </c>
      <c r="I998" s="1173">
        <v>1</v>
      </c>
      <c r="J998" s="1173" t="s">
        <v>677</v>
      </c>
      <c r="K998" s="1174" t="s">
        <v>678</v>
      </c>
      <c r="L998" s="1175" t="s">
        <v>679</v>
      </c>
      <c r="M998" s="1176">
        <v>9100000</v>
      </c>
      <c r="N998" s="1344" t="s">
        <v>784</v>
      </c>
      <c r="O998" s="1171" t="s">
        <v>771</v>
      </c>
      <c r="P998" s="1218" t="s">
        <v>759</v>
      </c>
      <c r="R998" s="1327"/>
      <c r="S998" s="1327"/>
      <c r="T998" s="1327">
        <f>+'PAA V30'!$R998-'PAA V30'!$S998</f>
        <v>0</v>
      </c>
      <c r="U998" s="1327"/>
      <c r="V998" s="1327"/>
      <c r="W998" s="1327"/>
    </row>
    <row r="999" spans="1:23" s="1204" customFormat="1" ht="75" hidden="1" x14ac:dyDescent="0.2">
      <c r="A999" s="1169">
        <v>20221103</v>
      </c>
      <c r="B999" s="1169">
        <v>7655</v>
      </c>
      <c r="C999" s="1326" t="s">
        <v>648</v>
      </c>
      <c r="D999" s="1187" t="s">
        <v>649</v>
      </c>
      <c r="E999" s="1171">
        <v>80111600</v>
      </c>
      <c r="F999" s="1171" t="s">
        <v>1615</v>
      </c>
      <c r="G999" s="1343">
        <v>44904</v>
      </c>
      <c r="H999" s="1343">
        <v>44904</v>
      </c>
      <c r="I999" s="1173">
        <v>1</v>
      </c>
      <c r="J999" s="1173" t="s">
        <v>677</v>
      </c>
      <c r="K999" s="1174" t="s">
        <v>678</v>
      </c>
      <c r="L999" s="1175" t="s">
        <v>679</v>
      </c>
      <c r="M999" s="1176">
        <v>2800000</v>
      </c>
      <c r="N999" s="1344" t="s">
        <v>784</v>
      </c>
      <c r="O999" s="1171" t="s">
        <v>771</v>
      </c>
      <c r="P999" s="1218" t="s">
        <v>759</v>
      </c>
      <c r="R999" s="1327"/>
      <c r="S999" s="1327"/>
      <c r="T999" s="1327">
        <f>+'PAA V30'!$R999-'PAA V30'!$S999</f>
        <v>0</v>
      </c>
      <c r="U999" s="1327"/>
      <c r="V999" s="1327"/>
      <c r="W999" s="1327"/>
    </row>
    <row r="1000" spans="1:23" s="1204" customFormat="1" ht="90" hidden="1" x14ac:dyDescent="0.2">
      <c r="A1000" s="1169">
        <v>20221104</v>
      </c>
      <c r="B1000" s="1169">
        <v>7655</v>
      </c>
      <c r="C1000" s="1326" t="s">
        <v>648</v>
      </c>
      <c r="D1000" s="1187" t="s">
        <v>649</v>
      </c>
      <c r="E1000" s="1171">
        <v>80111600</v>
      </c>
      <c r="F1000" s="1171" t="s">
        <v>1616</v>
      </c>
      <c r="G1000" s="1343">
        <v>44904</v>
      </c>
      <c r="H1000" s="1343">
        <v>44904</v>
      </c>
      <c r="I1000" s="1173">
        <v>2</v>
      </c>
      <c r="J1000" s="1173" t="s">
        <v>677</v>
      </c>
      <c r="K1000" s="1174" t="s">
        <v>678</v>
      </c>
      <c r="L1000" s="1175" t="s">
        <v>679</v>
      </c>
      <c r="M1000" s="1176">
        <v>27028000</v>
      </c>
      <c r="N1000" s="1344" t="s">
        <v>784</v>
      </c>
      <c r="O1000" s="1171" t="s">
        <v>771</v>
      </c>
      <c r="P1000" s="1218" t="s">
        <v>759</v>
      </c>
      <c r="R1000" s="1327"/>
      <c r="S1000" s="1327"/>
      <c r="T1000" s="1327">
        <f>+'PAA V30'!$R1000-'PAA V30'!$S1000</f>
        <v>0</v>
      </c>
      <c r="U1000" s="1327"/>
      <c r="V1000" s="1327"/>
      <c r="W1000" s="1327"/>
    </row>
    <row r="1001" spans="1:23" s="1204" customFormat="1" ht="90" hidden="1" x14ac:dyDescent="0.2">
      <c r="A1001" s="1169">
        <v>20221105</v>
      </c>
      <c r="B1001" s="1169">
        <v>7655</v>
      </c>
      <c r="C1001" s="1326" t="s">
        <v>648</v>
      </c>
      <c r="D1001" s="1187" t="s">
        <v>649</v>
      </c>
      <c r="E1001" s="1171">
        <v>80111600</v>
      </c>
      <c r="F1001" s="1171" t="s">
        <v>1617</v>
      </c>
      <c r="G1001" s="1343">
        <v>44904</v>
      </c>
      <c r="H1001" s="1343">
        <v>44904</v>
      </c>
      <c r="I1001" s="1173">
        <v>1</v>
      </c>
      <c r="J1001" s="1173" t="s">
        <v>677</v>
      </c>
      <c r="K1001" s="1174" t="s">
        <v>678</v>
      </c>
      <c r="L1001" s="1175" t="s">
        <v>679</v>
      </c>
      <c r="M1001" s="1176">
        <v>7040000</v>
      </c>
      <c r="N1001" s="1344" t="s">
        <v>784</v>
      </c>
      <c r="O1001" s="1171" t="s">
        <v>771</v>
      </c>
      <c r="P1001" s="1218" t="s">
        <v>759</v>
      </c>
      <c r="R1001" s="1327"/>
      <c r="S1001" s="1327"/>
      <c r="T1001" s="1327">
        <f>+'PAA V30'!$R1001-'PAA V30'!$S1001</f>
        <v>0</v>
      </c>
      <c r="U1001" s="1327"/>
      <c r="V1001" s="1327"/>
      <c r="W1001" s="1327"/>
    </row>
    <row r="1002" spans="1:23" s="1204" customFormat="1" ht="120" hidden="1" x14ac:dyDescent="0.2">
      <c r="A1002" s="1169">
        <v>20221106</v>
      </c>
      <c r="B1002" s="1169">
        <v>7655</v>
      </c>
      <c r="C1002" s="1326" t="s">
        <v>648</v>
      </c>
      <c r="D1002" s="1187" t="s">
        <v>649</v>
      </c>
      <c r="E1002" s="1171">
        <v>80111600</v>
      </c>
      <c r="F1002" s="1171" t="s">
        <v>1618</v>
      </c>
      <c r="G1002" s="1343">
        <v>44904</v>
      </c>
      <c r="H1002" s="1343">
        <v>44904</v>
      </c>
      <c r="I1002" s="1173">
        <v>1</v>
      </c>
      <c r="J1002" s="1173" t="s">
        <v>677</v>
      </c>
      <c r="K1002" s="1174" t="s">
        <v>678</v>
      </c>
      <c r="L1002" s="1175" t="s">
        <v>679</v>
      </c>
      <c r="M1002" s="1176">
        <v>5133333</v>
      </c>
      <c r="N1002" s="1344" t="s">
        <v>784</v>
      </c>
      <c r="O1002" s="1171" t="s">
        <v>771</v>
      </c>
      <c r="P1002" s="1218" t="s">
        <v>759</v>
      </c>
      <c r="R1002" s="1327"/>
      <c r="S1002" s="1327"/>
      <c r="T1002" s="1327">
        <f>+'PAA V30'!$R1002-'PAA V30'!$S1002</f>
        <v>0</v>
      </c>
      <c r="U1002" s="1327"/>
      <c r="V1002" s="1327"/>
      <c r="W1002" s="1327"/>
    </row>
    <row r="1003" spans="1:23" s="1204" customFormat="1" ht="75" hidden="1" x14ac:dyDescent="0.2">
      <c r="A1003" s="1169">
        <v>20221107</v>
      </c>
      <c r="B1003" s="1169">
        <v>7655</v>
      </c>
      <c r="C1003" s="1326" t="s">
        <v>648</v>
      </c>
      <c r="D1003" s="1187" t="s">
        <v>649</v>
      </c>
      <c r="E1003" s="1171">
        <v>80111600</v>
      </c>
      <c r="F1003" s="1171" t="s">
        <v>1619</v>
      </c>
      <c r="G1003" s="1343">
        <v>44904</v>
      </c>
      <c r="H1003" s="1343">
        <v>44904</v>
      </c>
      <c r="I1003" s="1173">
        <v>1</v>
      </c>
      <c r="J1003" s="1173" t="s">
        <v>677</v>
      </c>
      <c r="K1003" s="1174" t="s">
        <v>678</v>
      </c>
      <c r="L1003" s="1175" t="s">
        <v>679</v>
      </c>
      <c r="M1003" s="1176">
        <v>4800000</v>
      </c>
      <c r="N1003" s="1344" t="s">
        <v>784</v>
      </c>
      <c r="O1003" s="1171" t="s">
        <v>771</v>
      </c>
      <c r="P1003" s="1218" t="s">
        <v>759</v>
      </c>
      <c r="R1003" s="1327"/>
      <c r="S1003" s="1327"/>
      <c r="T1003" s="1327">
        <f>+'PAA V30'!$R1003-'PAA V30'!$S1003</f>
        <v>0</v>
      </c>
      <c r="U1003" s="1327"/>
      <c r="V1003" s="1327"/>
      <c r="W1003" s="1327"/>
    </row>
    <row r="1004" spans="1:23" s="1204" customFormat="1" ht="75" hidden="1" x14ac:dyDescent="0.2">
      <c r="A1004" s="1169">
        <v>20221108</v>
      </c>
      <c r="B1004" s="1169">
        <v>7655</v>
      </c>
      <c r="C1004" s="1326" t="s">
        <v>648</v>
      </c>
      <c r="D1004" s="1187" t="s">
        <v>649</v>
      </c>
      <c r="E1004" s="1171">
        <v>80111600</v>
      </c>
      <c r="F1004" s="1171" t="s">
        <v>1620</v>
      </c>
      <c r="G1004" s="1343">
        <v>44904</v>
      </c>
      <c r="H1004" s="1343">
        <v>44904</v>
      </c>
      <c r="I1004" s="1173">
        <v>1</v>
      </c>
      <c r="J1004" s="1173" t="s">
        <v>677</v>
      </c>
      <c r="K1004" s="1174" t="s">
        <v>678</v>
      </c>
      <c r="L1004" s="1175" t="s">
        <v>679</v>
      </c>
      <c r="M1004" s="1176">
        <v>2223333</v>
      </c>
      <c r="N1004" s="1344" t="s">
        <v>784</v>
      </c>
      <c r="O1004" s="1171" t="s">
        <v>771</v>
      </c>
      <c r="P1004" s="1218" t="s">
        <v>759</v>
      </c>
      <c r="R1004" s="1327"/>
      <c r="S1004" s="1327"/>
      <c r="T1004" s="1327">
        <f>+'PAA V30'!$R1004-'PAA V30'!$S1004</f>
        <v>0</v>
      </c>
      <c r="U1004" s="1327"/>
      <c r="V1004" s="1327"/>
      <c r="W1004" s="1327"/>
    </row>
    <row r="1005" spans="1:23" s="1204" customFormat="1" ht="90" hidden="1" x14ac:dyDescent="0.2">
      <c r="A1005" s="1169">
        <v>20221109</v>
      </c>
      <c r="B1005" s="1169">
        <v>7655</v>
      </c>
      <c r="C1005" s="1326" t="s">
        <v>648</v>
      </c>
      <c r="D1005" s="1187" t="s">
        <v>649</v>
      </c>
      <c r="E1005" s="1171">
        <v>80111600</v>
      </c>
      <c r="F1005" s="1171" t="s">
        <v>1621</v>
      </c>
      <c r="G1005" s="1343">
        <v>44904</v>
      </c>
      <c r="H1005" s="1343">
        <v>44904</v>
      </c>
      <c r="I1005" s="1173">
        <v>1</v>
      </c>
      <c r="J1005" s="1173" t="s">
        <v>677</v>
      </c>
      <c r="K1005" s="1174" t="s">
        <v>678</v>
      </c>
      <c r="L1005" s="1175" t="s">
        <v>679</v>
      </c>
      <c r="M1005" s="1176">
        <v>2900000</v>
      </c>
      <c r="N1005" s="1344" t="s">
        <v>784</v>
      </c>
      <c r="O1005" s="1171" t="s">
        <v>771</v>
      </c>
      <c r="P1005" s="1218" t="s">
        <v>759</v>
      </c>
      <c r="R1005" s="1327"/>
      <c r="S1005" s="1327"/>
      <c r="T1005" s="1327">
        <f>+'PAA V30'!$R1005-'PAA V30'!$S1005</f>
        <v>0</v>
      </c>
      <c r="U1005" s="1327"/>
      <c r="V1005" s="1327"/>
      <c r="W1005" s="1327"/>
    </row>
    <row r="1006" spans="1:23" s="1204" customFormat="1" ht="75" hidden="1" x14ac:dyDescent="0.2">
      <c r="A1006" s="1169">
        <v>20221110</v>
      </c>
      <c r="B1006" s="1169">
        <v>7655</v>
      </c>
      <c r="C1006" s="1326" t="s">
        <v>648</v>
      </c>
      <c r="D1006" s="1187" t="s">
        <v>649</v>
      </c>
      <c r="E1006" s="1171">
        <v>80111600</v>
      </c>
      <c r="F1006" s="1171" t="s">
        <v>1622</v>
      </c>
      <c r="G1006" s="1343">
        <v>44904</v>
      </c>
      <c r="H1006" s="1343">
        <v>44904</v>
      </c>
      <c r="I1006" s="1173">
        <v>3</v>
      </c>
      <c r="J1006" s="1173" t="s">
        <v>677</v>
      </c>
      <c r="K1006" s="1174" t="s">
        <v>678</v>
      </c>
      <c r="L1006" s="1175" t="s">
        <v>679</v>
      </c>
      <c r="M1006" s="1176">
        <f>21000000-8600000</f>
        <v>12400000</v>
      </c>
      <c r="N1006" s="1344" t="s">
        <v>784</v>
      </c>
      <c r="O1006" s="1171" t="s">
        <v>771</v>
      </c>
      <c r="P1006" s="1218" t="s">
        <v>682</v>
      </c>
      <c r="R1006" s="1327"/>
      <c r="S1006" s="1327"/>
      <c r="T1006" s="1327">
        <f>+'PAA V30'!$R1006-'PAA V30'!$S1006</f>
        <v>0</v>
      </c>
      <c r="U1006" s="1327"/>
      <c r="V1006" s="1327"/>
      <c r="W1006" s="1327"/>
    </row>
    <row r="1007" spans="1:23" s="1204" customFormat="1" ht="120" hidden="1" x14ac:dyDescent="0.2">
      <c r="A1007" s="1169">
        <v>20221111</v>
      </c>
      <c r="B1007" s="1169">
        <v>7658</v>
      </c>
      <c r="C1007" s="1326" t="s">
        <v>673</v>
      </c>
      <c r="D1007" s="1187" t="s">
        <v>699</v>
      </c>
      <c r="E1007" s="1171">
        <v>80111600</v>
      </c>
      <c r="F1007" s="1171" t="s">
        <v>1623</v>
      </c>
      <c r="G1007" s="1343">
        <v>44910</v>
      </c>
      <c r="H1007" s="1343">
        <v>44911</v>
      </c>
      <c r="I1007" s="1173">
        <v>1</v>
      </c>
      <c r="J1007" s="1173" t="s">
        <v>677</v>
      </c>
      <c r="K1007" s="1174" t="s">
        <v>678</v>
      </c>
      <c r="L1007" s="1175" t="s">
        <v>783</v>
      </c>
      <c r="M1007" s="1176">
        <v>1595000</v>
      </c>
      <c r="N1007" s="1344" t="s">
        <v>772</v>
      </c>
      <c r="O1007" s="1171" t="s">
        <v>915</v>
      </c>
      <c r="P1007" s="1218" t="s">
        <v>759</v>
      </c>
      <c r="R1007" s="1327"/>
      <c r="S1007" s="1327"/>
      <c r="T1007" s="1327">
        <f>+'PAA V30'!$R1007-'PAA V30'!$S1007</f>
        <v>0</v>
      </c>
      <c r="U1007" s="1327"/>
      <c r="V1007" s="1327"/>
      <c r="W1007" s="1327"/>
    </row>
    <row r="1008" spans="1:23" s="1204" customFormat="1" ht="75" hidden="1" x14ac:dyDescent="0.2">
      <c r="A1008" s="1169">
        <v>20221112</v>
      </c>
      <c r="B1008" s="1169">
        <v>7655</v>
      </c>
      <c r="C1008" s="1326" t="s">
        <v>648</v>
      </c>
      <c r="D1008" s="1187" t="s">
        <v>683</v>
      </c>
      <c r="E1008" s="1171">
        <v>80111600</v>
      </c>
      <c r="F1008" s="1171" t="s">
        <v>1624</v>
      </c>
      <c r="G1008" s="1343">
        <v>44910</v>
      </c>
      <c r="H1008" s="1343">
        <v>44910</v>
      </c>
      <c r="I1008" s="1173">
        <v>4</v>
      </c>
      <c r="J1008" s="1173" t="s">
        <v>677</v>
      </c>
      <c r="K1008" s="1174" t="s">
        <v>678</v>
      </c>
      <c r="L1008" s="1175" t="s">
        <v>679</v>
      </c>
      <c r="M1008" s="1176">
        <v>18000000</v>
      </c>
      <c r="N1008" s="1344" t="s">
        <v>784</v>
      </c>
      <c r="O1008" s="1171" t="s">
        <v>771</v>
      </c>
      <c r="P1008" s="1218" t="s">
        <v>682</v>
      </c>
      <c r="R1008" s="1327"/>
      <c r="S1008" s="1327"/>
      <c r="T1008" s="1327">
        <f>+'PAA V30'!$R1008-'PAA V30'!$S1008</f>
        <v>0</v>
      </c>
      <c r="U1008" s="1327"/>
      <c r="V1008" s="1327"/>
      <c r="W1008" s="1327"/>
    </row>
    <row r="1009" spans="1:23" s="1204" customFormat="1" ht="45" hidden="1" x14ac:dyDescent="0.2">
      <c r="A1009" s="1169">
        <v>20221113</v>
      </c>
      <c r="B1009" s="1169" t="s">
        <v>459</v>
      </c>
      <c r="C1009" s="1326"/>
      <c r="D1009" s="1187" t="s">
        <v>683</v>
      </c>
      <c r="E1009" s="1171">
        <v>80111600</v>
      </c>
      <c r="F1009" s="1171" t="s">
        <v>1625</v>
      </c>
      <c r="G1009" s="1343">
        <v>44922</v>
      </c>
      <c r="H1009" s="1343">
        <v>44922</v>
      </c>
      <c r="I1009" s="1173">
        <v>4.5</v>
      </c>
      <c r="J1009" s="1173" t="s">
        <v>677</v>
      </c>
      <c r="K1009" s="1174"/>
      <c r="L1009" s="1175"/>
      <c r="M1009" s="1176">
        <f>8700000+4350000</f>
        <v>13050000</v>
      </c>
      <c r="N1009" s="1344"/>
      <c r="O1009" s="1171"/>
      <c r="P1009" s="1218" t="s">
        <v>682</v>
      </c>
      <c r="R1009" s="1327"/>
      <c r="S1009" s="1327"/>
      <c r="T1009" s="1327">
        <f>+'PAA V30'!$R1009-'PAA V30'!$S1009</f>
        <v>0</v>
      </c>
      <c r="U1009" s="1327"/>
      <c r="V1009" s="1327"/>
      <c r="W1009" s="1327"/>
    </row>
    <row r="1010" spans="1:23" s="1204" customFormat="1" ht="45" hidden="1" x14ac:dyDescent="0.2">
      <c r="A1010" s="1169">
        <v>20221114</v>
      </c>
      <c r="B1010" s="1169" t="s">
        <v>459</v>
      </c>
      <c r="C1010" s="1326"/>
      <c r="D1010" s="1187" t="s">
        <v>683</v>
      </c>
      <c r="E1010" s="1171">
        <v>80111600</v>
      </c>
      <c r="F1010" s="1171" t="s">
        <v>1625</v>
      </c>
      <c r="G1010" s="1343">
        <v>44924</v>
      </c>
      <c r="H1010" s="1343">
        <v>44924</v>
      </c>
      <c r="I1010" s="1173">
        <v>4.5</v>
      </c>
      <c r="J1010" s="1173" t="s">
        <v>677</v>
      </c>
      <c r="K1010" s="1174"/>
      <c r="L1010" s="1175"/>
      <c r="M1010" s="1176">
        <f>8700000+4350000</f>
        <v>13050000</v>
      </c>
      <c r="N1010" s="1344"/>
      <c r="O1010" s="1171"/>
      <c r="P1010" s="1218" t="s">
        <v>682</v>
      </c>
      <c r="R1010" s="1327"/>
      <c r="S1010" s="1327"/>
      <c r="T1010" s="1327">
        <f>+'PAA V30'!$R1010-'PAA V30'!$S1010</f>
        <v>0</v>
      </c>
      <c r="U1010" s="1327"/>
      <c r="V1010" s="1327"/>
      <c r="W1010" s="1327"/>
    </row>
    <row r="1011" spans="1:23" s="1204" customFormat="1" ht="60" hidden="1" x14ac:dyDescent="0.2">
      <c r="A1011" s="1169">
        <v>20221115</v>
      </c>
      <c r="B1011" s="1169" t="s">
        <v>459</v>
      </c>
      <c r="C1011" s="1326"/>
      <c r="D1011" s="1187" t="s">
        <v>683</v>
      </c>
      <c r="E1011" s="1171">
        <v>80111600</v>
      </c>
      <c r="F1011" s="1171" t="s">
        <v>1626</v>
      </c>
      <c r="G1011" s="1343">
        <v>44922</v>
      </c>
      <c r="H1011" s="1343">
        <v>44922</v>
      </c>
      <c r="I1011" s="1173">
        <v>4.8</v>
      </c>
      <c r="J1011" s="1173" t="s">
        <v>677</v>
      </c>
      <c r="K1011" s="1174"/>
      <c r="L1011" s="1175"/>
      <c r="M1011" s="1176">
        <f>20400000+4100000</f>
        <v>24500000</v>
      </c>
      <c r="N1011" s="1344"/>
      <c r="O1011" s="1171"/>
      <c r="P1011" s="1218" t="s">
        <v>682</v>
      </c>
      <c r="R1011" s="1327"/>
      <c r="S1011" s="1327"/>
      <c r="T1011" s="1327">
        <f>+'PAA V30'!$R1011-'PAA V30'!$S1011</f>
        <v>0</v>
      </c>
      <c r="U1011" s="1327"/>
      <c r="V1011" s="1327"/>
      <c r="W1011" s="1327"/>
    </row>
    <row r="1012" spans="1:23" s="1204" customFormat="1" ht="75" hidden="1" x14ac:dyDescent="0.2">
      <c r="A1012" s="1169">
        <v>20221116</v>
      </c>
      <c r="B1012" s="1169">
        <v>7655</v>
      </c>
      <c r="C1012" s="1326" t="s">
        <v>648</v>
      </c>
      <c r="D1012" s="1187" t="s">
        <v>646</v>
      </c>
      <c r="E1012" s="1171">
        <v>80111600</v>
      </c>
      <c r="F1012" s="1171" t="s">
        <v>1627</v>
      </c>
      <c r="G1012" s="1343">
        <v>44904</v>
      </c>
      <c r="H1012" s="1343">
        <v>44904</v>
      </c>
      <c r="I1012" s="1173">
        <v>3</v>
      </c>
      <c r="J1012" s="1173" t="s">
        <v>677</v>
      </c>
      <c r="K1012" s="1174" t="s">
        <v>678</v>
      </c>
      <c r="L1012" s="1175" t="s">
        <v>679</v>
      </c>
      <c r="M1012" s="1176">
        <v>12000000</v>
      </c>
      <c r="N1012" s="1344" t="s">
        <v>784</v>
      </c>
      <c r="O1012" s="1171" t="s">
        <v>771</v>
      </c>
      <c r="P1012" s="1218" t="s">
        <v>759</v>
      </c>
      <c r="R1012" s="1327"/>
      <c r="S1012" s="1327"/>
      <c r="T1012" s="1327">
        <f>+'PAA V30'!$R1012-'PAA V30'!$S1012</f>
        <v>0</v>
      </c>
      <c r="U1012" s="1327"/>
      <c r="V1012" s="1327"/>
      <c r="W1012" s="1327"/>
    </row>
    <row r="1013" spans="1:23" s="1204" customFormat="1" ht="75" hidden="1" x14ac:dyDescent="0.2">
      <c r="A1013" s="1169">
        <v>20221117</v>
      </c>
      <c r="B1013" s="1169">
        <v>7655</v>
      </c>
      <c r="C1013" s="1326" t="s">
        <v>648</v>
      </c>
      <c r="D1013" s="1187" t="s">
        <v>646</v>
      </c>
      <c r="E1013" s="1171">
        <v>80111600</v>
      </c>
      <c r="F1013" s="1171" t="s">
        <v>1628</v>
      </c>
      <c r="G1013" s="1343">
        <v>44904</v>
      </c>
      <c r="H1013" s="1343">
        <v>44904</v>
      </c>
      <c r="I1013" s="1173">
        <v>1</v>
      </c>
      <c r="J1013" s="1173" t="s">
        <v>677</v>
      </c>
      <c r="K1013" s="1174" t="s">
        <v>678</v>
      </c>
      <c r="L1013" s="1175" t="s">
        <v>679</v>
      </c>
      <c r="M1013" s="1176">
        <v>4858333</v>
      </c>
      <c r="N1013" s="1344" t="s">
        <v>784</v>
      </c>
      <c r="O1013" s="1171" t="s">
        <v>771</v>
      </c>
      <c r="P1013" s="1218" t="s">
        <v>682</v>
      </c>
      <c r="R1013" s="1327"/>
      <c r="S1013" s="1327"/>
      <c r="T1013" s="1327">
        <f>+'PAA V30'!$R1013-'PAA V30'!$S1013</f>
        <v>0</v>
      </c>
      <c r="U1013" s="1327"/>
      <c r="V1013" s="1327"/>
      <c r="W1013" s="1327"/>
    </row>
    <row r="1014" spans="1:23" s="1204" customFormat="1" ht="120" hidden="1" x14ac:dyDescent="0.2">
      <c r="A1014" s="1169">
        <v>20221118</v>
      </c>
      <c r="B1014" s="1169">
        <v>7658</v>
      </c>
      <c r="C1014" s="1326" t="s">
        <v>673</v>
      </c>
      <c r="D1014" s="1187" t="s">
        <v>690</v>
      </c>
      <c r="E1014" s="1171">
        <v>80111600</v>
      </c>
      <c r="F1014" s="1171" t="s">
        <v>1629</v>
      </c>
      <c r="G1014" s="1343">
        <v>44904</v>
      </c>
      <c r="H1014" s="1343">
        <v>44896</v>
      </c>
      <c r="I1014" s="1173">
        <v>3</v>
      </c>
      <c r="J1014" s="1173" t="s">
        <v>677</v>
      </c>
      <c r="K1014" s="1174" t="s">
        <v>678</v>
      </c>
      <c r="L1014" s="1175" t="s">
        <v>679</v>
      </c>
      <c r="M1014" s="1176">
        <v>20400000</v>
      </c>
      <c r="N1014" s="1344" t="s">
        <v>931</v>
      </c>
      <c r="O1014" s="1171" t="s">
        <v>915</v>
      </c>
      <c r="P1014" s="1218" t="s">
        <v>682</v>
      </c>
      <c r="R1014" s="1327"/>
      <c r="S1014" s="1327"/>
      <c r="T1014" s="1327">
        <f>+'PAA V30'!$R1014-'PAA V30'!$S1014</f>
        <v>0</v>
      </c>
      <c r="U1014" s="1327"/>
      <c r="V1014" s="1327"/>
      <c r="W1014" s="1327"/>
    </row>
    <row r="1015" spans="1:23" s="1204" customFormat="1" ht="120" hidden="1" x14ac:dyDescent="0.2">
      <c r="A1015" s="1169">
        <v>20221119</v>
      </c>
      <c r="B1015" s="1169">
        <v>7658</v>
      </c>
      <c r="C1015" s="1326" t="s">
        <v>673</v>
      </c>
      <c r="D1015" s="1187" t="s">
        <v>690</v>
      </c>
      <c r="E1015" s="1171">
        <v>80111600</v>
      </c>
      <c r="F1015" s="1171" t="s">
        <v>1630</v>
      </c>
      <c r="G1015" s="1343">
        <v>44904</v>
      </c>
      <c r="H1015" s="1343">
        <v>44896</v>
      </c>
      <c r="I1015" s="1173">
        <v>3</v>
      </c>
      <c r="J1015" s="1173" t="s">
        <v>677</v>
      </c>
      <c r="K1015" s="1174" t="s">
        <v>678</v>
      </c>
      <c r="L1015" s="1175" t="s">
        <v>679</v>
      </c>
      <c r="M1015" s="1176">
        <v>15000000</v>
      </c>
      <c r="N1015" s="1344" t="s">
        <v>931</v>
      </c>
      <c r="O1015" s="1171" t="s">
        <v>915</v>
      </c>
      <c r="P1015" s="1218" t="s">
        <v>682</v>
      </c>
      <c r="R1015" s="1327"/>
      <c r="S1015" s="1327"/>
      <c r="T1015" s="1327">
        <f>+'PAA V30'!$R1015-'PAA V30'!$S1015</f>
        <v>0</v>
      </c>
      <c r="U1015" s="1327"/>
      <c r="V1015" s="1327"/>
      <c r="W1015" s="1327"/>
    </row>
    <row r="1016" spans="1:23" s="1204" customFormat="1" ht="120" hidden="1" x14ac:dyDescent="0.2">
      <c r="A1016" s="1169">
        <v>20221120</v>
      </c>
      <c r="B1016" s="1169">
        <v>7658</v>
      </c>
      <c r="C1016" s="1326" t="s">
        <v>673</v>
      </c>
      <c r="D1016" s="1187" t="s">
        <v>690</v>
      </c>
      <c r="E1016" s="1171" t="s">
        <v>97</v>
      </c>
      <c r="F1016" s="1171" t="s">
        <v>1631</v>
      </c>
      <c r="G1016" s="1343" t="s">
        <v>97</v>
      </c>
      <c r="H1016" s="1343" t="s">
        <v>97</v>
      </c>
      <c r="I1016" s="1173" t="s">
        <v>97</v>
      </c>
      <c r="J1016" s="1173" t="s">
        <v>97</v>
      </c>
      <c r="K1016" s="1174" t="s">
        <v>516</v>
      </c>
      <c r="L1016" s="1175" t="s">
        <v>944</v>
      </c>
      <c r="M1016" s="1176">
        <v>2702470</v>
      </c>
      <c r="N1016" s="1344" t="s">
        <v>931</v>
      </c>
      <c r="O1016" s="1171" t="s">
        <v>915</v>
      </c>
      <c r="P1016" s="1218" t="s">
        <v>759</v>
      </c>
      <c r="R1016" s="1327"/>
      <c r="S1016" s="1327"/>
      <c r="T1016" s="1327">
        <f>+'PAA V30'!$R1016-'PAA V30'!$S1016</f>
        <v>0</v>
      </c>
      <c r="U1016" s="1327"/>
      <c r="V1016" s="1327"/>
      <c r="W1016" s="1327"/>
    </row>
    <row r="1017" spans="1:23" s="1204" customFormat="1" ht="120" hidden="1" x14ac:dyDescent="0.2">
      <c r="A1017" s="1169">
        <v>20221121</v>
      </c>
      <c r="B1017" s="1169">
        <v>7658</v>
      </c>
      <c r="C1017" s="1326" t="s">
        <v>673</v>
      </c>
      <c r="D1017" s="1187" t="s">
        <v>690</v>
      </c>
      <c r="E1017" s="1171" t="s">
        <v>781</v>
      </c>
      <c r="F1017" s="1171" t="s">
        <v>1632</v>
      </c>
      <c r="G1017" s="1343">
        <v>44907</v>
      </c>
      <c r="H1017" s="1343">
        <v>44904</v>
      </c>
      <c r="I1017" s="1173">
        <v>2</v>
      </c>
      <c r="J1017" s="1173" t="s">
        <v>677</v>
      </c>
      <c r="K1017" s="1174" t="s">
        <v>678</v>
      </c>
      <c r="L1017" s="1175" t="s">
        <v>679</v>
      </c>
      <c r="M1017" s="1176">
        <v>5600000</v>
      </c>
      <c r="N1017" s="1344" t="s">
        <v>931</v>
      </c>
      <c r="O1017" s="1171" t="s">
        <v>915</v>
      </c>
      <c r="P1017" s="1218" t="s">
        <v>759</v>
      </c>
      <c r="R1017" s="1327"/>
      <c r="S1017" s="1327"/>
      <c r="T1017" s="1327">
        <f>+'PAA V30'!$R1017-'PAA V30'!$S1017</f>
        <v>0</v>
      </c>
      <c r="U1017" s="1327"/>
      <c r="V1017" s="1327"/>
      <c r="W1017" s="1327"/>
    </row>
    <row r="1018" spans="1:23" s="1204" customFormat="1" ht="120" hidden="1" x14ac:dyDescent="0.2">
      <c r="A1018" s="1169">
        <v>20221122</v>
      </c>
      <c r="B1018" s="1169">
        <v>7658</v>
      </c>
      <c r="C1018" s="1326" t="s">
        <v>673</v>
      </c>
      <c r="D1018" s="1187" t="s">
        <v>690</v>
      </c>
      <c r="E1018" s="1171" t="s">
        <v>781</v>
      </c>
      <c r="F1018" s="1171" t="s">
        <v>1633</v>
      </c>
      <c r="G1018" s="1343">
        <v>44907</v>
      </c>
      <c r="H1018" s="1343">
        <v>44904</v>
      </c>
      <c r="I1018" s="1173">
        <v>2</v>
      </c>
      <c r="J1018" s="1173" t="s">
        <v>677</v>
      </c>
      <c r="K1018" s="1174" t="s">
        <v>678</v>
      </c>
      <c r="L1018" s="1175" t="s">
        <v>679</v>
      </c>
      <c r="M1018" s="1176">
        <v>14600000</v>
      </c>
      <c r="N1018" s="1344" t="s">
        <v>931</v>
      </c>
      <c r="O1018" s="1171" t="s">
        <v>915</v>
      </c>
      <c r="P1018" s="1218" t="s">
        <v>759</v>
      </c>
      <c r="R1018" s="1327"/>
      <c r="S1018" s="1327"/>
      <c r="T1018" s="1327">
        <f>+'PAA V30'!$R1018-'PAA V30'!$S1018</f>
        <v>0</v>
      </c>
      <c r="U1018" s="1327"/>
      <c r="V1018" s="1327"/>
      <c r="W1018" s="1327"/>
    </row>
    <row r="1019" spans="1:23" s="1204" customFormat="1" ht="120" hidden="1" x14ac:dyDescent="0.2">
      <c r="A1019" s="1169">
        <v>20221123</v>
      </c>
      <c r="B1019" s="1169">
        <v>7658</v>
      </c>
      <c r="C1019" s="1326" t="s">
        <v>673</v>
      </c>
      <c r="D1019" s="1187" t="s">
        <v>690</v>
      </c>
      <c r="E1019" s="1171" t="s">
        <v>781</v>
      </c>
      <c r="F1019" s="1171" t="s">
        <v>1634</v>
      </c>
      <c r="G1019" s="1343">
        <v>44907</v>
      </c>
      <c r="H1019" s="1343">
        <v>44904</v>
      </c>
      <c r="I1019" s="1173">
        <v>2</v>
      </c>
      <c r="J1019" s="1173" t="s">
        <v>677</v>
      </c>
      <c r="K1019" s="1174" t="s">
        <v>678</v>
      </c>
      <c r="L1019" s="1175" t="s">
        <v>679</v>
      </c>
      <c r="M1019" s="1176">
        <v>14600000</v>
      </c>
      <c r="N1019" s="1344" t="s">
        <v>931</v>
      </c>
      <c r="O1019" s="1171" t="s">
        <v>915</v>
      </c>
      <c r="P1019" s="1218" t="s">
        <v>759</v>
      </c>
      <c r="R1019" s="1327"/>
      <c r="S1019" s="1327"/>
      <c r="T1019" s="1327">
        <f>+'PAA V30'!$R1019-'PAA V30'!$S1019</f>
        <v>0</v>
      </c>
      <c r="U1019" s="1327"/>
      <c r="V1019" s="1327"/>
      <c r="W1019" s="1327"/>
    </row>
    <row r="1020" spans="1:23" s="1204" customFormat="1" ht="120" hidden="1" x14ac:dyDescent="0.2">
      <c r="A1020" s="1169">
        <v>20221124</v>
      </c>
      <c r="B1020" s="1169">
        <v>7658</v>
      </c>
      <c r="C1020" s="1326" t="s">
        <v>673</v>
      </c>
      <c r="D1020" s="1187" t="s">
        <v>690</v>
      </c>
      <c r="E1020" s="1171" t="s">
        <v>781</v>
      </c>
      <c r="F1020" s="1171" t="s">
        <v>1635</v>
      </c>
      <c r="G1020" s="1343">
        <v>44907</v>
      </c>
      <c r="H1020" s="1343">
        <v>44904</v>
      </c>
      <c r="I1020" s="1173">
        <v>1</v>
      </c>
      <c r="J1020" s="1173" t="s">
        <v>677</v>
      </c>
      <c r="K1020" s="1174" t="s">
        <v>678</v>
      </c>
      <c r="L1020" s="1175" t="s">
        <v>679</v>
      </c>
      <c r="M1020" s="1176">
        <v>7300000</v>
      </c>
      <c r="N1020" s="1344" t="s">
        <v>931</v>
      </c>
      <c r="O1020" s="1171" t="s">
        <v>915</v>
      </c>
      <c r="P1020" s="1218" t="s">
        <v>759</v>
      </c>
      <c r="R1020" s="1327"/>
      <c r="S1020" s="1327"/>
      <c r="T1020" s="1327">
        <f>+'PAA V30'!$R1020-'PAA V30'!$S1020</f>
        <v>0</v>
      </c>
      <c r="U1020" s="1327"/>
      <c r="V1020" s="1327"/>
      <c r="W1020" s="1327"/>
    </row>
    <row r="1021" spans="1:23" s="1204" customFormat="1" ht="120" hidden="1" x14ac:dyDescent="0.2">
      <c r="A1021" s="1169">
        <v>20221125</v>
      </c>
      <c r="B1021" s="1169">
        <v>7658</v>
      </c>
      <c r="C1021" s="1326" t="s">
        <v>673</v>
      </c>
      <c r="D1021" s="1187" t="s">
        <v>690</v>
      </c>
      <c r="E1021" s="1171" t="s">
        <v>781</v>
      </c>
      <c r="F1021" s="1171" t="s">
        <v>1636</v>
      </c>
      <c r="G1021" s="1343">
        <v>44907</v>
      </c>
      <c r="H1021" s="1343">
        <v>44904</v>
      </c>
      <c r="I1021" s="1173">
        <v>1</v>
      </c>
      <c r="J1021" s="1173" t="s">
        <v>677</v>
      </c>
      <c r="K1021" s="1174" t="s">
        <v>678</v>
      </c>
      <c r="L1021" s="1175" t="s">
        <v>679</v>
      </c>
      <c r="M1021" s="1176">
        <v>8199999.9999999991</v>
      </c>
      <c r="N1021" s="1344" t="s">
        <v>931</v>
      </c>
      <c r="O1021" s="1171" t="s">
        <v>915</v>
      </c>
      <c r="P1021" s="1218" t="s">
        <v>759</v>
      </c>
      <c r="R1021" s="1327"/>
      <c r="S1021" s="1327"/>
      <c r="T1021" s="1327">
        <f>+'PAA V30'!$R1021-'PAA V30'!$S1021</f>
        <v>0</v>
      </c>
      <c r="U1021" s="1327"/>
      <c r="V1021" s="1327"/>
      <c r="W1021" s="1327"/>
    </row>
    <row r="1022" spans="1:23" s="1204" customFormat="1" ht="120" hidden="1" x14ac:dyDescent="0.2">
      <c r="A1022" s="1169">
        <v>20221126</v>
      </c>
      <c r="B1022" s="1169">
        <v>7658</v>
      </c>
      <c r="C1022" s="1326" t="s">
        <v>673</v>
      </c>
      <c r="D1022" s="1187" t="s">
        <v>690</v>
      </c>
      <c r="E1022" s="1171" t="s">
        <v>781</v>
      </c>
      <c r="F1022" s="1171" t="s">
        <v>1637</v>
      </c>
      <c r="G1022" s="1343">
        <v>44907</v>
      </c>
      <c r="H1022" s="1343">
        <v>44904</v>
      </c>
      <c r="I1022" s="1173">
        <v>1</v>
      </c>
      <c r="J1022" s="1173" t="s">
        <v>677</v>
      </c>
      <c r="K1022" s="1174" t="s">
        <v>678</v>
      </c>
      <c r="L1022" s="1175" t="s">
        <v>679</v>
      </c>
      <c r="M1022" s="1176">
        <v>3850000</v>
      </c>
      <c r="N1022" s="1344" t="s">
        <v>931</v>
      </c>
      <c r="O1022" s="1171" t="s">
        <v>915</v>
      </c>
      <c r="P1022" s="1218" t="s">
        <v>759</v>
      </c>
      <c r="R1022" s="1327"/>
      <c r="S1022" s="1327"/>
      <c r="T1022" s="1327">
        <f>+'PAA V30'!$R1022-'PAA V30'!$S1022</f>
        <v>0</v>
      </c>
      <c r="U1022" s="1327"/>
      <c r="V1022" s="1327"/>
      <c r="W1022" s="1327"/>
    </row>
    <row r="1023" spans="1:23" s="1204" customFormat="1" ht="120" hidden="1" x14ac:dyDescent="0.2">
      <c r="A1023" s="1169">
        <v>20221127</v>
      </c>
      <c r="B1023" s="1169">
        <v>7658</v>
      </c>
      <c r="C1023" s="1326" t="s">
        <v>673</v>
      </c>
      <c r="D1023" s="1187" t="s">
        <v>690</v>
      </c>
      <c r="E1023" s="1171" t="s">
        <v>781</v>
      </c>
      <c r="F1023" s="1171" t="s">
        <v>1638</v>
      </c>
      <c r="G1023" s="1343">
        <v>44907</v>
      </c>
      <c r="H1023" s="1343">
        <v>44904</v>
      </c>
      <c r="I1023" s="1173">
        <v>2</v>
      </c>
      <c r="J1023" s="1173" t="s">
        <v>677</v>
      </c>
      <c r="K1023" s="1174" t="s">
        <v>678</v>
      </c>
      <c r="L1023" s="1175" t="s">
        <v>679</v>
      </c>
      <c r="M1023" s="1176">
        <v>11000000</v>
      </c>
      <c r="N1023" s="1344" t="s">
        <v>931</v>
      </c>
      <c r="O1023" s="1171" t="s">
        <v>915</v>
      </c>
      <c r="P1023" s="1218" t="s">
        <v>759</v>
      </c>
      <c r="R1023" s="1327"/>
      <c r="S1023" s="1327"/>
      <c r="T1023" s="1327">
        <f>+'PAA V30'!$R1023-'PAA V30'!$S1023</f>
        <v>0</v>
      </c>
      <c r="U1023" s="1327"/>
      <c r="V1023" s="1327"/>
      <c r="W1023" s="1327"/>
    </row>
    <row r="1024" spans="1:23" s="1204" customFormat="1" ht="75" hidden="1" x14ac:dyDescent="0.2">
      <c r="A1024" s="1169">
        <v>20221128</v>
      </c>
      <c r="B1024" s="1169">
        <v>7655</v>
      </c>
      <c r="C1024" s="1326" t="s">
        <v>648</v>
      </c>
      <c r="D1024" s="1187" t="s">
        <v>690</v>
      </c>
      <c r="E1024" s="1171">
        <v>80111600</v>
      </c>
      <c r="F1024" s="1171" t="s">
        <v>1639</v>
      </c>
      <c r="G1024" s="1343">
        <v>44911</v>
      </c>
      <c r="H1024" s="1343">
        <v>44907</v>
      </c>
      <c r="I1024" s="1173">
        <v>1.5</v>
      </c>
      <c r="J1024" s="1173" t="s">
        <v>677</v>
      </c>
      <c r="K1024" s="1174" t="s">
        <v>678</v>
      </c>
      <c r="L1024" s="1175" t="s">
        <v>783</v>
      </c>
      <c r="M1024" s="1176">
        <v>7516667</v>
      </c>
      <c r="N1024" s="1344" t="s">
        <v>784</v>
      </c>
      <c r="O1024" s="1171" t="s">
        <v>771</v>
      </c>
      <c r="P1024" s="1218" t="s">
        <v>759</v>
      </c>
      <c r="R1024" s="1327"/>
      <c r="S1024" s="1327"/>
      <c r="T1024" s="1327">
        <f>+'PAA V30'!$R1024-'PAA V30'!$S1024</f>
        <v>0</v>
      </c>
      <c r="U1024" s="1327"/>
      <c r="V1024" s="1327"/>
      <c r="W1024" s="1327"/>
    </row>
    <row r="1025" spans="1:23" s="1204" customFormat="1" ht="75" hidden="1" x14ac:dyDescent="0.2">
      <c r="A1025" s="1169">
        <v>20221129</v>
      </c>
      <c r="B1025" s="1169">
        <v>7655</v>
      </c>
      <c r="C1025" s="1326" t="s">
        <v>648</v>
      </c>
      <c r="D1025" s="1187" t="s">
        <v>690</v>
      </c>
      <c r="E1025" s="1171">
        <v>80111601</v>
      </c>
      <c r="F1025" s="1171" t="s">
        <v>1640</v>
      </c>
      <c r="G1025" s="1343">
        <v>44911</v>
      </c>
      <c r="H1025" s="1343">
        <v>44907</v>
      </c>
      <c r="I1025" s="1173">
        <v>1.5</v>
      </c>
      <c r="J1025" s="1173" t="s">
        <v>677</v>
      </c>
      <c r="K1025" s="1174" t="s">
        <v>678</v>
      </c>
      <c r="L1025" s="1175" t="s">
        <v>679</v>
      </c>
      <c r="M1025" s="1176">
        <v>10083333</v>
      </c>
      <c r="N1025" s="1344" t="s">
        <v>784</v>
      </c>
      <c r="O1025" s="1171" t="s">
        <v>771</v>
      </c>
      <c r="P1025" s="1218" t="s">
        <v>759</v>
      </c>
      <c r="R1025" s="1327"/>
      <c r="S1025" s="1327"/>
      <c r="T1025" s="1327">
        <f>+'PAA V30'!$R1025-'PAA V30'!$S1025</f>
        <v>0</v>
      </c>
      <c r="U1025" s="1327"/>
      <c r="V1025" s="1327"/>
      <c r="W1025" s="1327"/>
    </row>
    <row r="1026" spans="1:23" s="1204" customFormat="1" ht="75" hidden="1" x14ac:dyDescent="0.2">
      <c r="A1026" s="1169">
        <v>20221130</v>
      </c>
      <c r="B1026" s="1169">
        <v>7655</v>
      </c>
      <c r="C1026" s="1326" t="s">
        <v>648</v>
      </c>
      <c r="D1026" s="1187" t="s">
        <v>690</v>
      </c>
      <c r="E1026" s="1171">
        <v>80111601</v>
      </c>
      <c r="F1026" s="1171" t="s">
        <v>1641</v>
      </c>
      <c r="G1026" s="1343">
        <v>44911</v>
      </c>
      <c r="H1026" s="1343">
        <v>44907</v>
      </c>
      <c r="I1026" s="1173">
        <v>1.5</v>
      </c>
      <c r="J1026" s="1173" t="s">
        <v>677</v>
      </c>
      <c r="K1026" s="1174" t="s">
        <v>678</v>
      </c>
      <c r="L1026" s="1175" t="s">
        <v>679</v>
      </c>
      <c r="M1026" s="1176">
        <v>7990000</v>
      </c>
      <c r="N1026" s="1344" t="s">
        <v>784</v>
      </c>
      <c r="O1026" s="1171" t="s">
        <v>771</v>
      </c>
      <c r="P1026" s="1218" t="s">
        <v>759</v>
      </c>
      <c r="R1026" s="1327"/>
      <c r="S1026" s="1327"/>
      <c r="T1026" s="1327">
        <f>+'PAA V30'!$R1026-'PAA V30'!$S1026</f>
        <v>0</v>
      </c>
      <c r="U1026" s="1327"/>
      <c r="V1026" s="1327"/>
      <c r="W1026" s="1327"/>
    </row>
    <row r="1027" spans="1:23" s="1204" customFormat="1" ht="75" hidden="1" x14ac:dyDescent="0.2">
      <c r="A1027" s="1169">
        <v>20221131</v>
      </c>
      <c r="B1027" s="1169">
        <v>7655</v>
      </c>
      <c r="C1027" s="1326" t="s">
        <v>648</v>
      </c>
      <c r="D1027" s="1187" t="s">
        <v>690</v>
      </c>
      <c r="E1027" s="1171">
        <v>80111601</v>
      </c>
      <c r="F1027" s="1171" t="s">
        <v>1642</v>
      </c>
      <c r="G1027" s="1343">
        <v>44911</v>
      </c>
      <c r="H1027" s="1343">
        <v>44907</v>
      </c>
      <c r="I1027" s="1173">
        <v>1.5</v>
      </c>
      <c r="J1027" s="1173" t="s">
        <v>677</v>
      </c>
      <c r="K1027" s="1174" t="s">
        <v>678</v>
      </c>
      <c r="L1027" s="1175" t="s">
        <v>679</v>
      </c>
      <c r="M1027" s="1176">
        <v>10083333</v>
      </c>
      <c r="N1027" s="1344" t="s">
        <v>784</v>
      </c>
      <c r="O1027" s="1171" t="s">
        <v>771</v>
      </c>
      <c r="P1027" s="1218" t="s">
        <v>759</v>
      </c>
      <c r="R1027" s="1327"/>
      <c r="S1027" s="1327"/>
      <c r="T1027" s="1327">
        <f>+'PAA V30'!$R1027-'PAA V30'!$S1027</f>
        <v>0</v>
      </c>
      <c r="U1027" s="1327"/>
      <c r="V1027" s="1327"/>
      <c r="W1027" s="1327"/>
    </row>
    <row r="1028" spans="1:23" s="1204" customFormat="1" ht="75" hidden="1" x14ac:dyDescent="0.2">
      <c r="A1028" s="1169">
        <v>20221132</v>
      </c>
      <c r="B1028" s="1169">
        <v>7655</v>
      </c>
      <c r="C1028" s="1326" t="s">
        <v>648</v>
      </c>
      <c r="D1028" s="1187" t="s">
        <v>690</v>
      </c>
      <c r="E1028" s="1171">
        <v>80111601</v>
      </c>
      <c r="F1028" s="1171" t="s">
        <v>1643</v>
      </c>
      <c r="G1028" s="1343">
        <v>44911</v>
      </c>
      <c r="H1028" s="1343">
        <v>44907</v>
      </c>
      <c r="I1028" s="1173">
        <v>2</v>
      </c>
      <c r="J1028" s="1173" t="s">
        <v>677</v>
      </c>
      <c r="K1028" s="1174" t="s">
        <v>678</v>
      </c>
      <c r="L1028" s="1175" t="s">
        <v>679</v>
      </c>
      <c r="M1028" s="1176">
        <v>11000000</v>
      </c>
      <c r="N1028" s="1344" t="s">
        <v>784</v>
      </c>
      <c r="O1028" s="1171" t="s">
        <v>771</v>
      </c>
      <c r="P1028" s="1218" t="s">
        <v>759</v>
      </c>
      <c r="R1028" s="1327"/>
      <c r="S1028" s="1327"/>
      <c r="T1028" s="1327">
        <f>+'PAA V30'!$R1028-'PAA V30'!$S1028</f>
        <v>0</v>
      </c>
      <c r="U1028" s="1327"/>
      <c r="V1028" s="1327"/>
      <c r="W1028" s="1327"/>
    </row>
    <row r="1029" spans="1:23" s="1204" customFormat="1" ht="75" hidden="1" x14ac:dyDescent="0.2">
      <c r="A1029" s="1169">
        <v>20221133</v>
      </c>
      <c r="B1029" s="1169">
        <v>7655</v>
      </c>
      <c r="C1029" s="1326" t="s">
        <v>648</v>
      </c>
      <c r="D1029" s="1187" t="s">
        <v>690</v>
      </c>
      <c r="E1029" s="1171">
        <v>80111601</v>
      </c>
      <c r="F1029" s="1171" t="s">
        <v>1644</v>
      </c>
      <c r="G1029" s="1343">
        <v>44911</v>
      </c>
      <c r="H1029" s="1343">
        <v>44907</v>
      </c>
      <c r="I1029" s="1173">
        <v>2</v>
      </c>
      <c r="J1029" s="1173" t="s">
        <v>677</v>
      </c>
      <c r="K1029" s="1174" t="s">
        <v>678</v>
      </c>
      <c r="L1029" s="1175" t="s">
        <v>679</v>
      </c>
      <c r="M1029" s="1176">
        <v>11000000</v>
      </c>
      <c r="N1029" s="1344" t="s">
        <v>784</v>
      </c>
      <c r="O1029" s="1171" t="s">
        <v>771</v>
      </c>
      <c r="P1029" s="1218" t="s">
        <v>759</v>
      </c>
      <c r="R1029" s="1327"/>
      <c r="S1029" s="1327"/>
      <c r="T1029" s="1327">
        <f>+'PAA V30'!$R1029-'PAA V30'!$S1029</f>
        <v>0</v>
      </c>
      <c r="U1029" s="1327"/>
      <c r="V1029" s="1327"/>
      <c r="W1029" s="1327"/>
    </row>
    <row r="1030" spans="1:23" s="1204" customFormat="1" ht="90" hidden="1" x14ac:dyDescent="0.2">
      <c r="A1030" s="1169">
        <v>20221134</v>
      </c>
      <c r="B1030" s="1169">
        <v>7655</v>
      </c>
      <c r="C1030" s="1326" t="s">
        <v>648</v>
      </c>
      <c r="D1030" s="1187" t="s">
        <v>690</v>
      </c>
      <c r="E1030" s="1171">
        <v>80111601</v>
      </c>
      <c r="F1030" s="1171" t="s">
        <v>1645</v>
      </c>
      <c r="G1030" s="1343">
        <v>44911</v>
      </c>
      <c r="H1030" s="1343">
        <v>44907</v>
      </c>
      <c r="I1030" s="1173">
        <v>1.5</v>
      </c>
      <c r="J1030" s="1173" t="s">
        <v>677</v>
      </c>
      <c r="K1030" s="1174" t="s">
        <v>678</v>
      </c>
      <c r="L1030" s="1175" t="s">
        <v>783</v>
      </c>
      <c r="M1030" s="1176">
        <v>10950000</v>
      </c>
      <c r="N1030" s="1344" t="s">
        <v>784</v>
      </c>
      <c r="O1030" s="1171" t="s">
        <v>771</v>
      </c>
      <c r="P1030" s="1218" t="s">
        <v>759</v>
      </c>
      <c r="R1030" s="1327"/>
      <c r="S1030" s="1327"/>
      <c r="T1030" s="1327">
        <f>+'PAA V30'!$R1030-'PAA V30'!$S1030</f>
        <v>0</v>
      </c>
      <c r="U1030" s="1327"/>
      <c r="V1030" s="1327"/>
      <c r="W1030" s="1327"/>
    </row>
    <row r="1031" spans="1:23" s="1204" customFormat="1" ht="90" hidden="1" x14ac:dyDescent="0.2">
      <c r="A1031" s="1169">
        <v>20221135</v>
      </c>
      <c r="B1031" s="1169">
        <v>7655</v>
      </c>
      <c r="C1031" s="1326" t="s">
        <v>648</v>
      </c>
      <c r="D1031" s="1187" t="s">
        <v>690</v>
      </c>
      <c r="E1031" s="1171">
        <v>80111601</v>
      </c>
      <c r="F1031" s="1171" t="s">
        <v>1646</v>
      </c>
      <c r="G1031" s="1343">
        <v>44911</v>
      </c>
      <c r="H1031" s="1343">
        <v>44907</v>
      </c>
      <c r="I1031" s="1173">
        <v>1.5</v>
      </c>
      <c r="J1031" s="1173" t="s">
        <v>677</v>
      </c>
      <c r="K1031" s="1174" t="s">
        <v>678</v>
      </c>
      <c r="L1031" s="1175" t="s">
        <v>679</v>
      </c>
      <c r="M1031" s="1176">
        <v>5041667</v>
      </c>
      <c r="N1031" s="1344" t="s">
        <v>784</v>
      </c>
      <c r="O1031" s="1171" t="s">
        <v>771</v>
      </c>
      <c r="P1031" s="1218" t="s">
        <v>759</v>
      </c>
      <c r="R1031" s="1327"/>
      <c r="S1031" s="1327"/>
      <c r="T1031" s="1327">
        <f>+'PAA V30'!$R1031-'PAA V30'!$S1031</f>
        <v>0</v>
      </c>
      <c r="U1031" s="1327"/>
      <c r="V1031" s="1327"/>
      <c r="W1031" s="1327"/>
    </row>
    <row r="1032" spans="1:23" s="1204" customFormat="1" ht="90" hidden="1" x14ac:dyDescent="0.2">
      <c r="A1032" s="1169">
        <v>20221136</v>
      </c>
      <c r="B1032" s="1169">
        <v>7655</v>
      </c>
      <c r="C1032" s="1326" t="s">
        <v>648</v>
      </c>
      <c r="D1032" s="1187" t="s">
        <v>690</v>
      </c>
      <c r="E1032" s="1171">
        <v>80111601</v>
      </c>
      <c r="F1032" s="1171" t="s">
        <v>1647</v>
      </c>
      <c r="G1032" s="1343">
        <v>44911</v>
      </c>
      <c r="H1032" s="1343">
        <v>44907</v>
      </c>
      <c r="I1032" s="1173">
        <v>1.5</v>
      </c>
      <c r="J1032" s="1173" t="s">
        <v>677</v>
      </c>
      <c r="K1032" s="1174" t="s">
        <v>678</v>
      </c>
      <c r="L1032" s="1175" t="s">
        <v>679</v>
      </c>
      <c r="M1032" s="1176">
        <v>5866667</v>
      </c>
      <c r="N1032" s="1344" t="s">
        <v>784</v>
      </c>
      <c r="O1032" s="1171" t="s">
        <v>771</v>
      </c>
      <c r="P1032" s="1218" t="s">
        <v>759</v>
      </c>
      <c r="R1032" s="1327"/>
      <c r="S1032" s="1327"/>
      <c r="T1032" s="1327">
        <f>+'PAA V30'!$R1032-'PAA V30'!$S1032</f>
        <v>0</v>
      </c>
      <c r="U1032" s="1327"/>
      <c r="V1032" s="1327"/>
      <c r="W1032" s="1327"/>
    </row>
    <row r="1033" spans="1:23" s="1204" customFormat="1" ht="90" hidden="1" x14ac:dyDescent="0.2">
      <c r="A1033" s="1169">
        <v>20221137</v>
      </c>
      <c r="B1033" s="1169">
        <v>7655</v>
      </c>
      <c r="C1033" s="1326" t="s">
        <v>648</v>
      </c>
      <c r="D1033" s="1187" t="s">
        <v>690</v>
      </c>
      <c r="E1033" s="1171" t="s">
        <v>781</v>
      </c>
      <c r="F1033" s="1171" t="s">
        <v>838</v>
      </c>
      <c r="G1033" s="1343">
        <v>44907</v>
      </c>
      <c r="H1033" s="1343">
        <v>44904</v>
      </c>
      <c r="I1033" s="1173">
        <v>4</v>
      </c>
      <c r="J1033" s="1173" t="s">
        <v>677</v>
      </c>
      <c r="K1033" s="1174" t="s">
        <v>678</v>
      </c>
      <c r="L1033" s="1175" t="s">
        <v>679</v>
      </c>
      <c r="M1033" s="1176">
        <v>30000000</v>
      </c>
      <c r="N1033" s="1344" t="s">
        <v>784</v>
      </c>
      <c r="O1033" s="1171" t="s">
        <v>771</v>
      </c>
      <c r="P1033" s="1218" t="s">
        <v>682</v>
      </c>
      <c r="R1033" s="1327"/>
      <c r="S1033" s="1327"/>
      <c r="T1033" s="1327">
        <f>+'PAA V30'!$R1033-'PAA V30'!$S1033</f>
        <v>0</v>
      </c>
      <c r="U1033" s="1327"/>
      <c r="V1033" s="1327"/>
      <c r="W1033" s="1327"/>
    </row>
    <row r="1034" spans="1:23" s="1204" customFormat="1" ht="90" hidden="1" x14ac:dyDescent="0.2">
      <c r="A1034" s="1169">
        <v>20221138</v>
      </c>
      <c r="B1034" s="1169">
        <v>7655</v>
      </c>
      <c r="C1034" s="1326" t="s">
        <v>648</v>
      </c>
      <c r="D1034" s="1187" t="s">
        <v>690</v>
      </c>
      <c r="E1034" s="1171" t="s">
        <v>781</v>
      </c>
      <c r="F1034" s="1171" t="s">
        <v>1648</v>
      </c>
      <c r="G1034" s="1343">
        <v>44907</v>
      </c>
      <c r="H1034" s="1343">
        <v>44904</v>
      </c>
      <c r="I1034" s="1173">
        <v>2</v>
      </c>
      <c r="J1034" s="1173" t="s">
        <v>677</v>
      </c>
      <c r="K1034" s="1174" t="s">
        <v>678</v>
      </c>
      <c r="L1034" s="1175" t="s">
        <v>679</v>
      </c>
      <c r="M1034" s="1176">
        <v>10200000</v>
      </c>
      <c r="N1034" s="1344" t="s">
        <v>784</v>
      </c>
      <c r="O1034" s="1171" t="s">
        <v>771</v>
      </c>
      <c r="P1034" s="1218" t="s">
        <v>759</v>
      </c>
      <c r="R1034" s="1327"/>
      <c r="S1034" s="1327"/>
      <c r="T1034" s="1327">
        <f>+'PAA V30'!$R1034-'PAA V30'!$S1034</f>
        <v>0</v>
      </c>
      <c r="U1034" s="1327"/>
      <c r="V1034" s="1327"/>
      <c r="W1034" s="1327"/>
    </row>
    <row r="1035" spans="1:23" s="1204" customFormat="1" ht="75" hidden="1" x14ac:dyDescent="0.2">
      <c r="A1035" s="1169">
        <v>20221139</v>
      </c>
      <c r="B1035" s="1169">
        <v>7655</v>
      </c>
      <c r="C1035" s="1326" t="s">
        <v>648</v>
      </c>
      <c r="D1035" s="1187" t="s">
        <v>690</v>
      </c>
      <c r="E1035" s="1171" t="s">
        <v>781</v>
      </c>
      <c r="F1035" s="1171" t="s">
        <v>1649</v>
      </c>
      <c r="G1035" s="1343">
        <v>44907</v>
      </c>
      <c r="H1035" s="1343">
        <v>44904</v>
      </c>
      <c r="I1035" s="1173">
        <v>2</v>
      </c>
      <c r="J1035" s="1173" t="s">
        <v>677</v>
      </c>
      <c r="K1035" s="1174" t="s">
        <v>678</v>
      </c>
      <c r="L1035" s="1175" t="s">
        <v>679</v>
      </c>
      <c r="M1035" s="1176">
        <v>11270000</v>
      </c>
      <c r="N1035" s="1344" t="s">
        <v>784</v>
      </c>
      <c r="O1035" s="1171" t="s">
        <v>771</v>
      </c>
      <c r="P1035" s="1218" t="s">
        <v>759</v>
      </c>
      <c r="R1035" s="1327"/>
      <c r="S1035" s="1327"/>
      <c r="T1035" s="1327">
        <f>+'PAA V30'!$R1035-'PAA V30'!$S1035</f>
        <v>0</v>
      </c>
      <c r="U1035" s="1327"/>
      <c r="V1035" s="1327"/>
      <c r="W1035" s="1327"/>
    </row>
    <row r="1036" spans="1:23" s="1204" customFormat="1" ht="75" hidden="1" x14ac:dyDescent="0.2">
      <c r="A1036" s="1169">
        <v>20221140</v>
      </c>
      <c r="B1036" s="1169">
        <v>7655</v>
      </c>
      <c r="C1036" s="1326" t="s">
        <v>648</v>
      </c>
      <c r="D1036" s="1187" t="s">
        <v>690</v>
      </c>
      <c r="E1036" s="1171" t="s">
        <v>781</v>
      </c>
      <c r="F1036" s="1171" t="s">
        <v>1650</v>
      </c>
      <c r="G1036" s="1343">
        <v>44907</v>
      </c>
      <c r="H1036" s="1343">
        <v>44904</v>
      </c>
      <c r="I1036" s="1173">
        <v>2</v>
      </c>
      <c r="J1036" s="1173" t="s">
        <v>677</v>
      </c>
      <c r="K1036" s="1174" t="s">
        <v>678</v>
      </c>
      <c r="L1036" s="1175" t="s">
        <v>679</v>
      </c>
      <c r="M1036" s="1176">
        <v>14600000</v>
      </c>
      <c r="N1036" s="1344" t="s">
        <v>784</v>
      </c>
      <c r="O1036" s="1171" t="s">
        <v>771</v>
      </c>
      <c r="P1036" s="1218" t="s">
        <v>759</v>
      </c>
      <c r="R1036" s="1327"/>
      <c r="S1036" s="1327"/>
      <c r="T1036" s="1327">
        <f>+'PAA V30'!$R1036-'PAA V30'!$S1036</f>
        <v>0</v>
      </c>
      <c r="U1036" s="1327"/>
      <c r="V1036" s="1327"/>
      <c r="W1036" s="1327"/>
    </row>
    <row r="1037" spans="1:23" s="1204" customFormat="1" ht="76.5" hidden="1" customHeight="1" x14ac:dyDescent="0.2">
      <c r="A1037" s="1169">
        <v>20221141</v>
      </c>
      <c r="B1037" s="1169" t="s">
        <v>459</v>
      </c>
      <c r="C1037" s="1326"/>
      <c r="D1037" s="1187" t="s">
        <v>690</v>
      </c>
      <c r="E1037" s="1171" t="s">
        <v>781</v>
      </c>
      <c r="F1037" s="1171" t="s">
        <v>1651</v>
      </c>
      <c r="G1037" s="1343">
        <v>44907</v>
      </c>
      <c r="H1037" s="1343">
        <v>44904</v>
      </c>
      <c r="I1037" s="1173">
        <v>4</v>
      </c>
      <c r="J1037" s="1173" t="s">
        <v>677</v>
      </c>
      <c r="K1037" s="1174" t="s">
        <v>678</v>
      </c>
      <c r="L1037" s="1175" t="s">
        <v>97</v>
      </c>
      <c r="M1037" s="1176">
        <v>15400000</v>
      </c>
      <c r="N1037" s="1344"/>
      <c r="O1037" s="1171"/>
      <c r="P1037" s="1218" t="s">
        <v>682</v>
      </c>
      <c r="R1037" s="1327"/>
      <c r="S1037" s="1327"/>
      <c r="T1037" s="1327">
        <f>+'PAA V30'!$R1037-'PAA V30'!$S1037</f>
        <v>0</v>
      </c>
      <c r="U1037" s="1327"/>
      <c r="V1037" s="1327"/>
      <c r="W1037" s="1327"/>
    </row>
    <row r="1038" spans="1:23" s="1204" customFormat="1" ht="104.25" hidden="1" customHeight="1" x14ac:dyDescent="0.2">
      <c r="A1038" s="1169">
        <v>20221142</v>
      </c>
      <c r="B1038" s="1169">
        <v>7658</v>
      </c>
      <c r="C1038" s="1326" t="s">
        <v>673</v>
      </c>
      <c r="D1038" s="1187" t="s">
        <v>702</v>
      </c>
      <c r="E1038" s="1171">
        <v>80111600</v>
      </c>
      <c r="F1038" s="1171" t="s">
        <v>1652</v>
      </c>
      <c r="G1038" s="1345">
        <v>44910</v>
      </c>
      <c r="H1038" s="1345">
        <v>44915</v>
      </c>
      <c r="I1038" s="1173">
        <v>2</v>
      </c>
      <c r="J1038" s="1173" t="s">
        <v>677</v>
      </c>
      <c r="K1038" s="1174" t="s">
        <v>678</v>
      </c>
      <c r="L1038" s="1175" t="s">
        <v>679</v>
      </c>
      <c r="M1038" s="1176">
        <v>9000000</v>
      </c>
      <c r="N1038" s="1344" t="s">
        <v>1002</v>
      </c>
      <c r="O1038" s="1171" t="s">
        <v>915</v>
      </c>
      <c r="P1038" s="1218" t="s">
        <v>759</v>
      </c>
      <c r="R1038" s="1327"/>
      <c r="S1038" s="1327"/>
      <c r="T1038" s="1327">
        <f>+'PAA V30'!$R1038-'PAA V30'!$S1038</f>
        <v>0</v>
      </c>
      <c r="U1038" s="1327"/>
      <c r="V1038" s="1327"/>
      <c r="W1038" s="1327"/>
    </row>
    <row r="1039" spans="1:23" s="1204" customFormat="1" ht="128.25" hidden="1" customHeight="1" x14ac:dyDescent="0.2">
      <c r="A1039" s="1169">
        <v>20221143</v>
      </c>
      <c r="B1039" s="1169">
        <v>7658</v>
      </c>
      <c r="C1039" s="1326" t="s">
        <v>673</v>
      </c>
      <c r="D1039" s="1187" t="s">
        <v>702</v>
      </c>
      <c r="E1039" s="1171">
        <v>80111600</v>
      </c>
      <c r="F1039" s="1171" t="s">
        <v>1653</v>
      </c>
      <c r="G1039" s="1345">
        <v>44910</v>
      </c>
      <c r="H1039" s="1345">
        <v>44915</v>
      </c>
      <c r="I1039" s="1173">
        <v>1</v>
      </c>
      <c r="J1039" s="1173" t="s">
        <v>677</v>
      </c>
      <c r="K1039" s="1174" t="s">
        <v>678</v>
      </c>
      <c r="L1039" s="1175" t="s">
        <v>679</v>
      </c>
      <c r="M1039" s="1176">
        <v>4500000</v>
      </c>
      <c r="N1039" s="1344" t="s">
        <v>1002</v>
      </c>
      <c r="O1039" s="1171" t="s">
        <v>915</v>
      </c>
      <c r="P1039" s="1218" t="s">
        <v>759</v>
      </c>
      <c r="R1039" s="1327"/>
      <c r="S1039" s="1327"/>
      <c r="T1039" s="1327">
        <f>+'PAA V30'!$R1039-'PAA V30'!$S1039</f>
        <v>0</v>
      </c>
      <c r="U1039" s="1327"/>
      <c r="V1039" s="1327"/>
      <c r="W1039" s="1327"/>
    </row>
    <row r="1040" spans="1:23" s="1204" customFormat="1" ht="114" hidden="1" customHeight="1" x14ac:dyDescent="0.2">
      <c r="A1040" s="1169">
        <v>20221144</v>
      </c>
      <c r="B1040" s="1169">
        <v>7658</v>
      </c>
      <c r="C1040" s="1326" t="s">
        <v>673</v>
      </c>
      <c r="D1040" s="1187" t="s">
        <v>702</v>
      </c>
      <c r="E1040" s="1171">
        <v>80111600</v>
      </c>
      <c r="F1040" s="1171" t="s">
        <v>1654</v>
      </c>
      <c r="G1040" s="1345">
        <v>44910</v>
      </c>
      <c r="H1040" s="1345">
        <v>44915</v>
      </c>
      <c r="I1040" s="1173">
        <v>1</v>
      </c>
      <c r="J1040" s="1173" t="s">
        <v>677</v>
      </c>
      <c r="K1040" s="1174" t="s">
        <v>678</v>
      </c>
      <c r="L1040" s="1175" t="s">
        <v>679</v>
      </c>
      <c r="M1040" s="1176">
        <v>6800000</v>
      </c>
      <c r="N1040" s="1344" t="s">
        <v>1002</v>
      </c>
      <c r="O1040" s="1171" t="s">
        <v>915</v>
      </c>
      <c r="P1040" s="1218" t="s">
        <v>759</v>
      </c>
      <c r="R1040" s="1327"/>
      <c r="S1040" s="1327"/>
      <c r="T1040" s="1327">
        <f>+'PAA V30'!$R1040-'PAA V30'!$S1040</f>
        <v>0</v>
      </c>
      <c r="U1040" s="1327"/>
      <c r="V1040" s="1327"/>
      <c r="W1040" s="1327"/>
    </row>
    <row r="1041" spans="1:23" s="1204" customFormat="1" ht="102" hidden="1" customHeight="1" x14ac:dyDescent="0.2">
      <c r="A1041" s="1169">
        <v>20221145</v>
      </c>
      <c r="B1041" s="1169">
        <v>7658</v>
      </c>
      <c r="C1041" s="1326" t="s">
        <v>673</v>
      </c>
      <c r="D1041" s="1187" t="s">
        <v>702</v>
      </c>
      <c r="E1041" s="1171">
        <v>80111600</v>
      </c>
      <c r="F1041" s="1171" t="s">
        <v>1655</v>
      </c>
      <c r="G1041" s="1345">
        <v>44910</v>
      </c>
      <c r="H1041" s="1345">
        <v>44915</v>
      </c>
      <c r="I1041" s="1173">
        <v>1</v>
      </c>
      <c r="J1041" s="1173" t="s">
        <v>677</v>
      </c>
      <c r="K1041" s="1174" t="s">
        <v>678</v>
      </c>
      <c r="L1041" s="1175" t="s">
        <v>679</v>
      </c>
      <c r="M1041" s="1176">
        <v>4500000</v>
      </c>
      <c r="N1041" s="1344" t="s">
        <v>1002</v>
      </c>
      <c r="O1041" s="1171" t="s">
        <v>915</v>
      </c>
      <c r="P1041" s="1218" t="s">
        <v>759</v>
      </c>
      <c r="R1041" s="1327"/>
      <c r="S1041" s="1327"/>
      <c r="T1041" s="1327">
        <f>+'PAA V30'!$R1041-'PAA V30'!$S1041</f>
        <v>0</v>
      </c>
      <c r="U1041" s="1327"/>
      <c r="V1041" s="1327"/>
      <c r="W1041" s="1327"/>
    </row>
    <row r="1042" spans="1:23" s="1204" customFormat="1" ht="120" hidden="1" x14ac:dyDescent="0.2">
      <c r="A1042" s="1169">
        <v>20221146</v>
      </c>
      <c r="B1042" s="1169">
        <v>7658</v>
      </c>
      <c r="C1042" s="1326" t="s">
        <v>673</v>
      </c>
      <c r="D1042" s="1187" t="s">
        <v>702</v>
      </c>
      <c r="E1042" s="1171">
        <v>80111600</v>
      </c>
      <c r="F1042" s="1171" t="s">
        <v>1656</v>
      </c>
      <c r="G1042" s="1345">
        <v>44910</v>
      </c>
      <c r="H1042" s="1345">
        <v>44915</v>
      </c>
      <c r="I1042" s="1173">
        <v>1</v>
      </c>
      <c r="J1042" s="1173" t="s">
        <v>677</v>
      </c>
      <c r="K1042" s="1174" t="s">
        <v>678</v>
      </c>
      <c r="L1042" s="1175" t="s">
        <v>679</v>
      </c>
      <c r="M1042" s="1176">
        <v>4500000</v>
      </c>
      <c r="N1042" s="1344" t="s">
        <v>1002</v>
      </c>
      <c r="O1042" s="1171" t="s">
        <v>915</v>
      </c>
      <c r="P1042" s="1218" t="s">
        <v>759</v>
      </c>
      <c r="R1042" s="1327"/>
      <c r="S1042" s="1327"/>
      <c r="T1042" s="1327">
        <f>+'PAA V30'!$R1042-'PAA V30'!$S1042</f>
        <v>0</v>
      </c>
      <c r="U1042" s="1327"/>
      <c r="V1042" s="1327"/>
      <c r="W1042" s="1327"/>
    </row>
    <row r="1043" spans="1:23" s="1204" customFormat="1" ht="111" hidden="1" customHeight="1" x14ac:dyDescent="0.2">
      <c r="A1043" s="1169">
        <v>20221147</v>
      </c>
      <c r="B1043" s="1169">
        <v>7658</v>
      </c>
      <c r="C1043" s="1326" t="s">
        <v>673</v>
      </c>
      <c r="D1043" s="1187" t="s">
        <v>702</v>
      </c>
      <c r="E1043" s="1171">
        <v>80111600</v>
      </c>
      <c r="F1043" s="1171" t="s">
        <v>1657</v>
      </c>
      <c r="G1043" s="1345">
        <v>44910</v>
      </c>
      <c r="H1043" s="1345">
        <v>44915</v>
      </c>
      <c r="I1043" s="1173">
        <v>2</v>
      </c>
      <c r="J1043" s="1173" t="s">
        <v>677</v>
      </c>
      <c r="K1043" s="1174" t="s">
        <v>678</v>
      </c>
      <c r="L1043" s="1175" t="s">
        <v>679</v>
      </c>
      <c r="M1043" s="1176">
        <v>6700000</v>
      </c>
      <c r="N1043" s="1344" t="s">
        <v>1002</v>
      </c>
      <c r="O1043" s="1171" t="s">
        <v>915</v>
      </c>
      <c r="P1043" s="1218" t="s">
        <v>759</v>
      </c>
      <c r="R1043" s="1327"/>
      <c r="S1043" s="1327"/>
      <c r="T1043" s="1327">
        <f>+'PAA V30'!$R1043-'PAA V30'!$S1043</f>
        <v>0</v>
      </c>
      <c r="U1043" s="1327"/>
      <c r="V1043" s="1327"/>
      <c r="W1043" s="1327"/>
    </row>
    <row r="1044" spans="1:23" s="1204" customFormat="1" ht="97.5" hidden="1" customHeight="1" x14ac:dyDescent="0.2">
      <c r="A1044" s="1169">
        <v>20221148</v>
      </c>
      <c r="B1044" s="1169">
        <v>7658</v>
      </c>
      <c r="C1044" s="1326" t="s">
        <v>673</v>
      </c>
      <c r="D1044" s="1187" t="s">
        <v>702</v>
      </c>
      <c r="E1044" s="1171">
        <v>80111600</v>
      </c>
      <c r="F1044" s="1171" t="s">
        <v>1658</v>
      </c>
      <c r="G1044" s="1345">
        <v>44910</v>
      </c>
      <c r="H1044" s="1345">
        <v>44915</v>
      </c>
      <c r="I1044" s="1173">
        <v>1</v>
      </c>
      <c r="J1044" s="1173" t="s">
        <v>677</v>
      </c>
      <c r="K1044" s="1174" t="s">
        <v>678</v>
      </c>
      <c r="L1044" s="1175" t="s">
        <v>679</v>
      </c>
      <c r="M1044" s="1176">
        <v>6800000</v>
      </c>
      <c r="N1044" s="1344" t="s">
        <v>1002</v>
      </c>
      <c r="O1044" s="1171" t="s">
        <v>915</v>
      </c>
      <c r="P1044" s="1218" t="s">
        <v>759</v>
      </c>
      <c r="R1044" s="1327"/>
      <c r="S1044" s="1327"/>
      <c r="T1044" s="1327">
        <f>+'PAA V30'!$R1044-'PAA V30'!$S1044</f>
        <v>0</v>
      </c>
      <c r="U1044" s="1327"/>
      <c r="V1044" s="1327"/>
      <c r="W1044" s="1327"/>
    </row>
    <row r="1045" spans="1:23" s="1204" customFormat="1" ht="120" hidden="1" x14ac:dyDescent="0.2">
      <c r="A1045" s="1169">
        <v>20221149</v>
      </c>
      <c r="B1045" s="1169">
        <v>7658</v>
      </c>
      <c r="C1045" s="1326" t="s">
        <v>673</v>
      </c>
      <c r="D1045" s="1187" t="s">
        <v>702</v>
      </c>
      <c r="E1045" s="1171">
        <v>80111600</v>
      </c>
      <c r="F1045" s="1171" t="s">
        <v>1659</v>
      </c>
      <c r="G1045" s="1345">
        <v>44910</v>
      </c>
      <c r="H1045" s="1345">
        <v>44915</v>
      </c>
      <c r="I1045" s="1173">
        <v>1</v>
      </c>
      <c r="J1045" s="1173" t="s">
        <v>677</v>
      </c>
      <c r="K1045" s="1174" t="s">
        <v>678</v>
      </c>
      <c r="L1045" s="1175" t="s">
        <v>679</v>
      </c>
      <c r="M1045" s="1176">
        <v>3850000</v>
      </c>
      <c r="N1045" s="1344" t="s">
        <v>1002</v>
      </c>
      <c r="O1045" s="1171" t="s">
        <v>915</v>
      </c>
      <c r="P1045" s="1218" t="s">
        <v>759</v>
      </c>
      <c r="R1045" s="1327"/>
      <c r="S1045" s="1327"/>
      <c r="T1045" s="1327">
        <f>+'PAA V30'!$R1045-'PAA V30'!$S1045</f>
        <v>0</v>
      </c>
      <c r="U1045" s="1327"/>
      <c r="V1045" s="1327"/>
      <c r="W1045" s="1327"/>
    </row>
    <row r="1046" spans="1:23" s="1204" customFormat="1" ht="120" hidden="1" x14ac:dyDescent="0.2">
      <c r="A1046" s="1169">
        <v>20221150</v>
      </c>
      <c r="B1046" s="1169">
        <v>7658</v>
      </c>
      <c r="C1046" s="1326" t="s">
        <v>673</v>
      </c>
      <c r="D1046" s="1187" t="s">
        <v>702</v>
      </c>
      <c r="E1046" s="1171">
        <v>80111600</v>
      </c>
      <c r="F1046" s="1171" t="s">
        <v>1660</v>
      </c>
      <c r="G1046" s="1345">
        <v>44910</v>
      </c>
      <c r="H1046" s="1345">
        <v>44915</v>
      </c>
      <c r="I1046" s="1173">
        <v>1</v>
      </c>
      <c r="J1046" s="1173" t="s">
        <v>677</v>
      </c>
      <c r="K1046" s="1174" t="s">
        <v>678</v>
      </c>
      <c r="L1046" s="1175" t="s">
        <v>679</v>
      </c>
      <c r="M1046" s="1176">
        <v>3350000</v>
      </c>
      <c r="N1046" s="1344" t="s">
        <v>1002</v>
      </c>
      <c r="O1046" s="1171" t="s">
        <v>915</v>
      </c>
      <c r="P1046" s="1218" t="s">
        <v>759</v>
      </c>
      <c r="R1046" s="1327"/>
      <c r="S1046" s="1327"/>
      <c r="T1046" s="1327">
        <f>+'PAA V30'!$R1046-'PAA V30'!$S1046</f>
        <v>0</v>
      </c>
      <c r="U1046" s="1327"/>
      <c r="V1046" s="1327"/>
      <c r="W1046" s="1327"/>
    </row>
    <row r="1047" spans="1:23" s="1204" customFormat="1" ht="120" hidden="1" x14ac:dyDescent="0.2">
      <c r="A1047" s="1169">
        <v>20221151</v>
      </c>
      <c r="B1047" s="1169">
        <v>7658</v>
      </c>
      <c r="C1047" s="1326" t="s">
        <v>673</v>
      </c>
      <c r="D1047" s="1187" t="s">
        <v>702</v>
      </c>
      <c r="E1047" s="1171">
        <v>80111600</v>
      </c>
      <c r="F1047" s="1171" t="s">
        <v>1661</v>
      </c>
      <c r="G1047" s="1345">
        <v>44910</v>
      </c>
      <c r="H1047" s="1345">
        <v>44915</v>
      </c>
      <c r="I1047" s="1173">
        <v>2</v>
      </c>
      <c r="J1047" s="1173" t="s">
        <v>677</v>
      </c>
      <c r="K1047" s="1174" t="s">
        <v>678</v>
      </c>
      <c r="L1047" s="1175" t="s">
        <v>679</v>
      </c>
      <c r="M1047" s="1176">
        <v>7700000</v>
      </c>
      <c r="N1047" s="1344" t="s">
        <v>1002</v>
      </c>
      <c r="O1047" s="1171" t="s">
        <v>915</v>
      </c>
      <c r="P1047" s="1218" t="s">
        <v>759</v>
      </c>
      <c r="R1047" s="1327"/>
      <c r="S1047" s="1327"/>
      <c r="T1047" s="1327">
        <f>+'PAA V30'!$R1047-'PAA V30'!$S1047</f>
        <v>0</v>
      </c>
      <c r="U1047" s="1327"/>
      <c r="V1047" s="1327"/>
      <c r="W1047" s="1327"/>
    </row>
    <row r="1048" spans="1:23" s="1204" customFormat="1" ht="120" hidden="1" x14ac:dyDescent="0.2">
      <c r="A1048" s="1169">
        <v>20221152</v>
      </c>
      <c r="B1048" s="1169">
        <v>7658</v>
      </c>
      <c r="C1048" s="1326" t="s">
        <v>673</v>
      </c>
      <c r="D1048" s="1187" t="s">
        <v>702</v>
      </c>
      <c r="E1048" s="1171">
        <v>80111600</v>
      </c>
      <c r="F1048" s="1171" t="s">
        <v>1662</v>
      </c>
      <c r="G1048" s="1345">
        <v>44910</v>
      </c>
      <c r="H1048" s="1345">
        <v>44915</v>
      </c>
      <c r="I1048" s="1173">
        <v>1</v>
      </c>
      <c r="J1048" s="1173" t="s">
        <v>677</v>
      </c>
      <c r="K1048" s="1174" t="s">
        <v>678</v>
      </c>
      <c r="L1048" s="1175" t="s">
        <v>679</v>
      </c>
      <c r="M1048" s="1176">
        <v>7300000</v>
      </c>
      <c r="N1048" s="1344" t="s">
        <v>1002</v>
      </c>
      <c r="O1048" s="1171" t="s">
        <v>915</v>
      </c>
      <c r="P1048" s="1218" t="s">
        <v>759</v>
      </c>
      <c r="R1048" s="1327"/>
      <c r="S1048" s="1327"/>
      <c r="T1048" s="1327">
        <f>+'PAA V30'!$R1048-'PAA V30'!$S1048</f>
        <v>0</v>
      </c>
      <c r="U1048" s="1327"/>
      <c r="V1048" s="1327"/>
      <c r="W1048" s="1327"/>
    </row>
    <row r="1049" spans="1:23" s="1204" customFormat="1" ht="105" hidden="1" customHeight="1" x14ac:dyDescent="0.2">
      <c r="A1049" s="1169">
        <v>20221153</v>
      </c>
      <c r="B1049" s="1169">
        <v>7658</v>
      </c>
      <c r="C1049" s="1326" t="s">
        <v>673</v>
      </c>
      <c r="D1049" s="1187" t="s">
        <v>702</v>
      </c>
      <c r="E1049" s="1171">
        <v>80111600</v>
      </c>
      <c r="F1049" s="1171" t="s">
        <v>1663</v>
      </c>
      <c r="G1049" s="1345">
        <v>44910</v>
      </c>
      <c r="H1049" s="1345">
        <v>44915</v>
      </c>
      <c r="I1049" s="1173">
        <v>2</v>
      </c>
      <c r="J1049" s="1173" t="s">
        <v>677</v>
      </c>
      <c r="K1049" s="1174" t="s">
        <v>678</v>
      </c>
      <c r="L1049" s="1175" t="s">
        <v>679</v>
      </c>
      <c r="M1049" s="1176">
        <v>9000000</v>
      </c>
      <c r="N1049" s="1344" t="s">
        <v>1002</v>
      </c>
      <c r="O1049" s="1171" t="s">
        <v>915</v>
      </c>
      <c r="P1049" s="1218" t="s">
        <v>759</v>
      </c>
      <c r="R1049" s="1327"/>
      <c r="S1049" s="1327"/>
      <c r="T1049" s="1327">
        <f>+'PAA V30'!$R1049-'PAA V30'!$S1049</f>
        <v>0</v>
      </c>
      <c r="U1049" s="1327"/>
      <c r="V1049" s="1327"/>
      <c r="W1049" s="1327"/>
    </row>
    <row r="1050" spans="1:23" s="1204" customFormat="1" ht="120" hidden="1" x14ac:dyDescent="0.2">
      <c r="A1050" s="1169">
        <v>20221154</v>
      </c>
      <c r="B1050" s="1169">
        <v>7658</v>
      </c>
      <c r="C1050" s="1326" t="s">
        <v>673</v>
      </c>
      <c r="D1050" s="1187" t="s">
        <v>702</v>
      </c>
      <c r="E1050" s="1171">
        <v>80111600</v>
      </c>
      <c r="F1050" s="1171" t="s">
        <v>1664</v>
      </c>
      <c r="G1050" s="1345">
        <v>44910</v>
      </c>
      <c r="H1050" s="1345">
        <v>44915</v>
      </c>
      <c r="I1050" s="1173">
        <v>1</v>
      </c>
      <c r="J1050" s="1173" t="s">
        <v>677</v>
      </c>
      <c r="K1050" s="1174" t="s">
        <v>678</v>
      </c>
      <c r="L1050" s="1175" t="s">
        <v>679</v>
      </c>
      <c r="M1050" s="1176">
        <v>6800000</v>
      </c>
      <c r="N1050" s="1344" t="s">
        <v>1002</v>
      </c>
      <c r="O1050" s="1171" t="s">
        <v>915</v>
      </c>
      <c r="P1050" s="1218" t="s">
        <v>759</v>
      </c>
      <c r="R1050" s="1327"/>
      <c r="S1050" s="1327"/>
      <c r="T1050" s="1327">
        <f>+'PAA V30'!$R1050-'PAA V30'!$S1050</f>
        <v>0</v>
      </c>
      <c r="U1050" s="1327"/>
      <c r="V1050" s="1327"/>
      <c r="W1050" s="1327"/>
    </row>
    <row r="1051" spans="1:23" s="1204" customFormat="1" ht="115.5" hidden="1" customHeight="1" x14ac:dyDescent="0.2">
      <c r="A1051" s="1169">
        <v>20221155</v>
      </c>
      <c r="B1051" s="1169">
        <v>7658</v>
      </c>
      <c r="C1051" s="1326" t="s">
        <v>673</v>
      </c>
      <c r="D1051" s="1187" t="s">
        <v>702</v>
      </c>
      <c r="E1051" s="1171">
        <v>80111600</v>
      </c>
      <c r="F1051" s="1171" t="s">
        <v>1665</v>
      </c>
      <c r="G1051" s="1345">
        <v>44910</v>
      </c>
      <c r="H1051" s="1345">
        <v>44915</v>
      </c>
      <c r="I1051" s="1173">
        <v>2</v>
      </c>
      <c r="J1051" s="1173" t="s">
        <v>677</v>
      </c>
      <c r="K1051" s="1174" t="s">
        <v>678</v>
      </c>
      <c r="L1051" s="1175" t="s">
        <v>679</v>
      </c>
      <c r="M1051" s="1176">
        <v>9000000</v>
      </c>
      <c r="N1051" s="1344" t="s">
        <v>1002</v>
      </c>
      <c r="O1051" s="1171" t="s">
        <v>915</v>
      </c>
      <c r="P1051" s="1218" t="s">
        <v>759</v>
      </c>
      <c r="R1051" s="1327"/>
      <c r="S1051" s="1327"/>
      <c r="T1051" s="1327">
        <f>+'PAA V30'!$R1051-'PAA V30'!$S1051</f>
        <v>0</v>
      </c>
      <c r="U1051" s="1327"/>
      <c r="V1051" s="1327"/>
      <c r="W1051" s="1327"/>
    </row>
    <row r="1052" spans="1:23" s="1204" customFormat="1" ht="105.75" hidden="1" customHeight="1" x14ac:dyDescent="0.2">
      <c r="A1052" s="1169">
        <v>20221156</v>
      </c>
      <c r="B1052" s="1169">
        <v>7658</v>
      </c>
      <c r="C1052" s="1326" t="s">
        <v>673</v>
      </c>
      <c r="D1052" s="1187" t="s">
        <v>702</v>
      </c>
      <c r="E1052" s="1171">
        <v>80111600</v>
      </c>
      <c r="F1052" s="1171" t="s">
        <v>1666</v>
      </c>
      <c r="G1052" s="1345">
        <v>44910</v>
      </c>
      <c r="H1052" s="1345">
        <v>44915</v>
      </c>
      <c r="I1052" s="1173">
        <v>1</v>
      </c>
      <c r="J1052" s="1173" t="s">
        <v>677</v>
      </c>
      <c r="K1052" s="1174" t="s">
        <v>678</v>
      </c>
      <c r="L1052" s="1175" t="s">
        <v>679</v>
      </c>
      <c r="M1052" s="1176">
        <v>6800000</v>
      </c>
      <c r="N1052" s="1344" t="s">
        <v>1002</v>
      </c>
      <c r="O1052" s="1171" t="s">
        <v>915</v>
      </c>
      <c r="P1052" s="1218" t="s">
        <v>759</v>
      </c>
      <c r="R1052" s="1327"/>
      <c r="S1052" s="1327"/>
      <c r="T1052" s="1327">
        <f>+'PAA V30'!$R1052-'PAA V30'!$S1052</f>
        <v>0</v>
      </c>
      <c r="U1052" s="1327"/>
      <c r="V1052" s="1327"/>
      <c r="W1052" s="1327"/>
    </row>
    <row r="1053" spans="1:23" s="1204" customFormat="1" ht="115.5" hidden="1" customHeight="1" x14ac:dyDescent="0.2">
      <c r="A1053" s="1169">
        <v>20221157</v>
      </c>
      <c r="B1053" s="1169">
        <v>7658</v>
      </c>
      <c r="C1053" s="1326" t="s">
        <v>673</v>
      </c>
      <c r="D1053" s="1187" t="s">
        <v>702</v>
      </c>
      <c r="E1053" s="1171">
        <v>80111600</v>
      </c>
      <c r="F1053" s="1171" t="s">
        <v>1667</v>
      </c>
      <c r="G1053" s="1345">
        <v>44910</v>
      </c>
      <c r="H1053" s="1345">
        <v>44915</v>
      </c>
      <c r="I1053" s="1173">
        <v>2</v>
      </c>
      <c r="J1053" s="1173" t="s">
        <v>677</v>
      </c>
      <c r="K1053" s="1174" t="s">
        <v>678</v>
      </c>
      <c r="L1053" s="1175" t="s">
        <v>679</v>
      </c>
      <c r="M1053" s="1176">
        <v>4900000</v>
      </c>
      <c r="N1053" s="1344" t="s">
        <v>1002</v>
      </c>
      <c r="O1053" s="1171" t="s">
        <v>915</v>
      </c>
      <c r="P1053" s="1218" t="s">
        <v>759</v>
      </c>
      <c r="R1053" s="1327"/>
      <c r="S1053" s="1327"/>
      <c r="T1053" s="1327">
        <f>+'PAA V30'!$R1053-'PAA V30'!$S1053</f>
        <v>0</v>
      </c>
      <c r="U1053" s="1327"/>
      <c r="V1053" s="1327"/>
      <c r="W1053" s="1327"/>
    </row>
    <row r="1054" spans="1:23" s="1204" customFormat="1" ht="120" hidden="1" x14ac:dyDescent="0.2">
      <c r="A1054" s="1169">
        <v>20221158</v>
      </c>
      <c r="B1054" s="1169">
        <v>7658</v>
      </c>
      <c r="C1054" s="1326" t="s">
        <v>673</v>
      </c>
      <c r="D1054" s="1187" t="s">
        <v>702</v>
      </c>
      <c r="E1054" s="1171">
        <v>80111600</v>
      </c>
      <c r="F1054" s="1171" t="s">
        <v>1668</v>
      </c>
      <c r="G1054" s="1345">
        <v>44910</v>
      </c>
      <c r="H1054" s="1345">
        <v>44915</v>
      </c>
      <c r="I1054" s="1173">
        <v>1</v>
      </c>
      <c r="J1054" s="1173" t="s">
        <v>677</v>
      </c>
      <c r="K1054" s="1174" t="s">
        <v>678</v>
      </c>
      <c r="L1054" s="1175" t="s">
        <v>679</v>
      </c>
      <c r="M1054" s="1176">
        <v>2450000</v>
      </c>
      <c r="N1054" s="1344" t="s">
        <v>1002</v>
      </c>
      <c r="O1054" s="1171" t="s">
        <v>915</v>
      </c>
      <c r="P1054" s="1218" t="s">
        <v>759</v>
      </c>
      <c r="R1054" s="1327"/>
      <c r="S1054" s="1327"/>
      <c r="T1054" s="1327">
        <f>+'PAA V30'!$R1054-'PAA V30'!$S1054</f>
        <v>0</v>
      </c>
      <c r="U1054" s="1327"/>
      <c r="V1054" s="1327"/>
      <c r="W1054" s="1327"/>
    </row>
    <row r="1055" spans="1:23" s="1204" customFormat="1" ht="129.75" hidden="1" customHeight="1" x14ac:dyDescent="0.2">
      <c r="A1055" s="1169">
        <v>20221159</v>
      </c>
      <c r="B1055" s="1169">
        <v>7658</v>
      </c>
      <c r="C1055" s="1326" t="s">
        <v>673</v>
      </c>
      <c r="D1055" s="1187" t="s">
        <v>702</v>
      </c>
      <c r="E1055" s="1171">
        <v>80111600</v>
      </c>
      <c r="F1055" s="1171" t="s">
        <v>1669</v>
      </c>
      <c r="G1055" s="1345">
        <v>44910</v>
      </c>
      <c r="H1055" s="1345">
        <v>44915</v>
      </c>
      <c r="I1055" s="1173">
        <v>1</v>
      </c>
      <c r="J1055" s="1173" t="s">
        <v>677</v>
      </c>
      <c r="K1055" s="1174" t="s">
        <v>678</v>
      </c>
      <c r="L1055" s="1175" t="s">
        <v>679</v>
      </c>
      <c r="M1055" s="1176">
        <v>2100000</v>
      </c>
      <c r="N1055" s="1344" t="s">
        <v>1002</v>
      </c>
      <c r="O1055" s="1171" t="s">
        <v>915</v>
      </c>
      <c r="P1055" s="1218" t="s">
        <v>759</v>
      </c>
      <c r="R1055" s="1327"/>
      <c r="S1055" s="1327"/>
      <c r="T1055" s="1327">
        <f>+'PAA V30'!$R1055-'PAA V30'!$S1055</f>
        <v>0</v>
      </c>
      <c r="U1055" s="1327"/>
      <c r="V1055" s="1327"/>
      <c r="W1055" s="1327"/>
    </row>
    <row r="1056" spans="1:23" s="1204" customFormat="1" ht="120" hidden="1" x14ac:dyDescent="0.2">
      <c r="A1056" s="1169">
        <v>20221160</v>
      </c>
      <c r="B1056" s="1169">
        <v>7658</v>
      </c>
      <c r="C1056" s="1326" t="s">
        <v>673</v>
      </c>
      <c r="D1056" s="1187" t="s">
        <v>702</v>
      </c>
      <c r="E1056" s="1171">
        <v>80111600</v>
      </c>
      <c r="F1056" s="1171" t="s">
        <v>1670</v>
      </c>
      <c r="G1056" s="1345">
        <v>44910</v>
      </c>
      <c r="H1056" s="1345">
        <v>44915</v>
      </c>
      <c r="I1056" s="1173">
        <v>1.5</v>
      </c>
      <c r="J1056" s="1173" t="s">
        <v>677</v>
      </c>
      <c r="K1056" s="1174" t="s">
        <v>678</v>
      </c>
      <c r="L1056" s="1175" t="s">
        <v>679</v>
      </c>
      <c r="M1056" s="1176">
        <v>3675000</v>
      </c>
      <c r="N1056" s="1344" t="s">
        <v>1002</v>
      </c>
      <c r="O1056" s="1171" t="s">
        <v>915</v>
      </c>
      <c r="P1056" s="1218" t="s">
        <v>759</v>
      </c>
      <c r="R1056" s="1327"/>
      <c r="S1056" s="1327"/>
      <c r="T1056" s="1327">
        <f>+'PAA V30'!$R1056-'PAA V30'!$S1056</f>
        <v>0</v>
      </c>
      <c r="U1056" s="1327"/>
      <c r="V1056" s="1327"/>
      <c r="W1056" s="1327"/>
    </row>
    <row r="1057" spans="1:23" s="1204" customFormat="1" ht="114.75" hidden="1" customHeight="1" x14ac:dyDescent="0.2">
      <c r="A1057" s="1169">
        <v>20221161</v>
      </c>
      <c r="B1057" s="1169">
        <v>7658</v>
      </c>
      <c r="C1057" s="1326" t="s">
        <v>673</v>
      </c>
      <c r="D1057" s="1187" t="s">
        <v>702</v>
      </c>
      <c r="E1057" s="1171">
        <v>80111600</v>
      </c>
      <c r="F1057" s="1171" t="s">
        <v>1671</v>
      </c>
      <c r="G1057" s="1345">
        <v>44910</v>
      </c>
      <c r="H1057" s="1345">
        <v>44915</v>
      </c>
      <c r="I1057" s="1173">
        <v>20</v>
      </c>
      <c r="J1057" s="1173" t="s">
        <v>677</v>
      </c>
      <c r="K1057" s="1174" t="s">
        <v>678</v>
      </c>
      <c r="L1057" s="1175" t="s">
        <v>679</v>
      </c>
      <c r="M1057" s="1176">
        <v>3400000</v>
      </c>
      <c r="N1057" s="1344" t="s">
        <v>1002</v>
      </c>
      <c r="O1057" s="1171" t="s">
        <v>915</v>
      </c>
      <c r="P1057" s="1218" t="s">
        <v>759</v>
      </c>
      <c r="R1057" s="1327"/>
      <c r="S1057" s="1327"/>
      <c r="T1057" s="1327">
        <f>+'PAA V30'!$R1057-'PAA V30'!$S1057</f>
        <v>0</v>
      </c>
      <c r="U1057" s="1327"/>
      <c r="V1057" s="1327"/>
      <c r="W1057" s="1327"/>
    </row>
    <row r="1058" spans="1:23" s="1204" customFormat="1" ht="106.5" hidden="1" customHeight="1" x14ac:dyDescent="0.2">
      <c r="A1058" s="1169">
        <v>20221162</v>
      </c>
      <c r="B1058" s="1169">
        <v>7658</v>
      </c>
      <c r="C1058" s="1326" t="s">
        <v>673</v>
      </c>
      <c r="D1058" s="1187" t="s">
        <v>702</v>
      </c>
      <c r="E1058" s="1171">
        <v>80111600</v>
      </c>
      <c r="F1058" s="1171" t="s">
        <v>1672</v>
      </c>
      <c r="G1058" s="1345">
        <v>44910</v>
      </c>
      <c r="H1058" s="1345">
        <v>44915</v>
      </c>
      <c r="I1058" s="1173">
        <v>1.5</v>
      </c>
      <c r="J1058" s="1173" t="s">
        <v>677</v>
      </c>
      <c r="K1058" s="1174" t="s">
        <v>678</v>
      </c>
      <c r="L1058" s="1175" t="s">
        <v>679</v>
      </c>
      <c r="M1058" s="1176">
        <v>3675000</v>
      </c>
      <c r="N1058" s="1344" t="s">
        <v>1002</v>
      </c>
      <c r="O1058" s="1171" t="s">
        <v>915</v>
      </c>
      <c r="P1058" s="1218" t="s">
        <v>759</v>
      </c>
      <c r="R1058" s="1327"/>
      <c r="S1058" s="1327"/>
      <c r="T1058" s="1327">
        <f>+'PAA V30'!$R1058-'PAA V30'!$S1058</f>
        <v>0</v>
      </c>
      <c r="U1058" s="1327"/>
      <c r="V1058" s="1327"/>
      <c r="W1058" s="1327"/>
    </row>
    <row r="1059" spans="1:23" s="1204" customFormat="1" ht="120" hidden="1" x14ac:dyDescent="0.2">
      <c r="A1059" s="1169">
        <v>20221163</v>
      </c>
      <c r="B1059" s="1169">
        <v>7658</v>
      </c>
      <c r="C1059" s="1326" t="s">
        <v>673</v>
      </c>
      <c r="D1059" s="1187" t="s">
        <v>702</v>
      </c>
      <c r="E1059" s="1171">
        <v>80111600</v>
      </c>
      <c r="F1059" s="1171" t="s">
        <v>1673</v>
      </c>
      <c r="G1059" s="1345">
        <v>44910</v>
      </c>
      <c r="H1059" s="1345">
        <v>44915</v>
      </c>
      <c r="I1059" s="1173">
        <v>1</v>
      </c>
      <c r="J1059" s="1173" t="s">
        <v>677</v>
      </c>
      <c r="K1059" s="1174" t="s">
        <v>678</v>
      </c>
      <c r="L1059" s="1175" t="s">
        <v>679</v>
      </c>
      <c r="M1059" s="1176">
        <v>2450000</v>
      </c>
      <c r="N1059" s="1344" t="s">
        <v>1002</v>
      </c>
      <c r="O1059" s="1171" t="s">
        <v>915</v>
      </c>
      <c r="P1059" s="1218" t="s">
        <v>759</v>
      </c>
      <c r="R1059" s="1327"/>
      <c r="S1059" s="1327"/>
      <c r="T1059" s="1327">
        <f>+'PAA V30'!$R1059-'PAA V30'!$S1059</f>
        <v>0</v>
      </c>
      <c r="U1059" s="1327"/>
      <c r="V1059" s="1327"/>
      <c r="W1059" s="1327"/>
    </row>
    <row r="1060" spans="1:23" s="1204" customFormat="1" ht="120" hidden="1" x14ac:dyDescent="0.2">
      <c r="A1060" s="1169">
        <v>20221164</v>
      </c>
      <c r="B1060" s="1169">
        <v>7658</v>
      </c>
      <c r="C1060" s="1326" t="s">
        <v>673</v>
      </c>
      <c r="D1060" s="1187" t="s">
        <v>702</v>
      </c>
      <c r="E1060" s="1171">
        <v>80111600</v>
      </c>
      <c r="F1060" s="1171" t="s">
        <v>1674</v>
      </c>
      <c r="G1060" s="1345">
        <v>44910</v>
      </c>
      <c r="H1060" s="1345">
        <v>44915</v>
      </c>
      <c r="I1060" s="1173">
        <v>1</v>
      </c>
      <c r="J1060" s="1173" t="s">
        <v>677</v>
      </c>
      <c r="K1060" s="1174" t="s">
        <v>678</v>
      </c>
      <c r="L1060" s="1175" t="s">
        <v>679</v>
      </c>
      <c r="M1060" s="1176">
        <v>2449999.92</v>
      </c>
      <c r="N1060" s="1344" t="s">
        <v>1002</v>
      </c>
      <c r="O1060" s="1171" t="s">
        <v>915</v>
      </c>
      <c r="P1060" s="1218" t="s">
        <v>759</v>
      </c>
      <c r="R1060" s="1327"/>
      <c r="S1060" s="1327"/>
      <c r="T1060" s="1327">
        <f>+'PAA V30'!$R1060-'PAA V30'!$S1060</f>
        <v>0</v>
      </c>
      <c r="U1060" s="1327"/>
      <c r="V1060" s="1327"/>
      <c r="W1060" s="1327"/>
    </row>
    <row r="1061" spans="1:23" s="1204" customFormat="1" ht="120" hidden="1" x14ac:dyDescent="0.2">
      <c r="A1061" s="1169">
        <v>20221165</v>
      </c>
      <c r="B1061" s="1169">
        <v>7658</v>
      </c>
      <c r="C1061" s="1326" t="s">
        <v>673</v>
      </c>
      <c r="D1061" s="1187" t="s">
        <v>702</v>
      </c>
      <c r="E1061" s="1171">
        <v>80111600</v>
      </c>
      <c r="F1061" s="1171" t="s">
        <v>1675</v>
      </c>
      <c r="G1061" s="1345">
        <v>44910</v>
      </c>
      <c r="H1061" s="1345">
        <v>44915</v>
      </c>
      <c r="I1061" s="1173">
        <v>1</v>
      </c>
      <c r="J1061" s="1173" t="s">
        <v>677</v>
      </c>
      <c r="K1061" s="1174" t="s">
        <v>678</v>
      </c>
      <c r="L1061" s="1175" t="s">
        <v>679</v>
      </c>
      <c r="M1061" s="1176">
        <v>2100000</v>
      </c>
      <c r="N1061" s="1344" t="s">
        <v>1002</v>
      </c>
      <c r="O1061" s="1171" t="s">
        <v>915</v>
      </c>
      <c r="P1061" s="1218" t="s">
        <v>759</v>
      </c>
      <c r="R1061" s="1327"/>
      <c r="S1061" s="1327"/>
      <c r="T1061" s="1327">
        <f>+'PAA V30'!$R1061-'PAA V30'!$S1061</f>
        <v>0</v>
      </c>
      <c r="U1061" s="1327"/>
      <c r="V1061" s="1327"/>
      <c r="W1061" s="1327"/>
    </row>
    <row r="1062" spans="1:23" s="1204" customFormat="1" ht="120" hidden="1" x14ac:dyDescent="0.2">
      <c r="A1062" s="1169">
        <v>20221166</v>
      </c>
      <c r="B1062" s="1169">
        <v>7658</v>
      </c>
      <c r="C1062" s="1326" t="s">
        <v>673</v>
      </c>
      <c r="D1062" s="1187" t="s">
        <v>702</v>
      </c>
      <c r="E1062" s="1171">
        <v>80111600</v>
      </c>
      <c r="F1062" s="1171" t="s">
        <v>1676</v>
      </c>
      <c r="G1062" s="1345">
        <v>44910</v>
      </c>
      <c r="H1062" s="1345">
        <v>44915</v>
      </c>
      <c r="I1062" s="1173">
        <v>1</v>
      </c>
      <c r="J1062" s="1173" t="s">
        <v>677</v>
      </c>
      <c r="K1062" s="1174" t="s">
        <v>678</v>
      </c>
      <c r="L1062" s="1175" t="s">
        <v>679</v>
      </c>
      <c r="M1062" s="1176">
        <v>2100000</v>
      </c>
      <c r="N1062" s="1344" t="s">
        <v>1002</v>
      </c>
      <c r="O1062" s="1171" t="s">
        <v>915</v>
      </c>
      <c r="P1062" s="1218" t="s">
        <v>759</v>
      </c>
      <c r="R1062" s="1327"/>
      <c r="S1062" s="1327"/>
      <c r="T1062" s="1327">
        <f>+'PAA V30'!$R1062-'PAA V30'!$S1062</f>
        <v>0</v>
      </c>
      <c r="U1062" s="1327"/>
      <c r="V1062" s="1327"/>
      <c r="W1062" s="1327"/>
    </row>
    <row r="1063" spans="1:23" s="1204" customFormat="1" ht="120" hidden="1" x14ac:dyDescent="0.2">
      <c r="A1063" s="1169">
        <v>20221167</v>
      </c>
      <c r="B1063" s="1169">
        <v>7658</v>
      </c>
      <c r="C1063" s="1326" t="s">
        <v>673</v>
      </c>
      <c r="D1063" s="1187" t="s">
        <v>702</v>
      </c>
      <c r="E1063" s="1171">
        <v>80111600</v>
      </c>
      <c r="F1063" s="1171" t="s">
        <v>1677</v>
      </c>
      <c r="G1063" s="1345">
        <v>44910</v>
      </c>
      <c r="H1063" s="1345">
        <v>44915</v>
      </c>
      <c r="I1063" s="1173">
        <v>1</v>
      </c>
      <c r="J1063" s="1173" t="s">
        <v>677</v>
      </c>
      <c r="K1063" s="1174" t="s">
        <v>678</v>
      </c>
      <c r="L1063" s="1175" t="s">
        <v>679</v>
      </c>
      <c r="M1063" s="1176">
        <v>2100000</v>
      </c>
      <c r="N1063" s="1344" t="s">
        <v>1002</v>
      </c>
      <c r="O1063" s="1171" t="s">
        <v>915</v>
      </c>
      <c r="P1063" s="1218" t="s">
        <v>759</v>
      </c>
      <c r="R1063" s="1327"/>
      <c r="S1063" s="1327"/>
      <c r="T1063" s="1327">
        <f>+'PAA V30'!$R1063-'PAA V30'!$S1063</f>
        <v>0</v>
      </c>
      <c r="U1063" s="1327"/>
      <c r="V1063" s="1327"/>
      <c r="W1063" s="1327"/>
    </row>
    <row r="1064" spans="1:23" s="1204" customFormat="1" ht="120" hidden="1" x14ac:dyDescent="0.2">
      <c r="A1064" s="1169">
        <v>20221168</v>
      </c>
      <c r="B1064" s="1169">
        <v>7658</v>
      </c>
      <c r="C1064" s="1326" t="s">
        <v>673</v>
      </c>
      <c r="D1064" s="1187" t="s">
        <v>702</v>
      </c>
      <c r="E1064" s="1171">
        <v>80111600</v>
      </c>
      <c r="F1064" s="1171" t="s">
        <v>1678</v>
      </c>
      <c r="G1064" s="1345">
        <v>44910</v>
      </c>
      <c r="H1064" s="1345">
        <v>44915</v>
      </c>
      <c r="I1064" s="1173">
        <v>22</v>
      </c>
      <c r="J1064" s="1173" t="s">
        <v>677</v>
      </c>
      <c r="K1064" s="1174" t="s">
        <v>678</v>
      </c>
      <c r="L1064" s="1175" t="s">
        <v>679</v>
      </c>
      <c r="M1064" s="1176">
        <v>1540000</v>
      </c>
      <c r="N1064" s="1344" t="s">
        <v>1002</v>
      </c>
      <c r="O1064" s="1171" t="s">
        <v>915</v>
      </c>
      <c r="P1064" s="1218" t="s">
        <v>759</v>
      </c>
      <c r="R1064" s="1327"/>
      <c r="S1064" s="1327"/>
      <c r="T1064" s="1327">
        <f>+'PAA V30'!$R1064-'PAA V30'!$S1064</f>
        <v>0</v>
      </c>
      <c r="U1064" s="1327"/>
      <c r="V1064" s="1327"/>
      <c r="W1064" s="1327"/>
    </row>
    <row r="1065" spans="1:23" s="1204" customFormat="1" ht="120" hidden="1" x14ac:dyDescent="0.2">
      <c r="A1065" s="1169">
        <v>20221169</v>
      </c>
      <c r="B1065" s="1169">
        <v>7658</v>
      </c>
      <c r="C1065" s="1326" t="s">
        <v>673</v>
      </c>
      <c r="D1065" s="1187" t="s">
        <v>702</v>
      </c>
      <c r="E1065" s="1171">
        <v>80111600</v>
      </c>
      <c r="F1065" s="1171" t="s">
        <v>1679</v>
      </c>
      <c r="G1065" s="1345">
        <v>44910</v>
      </c>
      <c r="H1065" s="1345">
        <v>44915</v>
      </c>
      <c r="I1065" s="1173">
        <v>1</v>
      </c>
      <c r="J1065" s="1173" t="s">
        <v>677</v>
      </c>
      <c r="K1065" s="1174" t="s">
        <v>678</v>
      </c>
      <c r="L1065" s="1175" t="s">
        <v>679</v>
      </c>
      <c r="M1065" s="1176">
        <v>2100000</v>
      </c>
      <c r="N1065" s="1344" t="s">
        <v>1002</v>
      </c>
      <c r="O1065" s="1171" t="s">
        <v>915</v>
      </c>
      <c r="P1065" s="1218" t="s">
        <v>759</v>
      </c>
      <c r="R1065" s="1327"/>
      <c r="S1065" s="1327"/>
      <c r="T1065" s="1327">
        <f>+'PAA V30'!$R1065-'PAA V30'!$S1065</f>
        <v>0</v>
      </c>
      <c r="U1065" s="1327"/>
      <c r="V1065" s="1327"/>
      <c r="W1065" s="1327"/>
    </row>
    <row r="1066" spans="1:23" s="1204" customFormat="1" ht="120" hidden="1" x14ac:dyDescent="0.2">
      <c r="A1066" s="1169">
        <v>20221170</v>
      </c>
      <c r="B1066" s="1169">
        <v>7658</v>
      </c>
      <c r="C1066" s="1326" t="s">
        <v>673</v>
      </c>
      <c r="D1066" s="1187" t="s">
        <v>702</v>
      </c>
      <c r="E1066" s="1171">
        <v>80111600</v>
      </c>
      <c r="F1066" s="1171" t="s">
        <v>1680</v>
      </c>
      <c r="G1066" s="1345">
        <v>44910</v>
      </c>
      <c r="H1066" s="1345">
        <v>44915</v>
      </c>
      <c r="I1066" s="1173">
        <v>22</v>
      </c>
      <c r="J1066" s="1173" t="s">
        <v>677</v>
      </c>
      <c r="K1066" s="1174" t="s">
        <v>678</v>
      </c>
      <c r="L1066" s="1175" t="s">
        <v>679</v>
      </c>
      <c r="M1066" s="1176">
        <v>1540000</v>
      </c>
      <c r="N1066" s="1344" t="s">
        <v>1002</v>
      </c>
      <c r="O1066" s="1171" t="s">
        <v>915</v>
      </c>
      <c r="P1066" s="1218" t="s">
        <v>759</v>
      </c>
      <c r="R1066" s="1327"/>
      <c r="S1066" s="1327"/>
      <c r="T1066" s="1327">
        <f>+'PAA V30'!$R1066-'PAA V30'!$S1066</f>
        <v>0</v>
      </c>
      <c r="U1066" s="1327"/>
      <c r="V1066" s="1327"/>
      <c r="W1066" s="1327"/>
    </row>
    <row r="1067" spans="1:23" s="1204" customFormat="1" ht="120" hidden="1" x14ac:dyDescent="0.2">
      <c r="A1067" s="1169">
        <v>20221171</v>
      </c>
      <c r="B1067" s="1169">
        <v>7658</v>
      </c>
      <c r="C1067" s="1326" t="s">
        <v>673</v>
      </c>
      <c r="D1067" s="1187" t="s">
        <v>702</v>
      </c>
      <c r="E1067" s="1171">
        <v>80111600</v>
      </c>
      <c r="F1067" s="1171" t="s">
        <v>1681</v>
      </c>
      <c r="G1067" s="1345">
        <v>44910</v>
      </c>
      <c r="H1067" s="1345">
        <v>44915</v>
      </c>
      <c r="I1067" s="1173">
        <v>1</v>
      </c>
      <c r="J1067" s="1173" t="s">
        <v>677</v>
      </c>
      <c r="K1067" s="1174" t="s">
        <v>678</v>
      </c>
      <c r="L1067" s="1175" t="s">
        <v>679</v>
      </c>
      <c r="M1067" s="1176">
        <v>2100000</v>
      </c>
      <c r="N1067" s="1344" t="s">
        <v>1002</v>
      </c>
      <c r="O1067" s="1171" t="s">
        <v>915</v>
      </c>
      <c r="P1067" s="1218" t="s">
        <v>759</v>
      </c>
      <c r="R1067" s="1327"/>
      <c r="S1067" s="1327"/>
      <c r="T1067" s="1327">
        <f>+'PAA V30'!$R1067-'PAA V30'!$S1067</f>
        <v>0</v>
      </c>
      <c r="U1067" s="1327"/>
      <c r="V1067" s="1327"/>
      <c r="W1067" s="1327"/>
    </row>
    <row r="1068" spans="1:23" s="1204" customFormat="1" ht="120" hidden="1" x14ac:dyDescent="0.2">
      <c r="A1068" s="1169">
        <v>20221172</v>
      </c>
      <c r="B1068" s="1169">
        <v>7658</v>
      </c>
      <c r="C1068" s="1326" t="s">
        <v>673</v>
      </c>
      <c r="D1068" s="1187" t="s">
        <v>702</v>
      </c>
      <c r="E1068" s="1171">
        <v>80111600</v>
      </c>
      <c r="F1068" s="1171" t="s">
        <v>1682</v>
      </c>
      <c r="G1068" s="1345">
        <v>44910</v>
      </c>
      <c r="H1068" s="1345">
        <v>44915</v>
      </c>
      <c r="I1068" s="1173">
        <v>18</v>
      </c>
      <c r="J1068" s="1173" t="s">
        <v>677</v>
      </c>
      <c r="K1068" s="1174" t="s">
        <v>678</v>
      </c>
      <c r="L1068" s="1175" t="s">
        <v>679</v>
      </c>
      <c r="M1068" s="1176">
        <v>1260000</v>
      </c>
      <c r="N1068" s="1344" t="s">
        <v>1002</v>
      </c>
      <c r="O1068" s="1171" t="s">
        <v>915</v>
      </c>
      <c r="P1068" s="1218" t="s">
        <v>759</v>
      </c>
      <c r="R1068" s="1327"/>
      <c r="S1068" s="1327"/>
      <c r="T1068" s="1327">
        <f>+'PAA V30'!$R1068-'PAA V30'!$S1068</f>
        <v>0</v>
      </c>
      <c r="U1068" s="1327"/>
      <c r="V1068" s="1327"/>
      <c r="W1068" s="1327"/>
    </row>
    <row r="1069" spans="1:23" s="1204" customFormat="1" ht="120" hidden="1" x14ac:dyDescent="0.2">
      <c r="A1069" s="1169">
        <v>20221173</v>
      </c>
      <c r="B1069" s="1169">
        <v>7658</v>
      </c>
      <c r="C1069" s="1326" t="s">
        <v>673</v>
      </c>
      <c r="D1069" s="1187" t="s">
        <v>702</v>
      </c>
      <c r="E1069" s="1171">
        <v>80111600</v>
      </c>
      <c r="F1069" s="1171" t="s">
        <v>1683</v>
      </c>
      <c r="G1069" s="1345">
        <v>44910</v>
      </c>
      <c r="H1069" s="1345">
        <v>44915</v>
      </c>
      <c r="I1069" s="1173">
        <v>22</v>
      </c>
      <c r="J1069" s="1173" t="s">
        <v>677</v>
      </c>
      <c r="K1069" s="1174" t="s">
        <v>678</v>
      </c>
      <c r="L1069" s="1175" t="s">
        <v>679</v>
      </c>
      <c r="M1069" s="1176">
        <v>1540000</v>
      </c>
      <c r="N1069" s="1344" t="s">
        <v>1002</v>
      </c>
      <c r="O1069" s="1171" t="s">
        <v>915</v>
      </c>
      <c r="P1069" s="1218" t="s">
        <v>759</v>
      </c>
      <c r="R1069" s="1327"/>
      <c r="S1069" s="1327"/>
      <c r="T1069" s="1327">
        <f>+'PAA V30'!$R1069-'PAA V30'!$S1069</f>
        <v>0</v>
      </c>
      <c r="U1069" s="1327"/>
      <c r="V1069" s="1327"/>
      <c r="W1069" s="1327"/>
    </row>
    <row r="1070" spans="1:23" s="1204" customFormat="1" ht="120" hidden="1" x14ac:dyDescent="0.2">
      <c r="A1070" s="1169">
        <v>20221174</v>
      </c>
      <c r="B1070" s="1169">
        <v>7658</v>
      </c>
      <c r="C1070" s="1326" t="s">
        <v>673</v>
      </c>
      <c r="D1070" s="1187" t="s">
        <v>702</v>
      </c>
      <c r="E1070" s="1171">
        <v>80111600</v>
      </c>
      <c r="F1070" s="1171" t="s">
        <v>1684</v>
      </c>
      <c r="G1070" s="1345">
        <v>44910</v>
      </c>
      <c r="H1070" s="1345">
        <v>44915</v>
      </c>
      <c r="I1070" s="1173">
        <v>1</v>
      </c>
      <c r="J1070" s="1173" t="s">
        <v>677</v>
      </c>
      <c r="K1070" s="1174" t="s">
        <v>678</v>
      </c>
      <c r="L1070" s="1175" t="s">
        <v>679</v>
      </c>
      <c r="M1070" s="1176">
        <v>2100000</v>
      </c>
      <c r="N1070" s="1344" t="s">
        <v>1002</v>
      </c>
      <c r="O1070" s="1171" t="s">
        <v>915</v>
      </c>
      <c r="P1070" s="1218" t="s">
        <v>759</v>
      </c>
      <c r="R1070" s="1327"/>
      <c r="S1070" s="1327"/>
      <c r="T1070" s="1327">
        <f>+'PAA V30'!$R1070-'PAA V30'!$S1070</f>
        <v>0</v>
      </c>
      <c r="U1070" s="1327"/>
      <c r="V1070" s="1327"/>
      <c r="W1070" s="1327"/>
    </row>
    <row r="1071" spans="1:23" s="1204" customFormat="1" ht="120" hidden="1" x14ac:dyDescent="0.2">
      <c r="A1071" s="1169">
        <v>20221175</v>
      </c>
      <c r="B1071" s="1169">
        <v>7658</v>
      </c>
      <c r="C1071" s="1326" t="s">
        <v>673</v>
      </c>
      <c r="D1071" s="1187" t="s">
        <v>702</v>
      </c>
      <c r="E1071" s="1171">
        <v>80111600</v>
      </c>
      <c r="F1071" s="1171" t="s">
        <v>1685</v>
      </c>
      <c r="G1071" s="1345">
        <v>44910</v>
      </c>
      <c r="H1071" s="1345">
        <v>44915</v>
      </c>
      <c r="I1071" s="1173">
        <v>1</v>
      </c>
      <c r="J1071" s="1173" t="s">
        <v>677</v>
      </c>
      <c r="K1071" s="1174" t="s">
        <v>678</v>
      </c>
      <c r="L1071" s="1175" t="s">
        <v>679</v>
      </c>
      <c r="M1071" s="1176">
        <v>2100000</v>
      </c>
      <c r="N1071" s="1344" t="s">
        <v>1002</v>
      </c>
      <c r="O1071" s="1171" t="s">
        <v>915</v>
      </c>
      <c r="P1071" s="1218" t="s">
        <v>759</v>
      </c>
      <c r="R1071" s="1327"/>
      <c r="S1071" s="1327"/>
      <c r="T1071" s="1327">
        <f>+'PAA V30'!$R1071-'PAA V30'!$S1071</f>
        <v>0</v>
      </c>
      <c r="U1071" s="1327"/>
      <c r="V1071" s="1327"/>
      <c r="W1071" s="1327"/>
    </row>
    <row r="1072" spans="1:23" s="1204" customFormat="1" ht="120" hidden="1" x14ac:dyDescent="0.2">
      <c r="A1072" s="1169">
        <v>20221176</v>
      </c>
      <c r="B1072" s="1169">
        <v>7658</v>
      </c>
      <c r="C1072" s="1326" t="s">
        <v>673</v>
      </c>
      <c r="D1072" s="1187" t="s">
        <v>702</v>
      </c>
      <c r="E1072" s="1171">
        <v>80111600</v>
      </c>
      <c r="F1072" s="1171" t="s">
        <v>1686</v>
      </c>
      <c r="G1072" s="1345">
        <v>44910</v>
      </c>
      <c r="H1072" s="1345">
        <v>44915</v>
      </c>
      <c r="I1072" s="1173">
        <v>1</v>
      </c>
      <c r="J1072" s="1173" t="s">
        <v>677</v>
      </c>
      <c r="K1072" s="1174" t="s">
        <v>678</v>
      </c>
      <c r="L1072" s="1175" t="s">
        <v>679</v>
      </c>
      <c r="M1072" s="1176">
        <v>2100000</v>
      </c>
      <c r="N1072" s="1344" t="s">
        <v>1002</v>
      </c>
      <c r="O1072" s="1171" t="s">
        <v>915</v>
      </c>
      <c r="P1072" s="1218" t="s">
        <v>759</v>
      </c>
      <c r="R1072" s="1327"/>
      <c r="S1072" s="1327"/>
      <c r="T1072" s="1327">
        <f>+'PAA V30'!$R1072-'PAA V30'!$S1072</f>
        <v>0</v>
      </c>
      <c r="U1072" s="1327"/>
      <c r="V1072" s="1327"/>
      <c r="W1072" s="1327"/>
    </row>
    <row r="1073" spans="1:23" s="1204" customFormat="1" ht="120" hidden="1" x14ac:dyDescent="0.2">
      <c r="A1073" s="1169">
        <v>20221177</v>
      </c>
      <c r="B1073" s="1169">
        <v>7658</v>
      </c>
      <c r="C1073" s="1326" t="s">
        <v>673</v>
      </c>
      <c r="D1073" s="1187" t="s">
        <v>702</v>
      </c>
      <c r="E1073" s="1171">
        <v>80111600</v>
      </c>
      <c r="F1073" s="1171" t="s">
        <v>1687</v>
      </c>
      <c r="G1073" s="1345">
        <v>44910</v>
      </c>
      <c r="H1073" s="1345">
        <v>44915</v>
      </c>
      <c r="I1073" s="1173">
        <v>1</v>
      </c>
      <c r="J1073" s="1173" t="s">
        <v>677</v>
      </c>
      <c r="K1073" s="1174" t="s">
        <v>678</v>
      </c>
      <c r="L1073" s="1175" t="s">
        <v>679</v>
      </c>
      <c r="M1073" s="1176">
        <v>2100000</v>
      </c>
      <c r="N1073" s="1344" t="s">
        <v>1002</v>
      </c>
      <c r="O1073" s="1171" t="s">
        <v>915</v>
      </c>
      <c r="P1073" s="1218" t="s">
        <v>759</v>
      </c>
      <c r="R1073" s="1327"/>
      <c r="S1073" s="1327"/>
      <c r="T1073" s="1327">
        <f>+'PAA V30'!$R1073-'PAA V30'!$S1073</f>
        <v>0</v>
      </c>
      <c r="U1073" s="1327"/>
      <c r="V1073" s="1327"/>
      <c r="W1073" s="1327"/>
    </row>
    <row r="1074" spans="1:23" s="1204" customFormat="1" ht="120" hidden="1" x14ac:dyDescent="0.2">
      <c r="A1074" s="1169">
        <v>20221178</v>
      </c>
      <c r="B1074" s="1169">
        <v>7658</v>
      </c>
      <c r="C1074" s="1326" t="s">
        <v>673</v>
      </c>
      <c r="D1074" s="1187" t="s">
        <v>702</v>
      </c>
      <c r="E1074" s="1171">
        <v>80111600</v>
      </c>
      <c r="F1074" s="1171" t="s">
        <v>1688</v>
      </c>
      <c r="G1074" s="1345">
        <v>44910</v>
      </c>
      <c r="H1074" s="1345">
        <v>44915</v>
      </c>
      <c r="I1074" s="1173">
        <v>1</v>
      </c>
      <c r="J1074" s="1173" t="s">
        <v>677</v>
      </c>
      <c r="K1074" s="1174" t="s">
        <v>678</v>
      </c>
      <c r="L1074" s="1175" t="s">
        <v>679</v>
      </c>
      <c r="M1074" s="1176">
        <v>2100000</v>
      </c>
      <c r="N1074" s="1344" t="s">
        <v>1002</v>
      </c>
      <c r="O1074" s="1171" t="s">
        <v>915</v>
      </c>
      <c r="P1074" s="1218" t="s">
        <v>759</v>
      </c>
      <c r="R1074" s="1327"/>
      <c r="S1074" s="1327"/>
      <c r="T1074" s="1327">
        <f>+'PAA V30'!$R1074-'PAA V30'!$S1074</f>
        <v>0</v>
      </c>
      <c r="U1074" s="1327"/>
      <c r="V1074" s="1327"/>
      <c r="W1074" s="1327"/>
    </row>
    <row r="1075" spans="1:23" s="1204" customFormat="1" ht="127.5" hidden="1" customHeight="1" x14ac:dyDescent="0.2">
      <c r="A1075" s="1169">
        <v>20221179</v>
      </c>
      <c r="B1075" s="1169">
        <v>7658</v>
      </c>
      <c r="C1075" s="1326" t="s">
        <v>673</v>
      </c>
      <c r="D1075" s="1187" t="s">
        <v>702</v>
      </c>
      <c r="E1075" s="1171">
        <v>80111600</v>
      </c>
      <c r="F1075" s="1171" t="s">
        <v>1689</v>
      </c>
      <c r="G1075" s="1345">
        <v>44910</v>
      </c>
      <c r="H1075" s="1345">
        <v>44915</v>
      </c>
      <c r="I1075" s="1173">
        <v>22</v>
      </c>
      <c r="J1075" s="1173" t="s">
        <v>677</v>
      </c>
      <c r="K1075" s="1174" t="s">
        <v>678</v>
      </c>
      <c r="L1075" s="1175" t="s">
        <v>679</v>
      </c>
      <c r="M1075" s="1176">
        <v>1540000</v>
      </c>
      <c r="N1075" s="1344" t="s">
        <v>1002</v>
      </c>
      <c r="O1075" s="1171" t="s">
        <v>915</v>
      </c>
      <c r="P1075" s="1218" t="s">
        <v>759</v>
      </c>
      <c r="R1075" s="1327"/>
      <c r="S1075" s="1327"/>
      <c r="T1075" s="1327">
        <f>+'PAA V30'!$R1075-'PAA V30'!$S1075</f>
        <v>0</v>
      </c>
      <c r="U1075" s="1327"/>
      <c r="V1075" s="1327"/>
      <c r="W1075" s="1327"/>
    </row>
    <row r="1076" spans="1:23" s="1295" customFormat="1" ht="75" hidden="1" x14ac:dyDescent="0.2">
      <c r="A1076" s="1169">
        <v>20221180</v>
      </c>
      <c r="B1076" s="1173">
        <v>7655</v>
      </c>
      <c r="C1076" s="1173" t="s">
        <v>648</v>
      </c>
      <c r="D1076" s="1187" t="s">
        <v>649</v>
      </c>
      <c r="E1076" s="1265">
        <v>80111600</v>
      </c>
      <c r="F1076" s="1171" t="s">
        <v>1690</v>
      </c>
      <c r="G1076" s="1346">
        <v>44909</v>
      </c>
      <c r="H1076" s="1345">
        <v>44909</v>
      </c>
      <c r="I1076" s="1277">
        <v>3</v>
      </c>
      <c r="J1076" s="1338" t="s">
        <v>677</v>
      </c>
      <c r="K1076" s="1339" t="s">
        <v>678</v>
      </c>
      <c r="L1076" s="1341" t="s">
        <v>679</v>
      </c>
      <c r="M1076" s="1347">
        <v>15000000</v>
      </c>
      <c r="N1076" s="1392" t="s">
        <v>784</v>
      </c>
      <c r="O1076" s="1348" t="s">
        <v>771</v>
      </c>
      <c r="P1076" s="1267" t="s">
        <v>682</v>
      </c>
      <c r="Q1076" s="1204"/>
      <c r="R1076" s="1340"/>
      <c r="S1076" s="1340"/>
      <c r="T1076" s="1340">
        <f>+'PAA V30'!$R1076-'PAA V30'!$S1076</f>
        <v>0</v>
      </c>
      <c r="U1076" s="1340"/>
      <c r="V1076" s="1340"/>
      <c r="W1076" s="1340"/>
    </row>
    <row r="1077" spans="1:23" s="1295" customFormat="1" ht="90" hidden="1" x14ac:dyDescent="0.25">
      <c r="A1077" s="1169">
        <v>20221181</v>
      </c>
      <c r="B1077" s="1173">
        <v>7655</v>
      </c>
      <c r="C1077" s="1173" t="s">
        <v>648</v>
      </c>
      <c r="D1077" s="1187" t="s">
        <v>649</v>
      </c>
      <c r="E1077" s="1265">
        <v>80111600</v>
      </c>
      <c r="F1077" s="1171" t="s">
        <v>1691</v>
      </c>
      <c r="G1077" s="1346">
        <v>44909</v>
      </c>
      <c r="H1077" s="1345">
        <v>44909</v>
      </c>
      <c r="I1077" s="1277">
        <v>1</v>
      </c>
      <c r="J1077" s="1338" t="s">
        <v>677</v>
      </c>
      <c r="K1077" s="1339" t="s">
        <v>678</v>
      </c>
      <c r="L1077" s="1342" t="s">
        <v>679</v>
      </c>
      <c r="M1077" s="1347">
        <v>14000000</v>
      </c>
      <c r="N1077" s="1392" t="s">
        <v>784</v>
      </c>
      <c r="O1077" s="1218" t="s">
        <v>771</v>
      </c>
      <c r="P1077" s="1267" t="s">
        <v>759</v>
      </c>
      <c r="R1077" s="1340"/>
      <c r="S1077" s="1340"/>
      <c r="T1077" s="1340">
        <f>+'PAA V30'!$R1077-'PAA V30'!$S1077</f>
        <v>0</v>
      </c>
      <c r="U1077" s="1340"/>
      <c r="V1077" s="1340"/>
      <c r="W1077" s="1340"/>
    </row>
    <row r="1078" spans="1:23" s="1295" customFormat="1" ht="90" hidden="1" x14ac:dyDescent="0.25">
      <c r="A1078" s="1169">
        <v>20221182</v>
      </c>
      <c r="B1078" s="1173">
        <v>7655</v>
      </c>
      <c r="C1078" s="1173" t="s">
        <v>648</v>
      </c>
      <c r="D1078" s="1187" t="s">
        <v>649</v>
      </c>
      <c r="E1078" s="1265">
        <v>80111600</v>
      </c>
      <c r="F1078" s="1171" t="s">
        <v>1692</v>
      </c>
      <c r="G1078" s="1346">
        <v>44909</v>
      </c>
      <c r="H1078" s="1345">
        <v>44909</v>
      </c>
      <c r="I1078" s="1277">
        <v>1</v>
      </c>
      <c r="J1078" s="1338" t="s">
        <v>677</v>
      </c>
      <c r="K1078" s="1339" t="s">
        <v>678</v>
      </c>
      <c r="L1078" s="1342" t="s">
        <v>679</v>
      </c>
      <c r="M1078" s="1347">
        <v>13765333</v>
      </c>
      <c r="N1078" s="1392" t="s">
        <v>784</v>
      </c>
      <c r="O1078" s="1218" t="s">
        <v>771</v>
      </c>
      <c r="P1078" s="1267" t="s">
        <v>759</v>
      </c>
      <c r="R1078" s="1340"/>
      <c r="S1078" s="1340"/>
      <c r="T1078" s="1340">
        <f>+'PAA V30'!$R1078-'PAA V30'!$S1078</f>
        <v>0</v>
      </c>
      <c r="U1078" s="1340"/>
      <c r="V1078" s="1340"/>
      <c r="W1078" s="1340"/>
    </row>
    <row r="1079" spans="1:23" s="1295" customFormat="1" ht="75" hidden="1" customHeight="1" x14ac:dyDescent="0.25">
      <c r="A1079" s="1169">
        <v>20221183</v>
      </c>
      <c r="B1079" s="1173">
        <v>7655</v>
      </c>
      <c r="C1079" s="1173" t="s">
        <v>648</v>
      </c>
      <c r="D1079" s="1187" t="s">
        <v>649</v>
      </c>
      <c r="E1079" s="1265">
        <v>80111600</v>
      </c>
      <c r="F1079" s="1171" t="s">
        <v>1693</v>
      </c>
      <c r="G1079" s="1346">
        <v>44909</v>
      </c>
      <c r="H1079" s="1345">
        <v>44909</v>
      </c>
      <c r="I1079" s="1277">
        <v>1</v>
      </c>
      <c r="J1079" s="1338" t="s">
        <v>677</v>
      </c>
      <c r="K1079" s="1173" t="s">
        <v>678</v>
      </c>
      <c r="L1079" s="1210" t="s">
        <v>679</v>
      </c>
      <c r="M1079" s="1347">
        <v>8800000</v>
      </c>
      <c r="N1079" s="1392" t="s">
        <v>784</v>
      </c>
      <c r="O1079" s="1218" t="s">
        <v>771</v>
      </c>
      <c r="P1079" s="1267" t="s">
        <v>759</v>
      </c>
      <c r="R1079" s="1340"/>
      <c r="S1079" s="1340"/>
      <c r="T1079" s="1340">
        <f>+'PAA V30'!$R1079-'PAA V30'!$S1079</f>
        <v>0</v>
      </c>
      <c r="U1079" s="1340"/>
      <c r="V1079" s="1340"/>
      <c r="W1079" s="1340"/>
    </row>
    <row r="1080" spans="1:23" s="1295" customFormat="1" ht="75" hidden="1" customHeight="1" x14ac:dyDescent="0.25">
      <c r="A1080" s="1169">
        <v>20221184</v>
      </c>
      <c r="B1080" s="1169">
        <v>7655</v>
      </c>
      <c r="C1080" s="1326" t="s">
        <v>648</v>
      </c>
      <c r="D1080" s="1187" t="s">
        <v>690</v>
      </c>
      <c r="E1080" s="1171">
        <v>80111600</v>
      </c>
      <c r="F1080" s="1171" t="s">
        <v>1694</v>
      </c>
      <c r="G1080" s="1343">
        <v>44890</v>
      </c>
      <c r="H1080" s="1343">
        <v>44890</v>
      </c>
      <c r="I1080" s="1173">
        <v>1</v>
      </c>
      <c r="J1080" s="1173" t="s">
        <v>677</v>
      </c>
      <c r="K1080" s="1174" t="s">
        <v>678</v>
      </c>
      <c r="L1080" s="1175" t="s">
        <v>679</v>
      </c>
      <c r="M1080" s="1176">
        <v>9000000</v>
      </c>
      <c r="N1080" s="1344" t="s">
        <v>784</v>
      </c>
      <c r="O1080" s="1171" t="s">
        <v>771</v>
      </c>
      <c r="P1080" s="1218" t="s">
        <v>759</v>
      </c>
      <c r="R1080" s="1340"/>
      <c r="S1080" s="1340"/>
      <c r="T1080" s="1340"/>
      <c r="U1080" s="1340"/>
      <c r="V1080" s="1340"/>
      <c r="W1080" s="1340"/>
    </row>
    <row r="1081" spans="1:23" s="1295" customFormat="1" ht="75" hidden="1" customHeight="1" x14ac:dyDescent="0.25">
      <c r="A1081" s="1169">
        <v>20221185</v>
      </c>
      <c r="B1081" s="1173">
        <v>7658</v>
      </c>
      <c r="C1081" s="1173" t="s">
        <v>673</v>
      </c>
      <c r="D1081" s="1187" t="s">
        <v>693</v>
      </c>
      <c r="E1081" s="1265">
        <v>80111600</v>
      </c>
      <c r="F1081" s="1171" t="s">
        <v>1695</v>
      </c>
      <c r="G1081" s="1346">
        <v>44866</v>
      </c>
      <c r="H1081" s="1345">
        <v>44895</v>
      </c>
      <c r="I1081" s="1277">
        <v>1</v>
      </c>
      <c r="J1081" s="1338" t="s">
        <v>677</v>
      </c>
      <c r="K1081" s="1339" t="s">
        <v>678</v>
      </c>
      <c r="L1081" s="1342" t="s">
        <v>679</v>
      </c>
      <c r="M1081" s="1347">
        <v>4850000</v>
      </c>
      <c r="N1081" s="1344" t="s">
        <v>1032</v>
      </c>
      <c r="O1081" s="1218" t="s">
        <v>1033</v>
      </c>
      <c r="P1081" s="1267" t="s">
        <v>759</v>
      </c>
      <c r="R1081" s="1340"/>
      <c r="S1081" s="1340"/>
      <c r="T1081" s="1340">
        <f>+'PAA V30'!$R1081-'PAA V30'!$S1081</f>
        <v>0</v>
      </c>
      <c r="U1081" s="1340"/>
      <c r="V1081" s="1340"/>
      <c r="W1081" s="1340"/>
    </row>
    <row r="1082" spans="1:23" s="1295" customFormat="1" ht="90" hidden="1" customHeight="1" x14ac:dyDescent="0.25">
      <c r="A1082" s="1169">
        <v>20221186</v>
      </c>
      <c r="B1082" s="1173">
        <v>7658</v>
      </c>
      <c r="C1082" s="1173" t="s">
        <v>673</v>
      </c>
      <c r="D1082" s="1187" t="s">
        <v>693</v>
      </c>
      <c r="E1082" s="1265">
        <v>80111600</v>
      </c>
      <c r="F1082" s="1171" t="s">
        <v>1696</v>
      </c>
      <c r="G1082" s="1346">
        <v>44774</v>
      </c>
      <c r="H1082" s="1345">
        <v>44804</v>
      </c>
      <c r="I1082" s="1277">
        <v>1</v>
      </c>
      <c r="J1082" s="1338" t="s">
        <v>677</v>
      </c>
      <c r="K1082" s="1173" t="s">
        <v>678</v>
      </c>
      <c r="L1082" s="1210" t="s">
        <v>679</v>
      </c>
      <c r="M1082" s="1347">
        <v>8000000</v>
      </c>
      <c r="N1082" s="1344" t="s">
        <v>1032</v>
      </c>
      <c r="O1082" s="1218" t="s">
        <v>1033</v>
      </c>
      <c r="P1082" s="1267" t="s">
        <v>759</v>
      </c>
      <c r="R1082" s="1340"/>
      <c r="S1082" s="1340"/>
      <c r="T1082" s="1340">
        <f>+'PAA V30'!$R1082-'PAA V30'!$S1082</f>
        <v>0</v>
      </c>
      <c r="U1082" s="1340"/>
      <c r="V1082" s="1340"/>
      <c r="W1082" s="1340"/>
    </row>
    <row r="1083" spans="1:23" s="1295" customFormat="1" ht="138.75" hidden="1" customHeight="1" x14ac:dyDescent="0.25">
      <c r="A1083" s="1169">
        <v>20221187</v>
      </c>
      <c r="B1083" s="1173">
        <v>7655</v>
      </c>
      <c r="C1083" s="1173" t="s">
        <v>648</v>
      </c>
      <c r="D1083" s="1187" t="s">
        <v>690</v>
      </c>
      <c r="E1083" s="1265" t="s">
        <v>781</v>
      </c>
      <c r="F1083" s="1171" t="s">
        <v>832</v>
      </c>
      <c r="G1083" s="1346">
        <v>44914</v>
      </c>
      <c r="H1083" s="1345">
        <v>44911</v>
      </c>
      <c r="I1083" s="1277">
        <v>4</v>
      </c>
      <c r="J1083" s="1338" t="s">
        <v>677</v>
      </c>
      <c r="K1083" s="1339" t="s">
        <v>678</v>
      </c>
      <c r="L1083" s="1342" t="s">
        <v>679</v>
      </c>
      <c r="M1083" s="1347">
        <v>9800000</v>
      </c>
      <c r="N1083" s="1344" t="s">
        <v>784</v>
      </c>
      <c r="O1083" s="1218" t="s">
        <v>771</v>
      </c>
      <c r="P1083" s="1267" t="s">
        <v>682</v>
      </c>
      <c r="R1083" s="1340"/>
      <c r="S1083" s="1340"/>
      <c r="T1083" s="1340">
        <f>+'PAA V30'!$R1083-'PAA V30'!$S1083</f>
        <v>0</v>
      </c>
      <c r="U1083" s="1340"/>
      <c r="V1083" s="1340"/>
      <c r="W1083" s="1340"/>
    </row>
    <row r="1084" spans="1:23" s="1295" customFormat="1" ht="102" hidden="1" customHeight="1" x14ac:dyDescent="0.25">
      <c r="A1084" s="1169">
        <v>20221188</v>
      </c>
      <c r="B1084" s="1173">
        <v>7655</v>
      </c>
      <c r="C1084" s="1173" t="s">
        <v>648</v>
      </c>
      <c r="D1084" s="1187" t="s">
        <v>690</v>
      </c>
      <c r="E1084" s="1265" t="s">
        <v>781</v>
      </c>
      <c r="F1084" s="1171" t="s">
        <v>1697</v>
      </c>
      <c r="G1084" s="1346">
        <v>44914</v>
      </c>
      <c r="H1084" s="1345">
        <v>44911</v>
      </c>
      <c r="I1084" s="1277">
        <v>4</v>
      </c>
      <c r="J1084" s="1338" t="s">
        <v>677</v>
      </c>
      <c r="K1084" s="1173" t="s">
        <v>678</v>
      </c>
      <c r="L1084" s="1210" t="s">
        <v>679</v>
      </c>
      <c r="M1084" s="1347">
        <f>11000000-11000000</f>
        <v>0</v>
      </c>
      <c r="N1084" s="1344" t="s">
        <v>784</v>
      </c>
      <c r="O1084" s="1218" t="s">
        <v>771</v>
      </c>
      <c r="P1084" s="1267" t="s">
        <v>682</v>
      </c>
      <c r="R1084" s="1340"/>
      <c r="S1084" s="1340"/>
      <c r="T1084" s="1340">
        <f>+'PAA V30'!$R1084-'PAA V30'!$S1084</f>
        <v>0</v>
      </c>
      <c r="U1084" s="1340"/>
      <c r="V1084" s="1340"/>
      <c r="W1084" s="1340"/>
    </row>
    <row r="1085" spans="1:23" s="1295" customFormat="1" ht="138.75" hidden="1" customHeight="1" x14ac:dyDescent="0.25">
      <c r="A1085" s="1169">
        <v>20221189</v>
      </c>
      <c r="B1085" s="1173">
        <v>7655</v>
      </c>
      <c r="C1085" s="1173" t="s">
        <v>648</v>
      </c>
      <c r="D1085" s="1187" t="s">
        <v>690</v>
      </c>
      <c r="E1085" s="1265" t="s">
        <v>781</v>
      </c>
      <c r="F1085" s="1171" t="s">
        <v>1698</v>
      </c>
      <c r="G1085" s="1346">
        <v>44914</v>
      </c>
      <c r="H1085" s="1345">
        <v>44911</v>
      </c>
      <c r="I1085" s="1277">
        <v>4</v>
      </c>
      <c r="J1085" s="1338" t="s">
        <v>677</v>
      </c>
      <c r="K1085" s="1339" t="s">
        <v>678</v>
      </c>
      <c r="L1085" s="1342" t="s">
        <v>679</v>
      </c>
      <c r="M1085" s="1347">
        <v>15400000</v>
      </c>
      <c r="N1085" s="1344" t="s">
        <v>784</v>
      </c>
      <c r="O1085" s="1218" t="s">
        <v>771</v>
      </c>
      <c r="P1085" s="1267" t="s">
        <v>682</v>
      </c>
      <c r="R1085" s="1340"/>
      <c r="S1085" s="1340"/>
      <c r="T1085" s="1340">
        <f>+'PAA V30'!$R1085-'PAA V30'!$S1085</f>
        <v>0</v>
      </c>
      <c r="U1085" s="1340"/>
      <c r="V1085" s="1340"/>
      <c r="W1085" s="1340"/>
    </row>
    <row r="1086" spans="1:23" s="1295" customFormat="1" ht="102" hidden="1" customHeight="1" x14ac:dyDescent="0.25">
      <c r="A1086" s="1169">
        <v>20221190</v>
      </c>
      <c r="B1086" s="1173">
        <v>7655</v>
      </c>
      <c r="C1086" s="1173" t="s">
        <v>648</v>
      </c>
      <c r="D1086" s="1187" t="s">
        <v>690</v>
      </c>
      <c r="E1086" s="1265" t="s">
        <v>781</v>
      </c>
      <c r="F1086" s="1171" t="s">
        <v>1699</v>
      </c>
      <c r="G1086" s="1346">
        <v>44914</v>
      </c>
      <c r="H1086" s="1345">
        <v>44911</v>
      </c>
      <c r="I1086" s="1277">
        <v>2</v>
      </c>
      <c r="J1086" s="1338" t="s">
        <v>677</v>
      </c>
      <c r="K1086" s="1173" t="s">
        <v>678</v>
      </c>
      <c r="L1086" s="1210" t="s">
        <v>679</v>
      </c>
      <c r="M1086" s="1347">
        <v>4900000</v>
      </c>
      <c r="N1086" s="1344" t="s">
        <v>784</v>
      </c>
      <c r="O1086" s="1218" t="s">
        <v>771</v>
      </c>
      <c r="P1086" s="1267" t="s">
        <v>759</v>
      </c>
      <c r="R1086" s="1340"/>
      <c r="S1086" s="1340"/>
      <c r="T1086" s="1340">
        <f>+'PAA V30'!$R1086-'PAA V30'!$S1086</f>
        <v>0</v>
      </c>
      <c r="U1086" s="1340"/>
      <c r="V1086" s="1340"/>
      <c r="W1086" s="1340"/>
    </row>
    <row r="1087" spans="1:23" s="1295" customFormat="1" ht="138.75" hidden="1" customHeight="1" x14ac:dyDescent="0.25">
      <c r="A1087" s="1169">
        <v>20221191</v>
      </c>
      <c r="B1087" s="1173">
        <v>7655</v>
      </c>
      <c r="C1087" s="1173" t="s">
        <v>648</v>
      </c>
      <c r="D1087" s="1187" t="s">
        <v>690</v>
      </c>
      <c r="E1087" s="1265" t="s">
        <v>781</v>
      </c>
      <c r="F1087" s="1171" t="s">
        <v>1700</v>
      </c>
      <c r="G1087" s="1346">
        <v>44914</v>
      </c>
      <c r="H1087" s="1345">
        <v>44911</v>
      </c>
      <c r="I1087" s="1277">
        <v>2</v>
      </c>
      <c r="J1087" s="1338" t="s">
        <v>677</v>
      </c>
      <c r="K1087" s="1339" t="s">
        <v>678</v>
      </c>
      <c r="L1087" s="1342" t="s">
        <v>679</v>
      </c>
      <c r="M1087" s="1347">
        <v>14000000</v>
      </c>
      <c r="N1087" s="1344" t="s">
        <v>784</v>
      </c>
      <c r="O1087" s="1218" t="s">
        <v>771</v>
      </c>
      <c r="P1087" s="1267" t="s">
        <v>759</v>
      </c>
      <c r="R1087" s="1340"/>
      <c r="S1087" s="1340"/>
      <c r="T1087" s="1340">
        <f>+'PAA V30'!$R1087-'PAA V30'!$S1087</f>
        <v>0</v>
      </c>
      <c r="U1087" s="1340"/>
      <c r="V1087" s="1340"/>
      <c r="W1087" s="1340"/>
    </row>
    <row r="1088" spans="1:23" s="1295" customFormat="1" ht="102" hidden="1" customHeight="1" x14ac:dyDescent="0.25">
      <c r="A1088" s="1169">
        <v>20221192</v>
      </c>
      <c r="B1088" s="1173">
        <v>7655</v>
      </c>
      <c r="C1088" s="1173" t="s">
        <v>648</v>
      </c>
      <c r="D1088" s="1187" t="s">
        <v>690</v>
      </c>
      <c r="E1088" s="1265" t="s">
        <v>781</v>
      </c>
      <c r="F1088" s="1171" t="s">
        <v>1701</v>
      </c>
      <c r="G1088" s="1346">
        <v>44914</v>
      </c>
      <c r="H1088" s="1345">
        <v>44911</v>
      </c>
      <c r="I1088" s="1277">
        <v>2</v>
      </c>
      <c r="J1088" s="1338" t="s">
        <v>677</v>
      </c>
      <c r="K1088" s="1173" t="s">
        <v>678</v>
      </c>
      <c r="L1088" s="1210" t="s">
        <v>679</v>
      </c>
      <c r="M1088" s="1347">
        <v>4900000</v>
      </c>
      <c r="N1088" s="1344" t="s">
        <v>784</v>
      </c>
      <c r="O1088" s="1218" t="s">
        <v>771</v>
      </c>
      <c r="P1088" s="1267" t="s">
        <v>759</v>
      </c>
      <c r="R1088" s="1340"/>
      <c r="S1088" s="1340"/>
      <c r="T1088" s="1340">
        <f>+'PAA V30'!$R1088-'PAA V30'!$S1088</f>
        <v>0</v>
      </c>
      <c r="U1088" s="1340"/>
      <c r="V1088" s="1340"/>
      <c r="W1088" s="1340"/>
    </row>
    <row r="1089" spans="1:23" s="1295" customFormat="1" ht="138.75" hidden="1" customHeight="1" x14ac:dyDescent="0.25">
      <c r="A1089" s="1169">
        <v>20221193</v>
      </c>
      <c r="B1089" s="1173">
        <v>7655</v>
      </c>
      <c r="C1089" s="1173" t="s">
        <v>648</v>
      </c>
      <c r="D1089" s="1187" t="s">
        <v>690</v>
      </c>
      <c r="E1089" s="1265" t="s">
        <v>781</v>
      </c>
      <c r="F1089" s="1171" t="s">
        <v>1702</v>
      </c>
      <c r="G1089" s="1346">
        <v>44914</v>
      </c>
      <c r="H1089" s="1345">
        <v>44911</v>
      </c>
      <c r="I1089" s="1277">
        <v>2</v>
      </c>
      <c r="J1089" s="1338" t="s">
        <v>677</v>
      </c>
      <c r="K1089" s="1339" t="s">
        <v>678</v>
      </c>
      <c r="L1089" s="1342" t="s">
        <v>679</v>
      </c>
      <c r="M1089" s="1347">
        <v>4900000</v>
      </c>
      <c r="N1089" s="1344" t="s">
        <v>784</v>
      </c>
      <c r="O1089" s="1218" t="s">
        <v>771</v>
      </c>
      <c r="P1089" s="1267" t="s">
        <v>759</v>
      </c>
      <c r="R1089" s="1340"/>
      <c r="S1089" s="1340"/>
      <c r="T1089" s="1340">
        <f>+'PAA V30'!$R1089-'PAA V30'!$S1089</f>
        <v>0</v>
      </c>
      <c r="U1089" s="1340"/>
      <c r="V1089" s="1340"/>
      <c r="W1089" s="1340"/>
    </row>
    <row r="1090" spans="1:23" s="1295" customFormat="1" ht="102" hidden="1" customHeight="1" x14ac:dyDescent="0.25">
      <c r="A1090" s="1169">
        <v>20221194</v>
      </c>
      <c r="B1090" s="1173">
        <v>7655</v>
      </c>
      <c r="C1090" s="1173" t="s">
        <v>648</v>
      </c>
      <c r="D1090" s="1187" t="s">
        <v>690</v>
      </c>
      <c r="E1090" s="1265" t="s">
        <v>781</v>
      </c>
      <c r="F1090" s="1171" t="s">
        <v>1703</v>
      </c>
      <c r="G1090" s="1346">
        <v>44914</v>
      </c>
      <c r="H1090" s="1345">
        <v>44911</v>
      </c>
      <c r="I1090" s="1277">
        <v>2</v>
      </c>
      <c r="J1090" s="1338" t="s">
        <v>677</v>
      </c>
      <c r="K1090" s="1173" t="s">
        <v>678</v>
      </c>
      <c r="L1090" s="1210" t="s">
        <v>679</v>
      </c>
      <c r="M1090" s="1347">
        <v>4900000</v>
      </c>
      <c r="N1090" s="1344" t="s">
        <v>784</v>
      </c>
      <c r="O1090" s="1218" t="s">
        <v>771</v>
      </c>
      <c r="P1090" s="1267" t="s">
        <v>759</v>
      </c>
      <c r="R1090" s="1340"/>
      <c r="S1090" s="1340"/>
      <c r="T1090" s="1340">
        <f>+'PAA V30'!$R1090-'PAA V30'!$S1090</f>
        <v>0</v>
      </c>
      <c r="U1090" s="1340"/>
      <c r="V1090" s="1340"/>
      <c r="W1090" s="1340"/>
    </row>
    <row r="1091" spans="1:23" s="1295" customFormat="1" ht="138.75" hidden="1" customHeight="1" x14ac:dyDescent="0.25">
      <c r="A1091" s="1169">
        <v>20221195</v>
      </c>
      <c r="B1091" s="1173">
        <v>7655</v>
      </c>
      <c r="C1091" s="1173" t="s">
        <v>648</v>
      </c>
      <c r="D1091" s="1187" t="s">
        <v>690</v>
      </c>
      <c r="E1091" s="1265" t="s">
        <v>781</v>
      </c>
      <c r="F1091" s="1171" t="s">
        <v>1704</v>
      </c>
      <c r="G1091" s="1346">
        <v>44914</v>
      </c>
      <c r="H1091" s="1345">
        <v>44911</v>
      </c>
      <c r="I1091" s="1277">
        <v>2</v>
      </c>
      <c r="J1091" s="1338" t="s">
        <v>677</v>
      </c>
      <c r="K1091" s="1339" t="s">
        <v>678</v>
      </c>
      <c r="L1091" s="1342" t="s">
        <v>679</v>
      </c>
      <c r="M1091" s="1347">
        <v>4900000</v>
      </c>
      <c r="N1091" s="1344" t="s">
        <v>784</v>
      </c>
      <c r="O1091" s="1218" t="s">
        <v>771</v>
      </c>
      <c r="P1091" s="1267" t="s">
        <v>759</v>
      </c>
      <c r="R1091" s="1340"/>
      <c r="S1091" s="1340"/>
      <c r="T1091" s="1340">
        <f>+'PAA V30'!$R1091-'PAA V30'!$S1091</f>
        <v>0</v>
      </c>
      <c r="U1091" s="1340"/>
      <c r="V1091" s="1340"/>
      <c r="W1091" s="1340"/>
    </row>
    <row r="1092" spans="1:23" s="1295" customFormat="1" ht="102" hidden="1" customHeight="1" x14ac:dyDescent="0.25">
      <c r="A1092" s="1169">
        <v>20221196</v>
      </c>
      <c r="B1092" s="1173">
        <v>7655</v>
      </c>
      <c r="C1092" s="1173" t="s">
        <v>648</v>
      </c>
      <c r="D1092" s="1187" t="s">
        <v>690</v>
      </c>
      <c r="E1092" s="1265" t="s">
        <v>781</v>
      </c>
      <c r="F1092" s="1171" t="s">
        <v>1705</v>
      </c>
      <c r="G1092" s="1346">
        <v>44914</v>
      </c>
      <c r="H1092" s="1345">
        <v>44911</v>
      </c>
      <c r="I1092" s="1277">
        <v>2</v>
      </c>
      <c r="J1092" s="1338" t="s">
        <v>677</v>
      </c>
      <c r="K1092" s="1173" t="s">
        <v>678</v>
      </c>
      <c r="L1092" s="1210" t="s">
        <v>679</v>
      </c>
      <c r="M1092" s="1347">
        <v>4900000</v>
      </c>
      <c r="N1092" s="1344" t="s">
        <v>784</v>
      </c>
      <c r="O1092" s="1218" t="s">
        <v>771</v>
      </c>
      <c r="P1092" s="1267" t="s">
        <v>759</v>
      </c>
      <c r="R1092" s="1340"/>
      <c r="S1092" s="1340"/>
      <c r="T1092" s="1340">
        <f>+'PAA V30'!$R1092-'PAA V30'!$S1092</f>
        <v>0</v>
      </c>
      <c r="U1092" s="1340"/>
      <c r="V1092" s="1340"/>
      <c r="W1092" s="1340"/>
    </row>
    <row r="1093" spans="1:23" s="1295" customFormat="1" ht="138.75" hidden="1" customHeight="1" x14ac:dyDescent="0.25">
      <c r="A1093" s="1169">
        <v>20221197</v>
      </c>
      <c r="B1093" s="1173">
        <v>7655</v>
      </c>
      <c r="C1093" s="1173" t="s">
        <v>648</v>
      </c>
      <c r="D1093" s="1187" t="s">
        <v>690</v>
      </c>
      <c r="E1093" s="1265" t="s">
        <v>781</v>
      </c>
      <c r="F1093" s="1171" t="s">
        <v>1706</v>
      </c>
      <c r="G1093" s="1346">
        <v>44914</v>
      </c>
      <c r="H1093" s="1345">
        <v>44911</v>
      </c>
      <c r="I1093" s="1277">
        <v>2</v>
      </c>
      <c r="J1093" s="1338" t="s">
        <v>677</v>
      </c>
      <c r="K1093" s="1339" t="s">
        <v>678</v>
      </c>
      <c r="L1093" s="1342" t="s">
        <v>679</v>
      </c>
      <c r="M1093" s="1347">
        <v>4900000</v>
      </c>
      <c r="N1093" s="1344" t="s">
        <v>784</v>
      </c>
      <c r="O1093" s="1218" t="s">
        <v>771</v>
      </c>
      <c r="P1093" s="1267" t="s">
        <v>759</v>
      </c>
      <c r="R1093" s="1340"/>
      <c r="S1093" s="1340"/>
      <c r="T1093" s="1340">
        <f>+'PAA V30'!$R1093-'PAA V30'!$S1093</f>
        <v>0</v>
      </c>
      <c r="U1093" s="1340"/>
      <c r="V1093" s="1340"/>
      <c r="W1093" s="1340"/>
    </row>
    <row r="1094" spans="1:23" s="1295" customFormat="1" ht="102" hidden="1" customHeight="1" x14ac:dyDescent="0.25">
      <c r="A1094" s="1169">
        <v>20221198</v>
      </c>
      <c r="B1094" s="1173">
        <v>7655</v>
      </c>
      <c r="C1094" s="1173" t="s">
        <v>648</v>
      </c>
      <c r="D1094" s="1187" t="s">
        <v>690</v>
      </c>
      <c r="E1094" s="1265" t="s">
        <v>781</v>
      </c>
      <c r="F1094" s="1171" t="s">
        <v>1707</v>
      </c>
      <c r="G1094" s="1346">
        <v>44914</v>
      </c>
      <c r="H1094" s="1345">
        <v>44911</v>
      </c>
      <c r="I1094" s="1277">
        <v>2</v>
      </c>
      <c r="J1094" s="1338" t="s">
        <v>677</v>
      </c>
      <c r="K1094" s="1173" t="s">
        <v>678</v>
      </c>
      <c r="L1094" s="1210" t="s">
        <v>679</v>
      </c>
      <c r="M1094" s="1347">
        <v>4900000</v>
      </c>
      <c r="N1094" s="1344" t="s">
        <v>784</v>
      </c>
      <c r="O1094" s="1218" t="s">
        <v>771</v>
      </c>
      <c r="P1094" s="1267" t="s">
        <v>759</v>
      </c>
      <c r="R1094" s="1340"/>
      <c r="S1094" s="1340"/>
      <c r="T1094" s="1340">
        <f>+'PAA V30'!$R1094-'PAA V30'!$S1094</f>
        <v>0</v>
      </c>
      <c r="U1094" s="1340"/>
      <c r="V1094" s="1340"/>
      <c r="W1094" s="1340"/>
    </row>
    <row r="1095" spans="1:23" s="1295" customFormat="1" ht="138.75" hidden="1" customHeight="1" x14ac:dyDescent="0.25">
      <c r="A1095" s="1169">
        <v>20221199</v>
      </c>
      <c r="B1095" s="1173">
        <v>7655</v>
      </c>
      <c r="C1095" s="1173" t="s">
        <v>648</v>
      </c>
      <c r="D1095" s="1187" t="s">
        <v>690</v>
      </c>
      <c r="E1095" s="1265" t="s">
        <v>781</v>
      </c>
      <c r="F1095" s="1171" t="s">
        <v>1708</v>
      </c>
      <c r="G1095" s="1346">
        <v>44914</v>
      </c>
      <c r="H1095" s="1345">
        <v>44911</v>
      </c>
      <c r="I1095" s="1277">
        <v>1</v>
      </c>
      <c r="J1095" s="1338" t="s">
        <v>677</v>
      </c>
      <c r="K1095" s="1339" t="s">
        <v>678</v>
      </c>
      <c r="L1095" s="1342" t="s">
        <v>679</v>
      </c>
      <c r="M1095" s="1347">
        <v>2450000</v>
      </c>
      <c r="N1095" s="1344" t="s">
        <v>784</v>
      </c>
      <c r="O1095" s="1218" t="s">
        <v>771</v>
      </c>
      <c r="P1095" s="1267" t="s">
        <v>759</v>
      </c>
      <c r="R1095" s="1340"/>
      <c r="S1095" s="1340"/>
      <c r="T1095" s="1340">
        <f>+'PAA V30'!$R1095-'PAA V30'!$S1095</f>
        <v>0</v>
      </c>
      <c r="U1095" s="1340"/>
      <c r="V1095" s="1340"/>
      <c r="W1095" s="1340"/>
    </row>
    <row r="1096" spans="1:23" s="1295" customFormat="1" ht="102" hidden="1" customHeight="1" x14ac:dyDescent="0.25">
      <c r="A1096" s="1169">
        <v>20221200</v>
      </c>
      <c r="B1096" s="1173">
        <v>7655</v>
      </c>
      <c r="C1096" s="1173" t="s">
        <v>648</v>
      </c>
      <c r="D1096" s="1187" t="s">
        <v>690</v>
      </c>
      <c r="E1096" s="1265" t="s">
        <v>781</v>
      </c>
      <c r="F1096" s="1171" t="s">
        <v>1709</v>
      </c>
      <c r="G1096" s="1346">
        <v>44914</v>
      </c>
      <c r="H1096" s="1345">
        <v>44911</v>
      </c>
      <c r="I1096" s="1277">
        <v>2</v>
      </c>
      <c r="J1096" s="1338" t="s">
        <v>677</v>
      </c>
      <c r="K1096" s="1173" t="s">
        <v>678</v>
      </c>
      <c r="L1096" s="1210" t="s">
        <v>679</v>
      </c>
      <c r="M1096" s="1347">
        <v>4900000</v>
      </c>
      <c r="N1096" s="1344" t="s">
        <v>784</v>
      </c>
      <c r="O1096" s="1218" t="s">
        <v>771</v>
      </c>
      <c r="P1096" s="1267" t="s">
        <v>759</v>
      </c>
      <c r="R1096" s="1340"/>
      <c r="S1096" s="1340"/>
      <c r="T1096" s="1340">
        <f>+'PAA V30'!$R1096-'PAA V30'!$S1096</f>
        <v>0</v>
      </c>
      <c r="U1096" s="1340"/>
      <c r="V1096" s="1340"/>
      <c r="W1096" s="1340"/>
    </row>
    <row r="1097" spans="1:23" s="1295" customFormat="1" ht="138.75" hidden="1" customHeight="1" x14ac:dyDescent="0.25">
      <c r="A1097" s="1169">
        <v>20221201</v>
      </c>
      <c r="B1097" s="1173">
        <v>7655</v>
      </c>
      <c r="C1097" s="1173" t="s">
        <v>648</v>
      </c>
      <c r="D1097" s="1187" t="s">
        <v>690</v>
      </c>
      <c r="E1097" s="1265" t="s">
        <v>781</v>
      </c>
      <c r="F1097" s="1171" t="s">
        <v>1710</v>
      </c>
      <c r="G1097" s="1346">
        <v>44914</v>
      </c>
      <c r="H1097" s="1345">
        <v>44911</v>
      </c>
      <c r="I1097" s="1277">
        <v>2</v>
      </c>
      <c r="J1097" s="1338" t="s">
        <v>677</v>
      </c>
      <c r="K1097" s="1339" t="s">
        <v>678</v>
      </c>
      <c r="L1097" s="1342" t="s">
        <v>679</v>
      </c>
      <c r="M1097" s="1347">
        <v>4900000</v>
      </c>
      <c r="N1097" s="1344" t="s">
        <v>784</v>
      </c>
      <c r="O1097" s="1218" t="s">
        <v>771</v>
      </c>
      <c r="P1097" s="1267" t="s">
        <v>759</v>
      </c>
      <c r="R1097" s="1340"/>
      <c r="S1097" s="1340"/>
      <c r="T1097" s="1340">
        <f>+'PAA V30'!$R1097-'PAA V30'!$S1097</f>
        <v>0</v>
      </c>
      <c r="U1097" s="1340"/>
      <c r="V1097" s="1340"/>
      <c r="W1097" s="1340"/>
    </row>
    <row r="1098" spans="1:23" s="1295" customFormat="1" ht="102" hidden="1" customHeight="1" x14ac:dyDescent="0.25">
      <c r="A1098" s="1169">
        <v>20221202</v>
      </c>
      <c r="B1098" s="1173">
        <v>7655</v>
      </c>
      <c r="C1098" s="1173" t="s">
        <v>648</v>
      </c>
      <c r="D1098" s="1187" t="s">
        <v>690</v>
      </c>
      <c r="E1098" s="1265" t="s">
        <v>781</v>
      </c>
      <c r="F1098" s="1171" t="s">
        <v>1711</v>
      </c>
      <c r="G1098" s="1346">
        <v>44914</v>
      </c>
      <c r="H1098" s="1345">
        <v>44911</v>
      </c>
      <c r="I1098" s="1277">
        <v>2</v>
      </c>
      <c r="J1098" s="1338" t="s">
        <v>677</v>
      </c>
      <c r="K1098" s="1173" t="s">
        <v>678</v>
      </c>
      <c r="L1098" s="1210" t="s">
        <v>679</v>
      </c>
      <c r="M1098" s="1347">
        <v>4900000</v>
      </c>
      <c r="N1098" s="1344" t="s">
        <v>784</v>
      </c>
      <c r="O1098" s="1218" t="s">
        <v>771</v>
      </c>
      <c r="P1098" s="1267" t="s">
        <v>759</v>
      </c>
      <c r="R1098" s="1340"/>
      <c r="S1098" s="1340"/>
      <c r="T1098" s="1340">
        <f>+'PAA V30'!$R1098-'PAA V30'!$S1098</f>
        <v>0</v>
      </c>
      <c r="U1098" s="1340"/>
      <c r="V1098" s="1340"/>
      <c r="W1098" s="1340"/>
    </row>
    <row r="1099" spans="1:23" s="1295" customFormat="1" ht="138.75" hidden="1" customHeight="1" x14ac:dyDescent="0.25">
      <c r="A1099" s="1169">
        <v>20221203</v>
      </c>
      <c r="B1099" s="1173">
        <v>7655</v>
      </c>
      <c r="C1099" s="1173" t="s">
        <v>648</v>
      </c>
      <c r="D1099" s="1187" t="s">
        <v>690</v>
      </c>
      <c r="E1099" s="1265" t="s">
        <v>781</v>
      </c>
      <c r="F1099" s="1171" t="s">
        <v>1712</v>
      </c>
      <c r="G1099" s="1346">
        <v>44914</v>
      </c>
      <c r="H1099" s="1345">
        <v>44911</v>
      </c>
      <c r="I1099" s="1277">
        <v>2</v>
      </c>
      <c r="J1099" s="1338" t="s">
        <v>677</v>
      </c>
      <c r="K1099" s="1339" t="s">
        <v>678</v>
      </c>
      <c r="L1099" s="1342" t="s">
        <v>679</v>
      </c>
      <c r="M1099" s="1347">
        <v>4900000</v>
      </c>
      <c r="N1099" s="1344" t="s">
        <v>784</v>
      </c>
      <c r="O1099" s="1218" t="s">
        <v>771</v>
      </c>
      <c r="P1099" s="1267" t="s">
        <v>759</v>
      </c>
      <c r="R1099" s="1340"/>
      <c r="S1099" s="1340"/>
      <c r="T1099" s="1340">
        <f>+'PAA V30'!$R1099-'PAA V30'!$S1099</f>
        <v>0</v>
      </c>
      <c r="U1099" s="1340"/>
      <c r="V1099" s="1340"/>
      <c r="W1099" s="1340"/>
    </row>
    <row r="1100" spans="1:23" s="1295" customFormat="1" ht="102" hidden="1" customHeight="1" x14ac:dyDescent="0.25">
      <c r="A1100" s="1169">
        <v>20221204</v>
      </c>
      <c r="B1100" s="1173">
        <v>7655</v>
      </c>
      <c r="C1100" s="1173" t="s">
        <v>648</v>
      </c>
      <c r="D1100" s="1187" t="s">
        <v>690</v>
      </c>
      <c r="E1100" s="1265" t="s">
        <v>781</v>
      </c>
      <c r="F1100" s="1171" t="s">
        <v>1713</v>
      </c>
      <c r="G1100" s="1346">
        <v>44914</v>
      </c>
      <c r="H1100" s="1345">
        <v>44911</v>
      </c>
      <c r="I1100" s="1277">
        <v>2</v>
      </c>
      <c r="J1100" s="1338" t="s">
        <v>677</v>
      </c>
      <c r="K1100" s="1173" t="s">
        <v>678</v>
      </c>
      <c r="L1100" s="1210" t="s">
        <v>679</v>
      </c>
      <c r="M1100" s="1347">
        <v>4900000</v>
      </c>
      <c r="N1100" s="1344" t="s">
        <v>784</v>
      </c>
      <c r="O1100" s="1218" t="s">
        <v>771</v>
      </c>
      <c r="P1100" s="1267" t="s">
        <v>759</v>
      </c>
      <c r="R1100" s="1340"/>
      <c r="S1100" s="1340"/>
      <c r="T1100" s="1340">
        <f>+'PAA V30'!$R1100-'PAA V30'!$S1100</f>
        <v>0</v>
      </c>
      <c r="U1100" s="1340"/>
      <c r="V1100" s="1340"/>
      <c r="W1100" s="1340"/>
    </row>
    <row r="1101" spans="1:23" s="1295" customFormat="1" ht="138.75" hidden="1" customHeight="1" x14ac:dyDescent="0.25">
      <c r="A1101" s="1169">
        <v>20221205</v>
      </c>
      <c r="B1101" s="1173">
        <v>7655</v>
      </c>
      <c r="C1101" s="1173" t="s">
        <v>648</v>
      </c>
      <c r="D1101" s="1187" t="s">
        <v>690</v>
      </c>
      <c r="E1101" s="1265" t="s">
        <v>781</v>
      </c>
      <c r="F1101" s="1171" t="s">
        <v>1714</v>
      </c>
      <c r="G1101" s="1346">
        <v>44914</v>
      </c>
      <c r="H1101" s="1345">
        <v>44911</v>
      </c>
      <c r="I1101" s="1277">
        <v>2</v>
      </c>
      <c r="J1101" s="1338" t="s">
        <v>677</v>
      </c>
      <c r="K1101" s="1339" t="s">
        <v>678</v>
      </c>
      <c r="L1101" s="1342" t="s">
        <v>679</v>
      </c>
      <c r="M1101" s="1347">
        <v>4900000</v>
      </c>
      <c r="N1101" s="1344" t="s">
        <v>784</v>
      </c>
      <c r="O1101" s="1218" t="s">
        <v>771</v>
      </c>
      <c r="P1101" s="1267" t="s">
        <v>759</v>
      </c>
      <c r="R1101" s="1340"/>
      <c r="S1101" s="1340"/>
      <c r="T1101" s="1340">
        <f>+'PAA V30'!$R1101-'PAA V30'!$S1101</f>
        <v>0</v>
      </c>
      <c r="U1101" s="1340"/>
      <c r="V1101" s="1340"/>
      <c r="W1101" s="1340"/>
    </row>
    <row r="1102" spans="1:23" s="1295" customFormat="1" ht="102" hidden="1" customHeight="1" x14ac:dyDescent="0.25">
      <c r="A1102" s="1169">
        <v>20221206</v>
      </c>
      <c r="B1102" s="1173">
        <v>7655</v>
      </c>
      <c r="C1102" s="1173" t="s">
        <v>648</v>
      </c>
      <c r="D1102" s="1187" t="s">
        <v>690</v>
      </c>
      <c r="E1102" s="1265" t="s">
        <v>781</v>
      </c>
      <c r="F1102" s="1171" t="s">
        <v>1715</v>
      </c>
      <c r="G1102" s="1346">
        <v>44914</v>
      </c>
      <c r="H1102" s="1345">
        <v>44911</v>
      </c>
      <c r="I1102" s="1277">
        <v>2</v>
      </c>
      <c r="J1102" s="1338" t="s">
        <v>677</v>
      </c>
      <c r="K1102" s="1173" t="s">
        <v>678</v>
      </c>
      <c r="L1102" s="1210" t="s">
        <v>679</v>
      </c>
      <c r="M1102" s="1347">
        <v>4900000</v>
      </c>
      <c r="N1102" s="1344" t="s">
        <v>784</v>
      </c>
      <c r="O1102" s="1218" t="s">
        <v>771</v>
      </c>
      <c r="P1102" s="1267" t="s">
        <v>759</v>
      </c>
      <c r="R1102" s="1340"/>
      <c r="S1102" s="1340"/>
      <c r="T1102" s="1340">
        <f>+'PAA V30'!$R1102-'PAA V30'!$S1102</f>
        <v>0</v>
      </c>
      <c r="U1102" s="1340"/>
      <c r="V1102" s="1340"/>
      <c r="W1102" s="1340"/>
    </row>
    <row r="1103" spans="1:23" s="1295" customFormat="1" ht="138.75" hidden="1" customHeight="1" x14ac:dyDescent="0.25">
      <c r="A1103" s="1169">
        <v>20221207</v>
      </c>
      <c r="B1103" s="1173">
        <v>7655</v>
      </c>
      <c r="C1103" s="1173" t="s">
        <v>648</v>
      </c>
      <c r="D1103" s="1187" t="s">
        <v>690</v>
      </c>
      <c r="E1103" s="1265" t="s">
        <v>781</v>
      </c>
      <c r="F1103" s="1171" t="s">
        <v>1716</v>
      </c>
      <c r="G1103" s="1346">
        <v>44914</v>
      </c>
      <c r="H1103" s="1345">
        <v>44911</v>
      </c>
      <c r="I1103" s="1277">
        <v>2</v>
      </c>
      <c r="J1103" s="1338" t="s">
        <v>677</v>
      </c>
      <c r="K1103" s="1339" t="s">
        <v>678</v>
      </c>
      <c r="L1103" s="1342" t="s">
        <v>679</v>
      </c>
      <c r="M1103" s="1347">
        <v>4900000</v>
      </c>
      <c r="N1103" s="1344" t="s">
        <v>784</v>
      </c>
      <c r="O1103" s="1218" t="s">
        <v>771</v>
      </c>
      <c r="P1103" s="1267" t="s">
        <v>759</v>
      </c>
      <c r="R1103" s="1340"/>
      <c r="S1103" s="1340"/>
      <c r="T1103" s="1340">
        <f>+'PAA V30'!$R1103-'PAA V30'!$S1103</f>
        <v>0</v>
      </c>
      <c r="U1103" s="1340"/>
      <c r="V1103" s="1340"/>
      <c r="W1103" s="1340"/>
    </row>
    <row r="1104" spans="1:23" s="1295" customFormat="1" ht="102" hidden="1" customHeight="1" x14ac:dyDescent="0.25">
      <c r="A1104" s="1169">
        <v>20221208</v>
      </c>
      <c r="B1104" s="1173">
        <v>7655</v>
      </c>
      <c r="C1104" s="1173" t="s">
        <v>648</v>
      </c>
      <c r="D1104" s="1187" t="s">
        <v>690</v>
      </c>
      <c r="E1104" s="1265" t="s">
        <v>781</v>
      </c>
      <c r="F1104" s="1171" t="s">
        <v>1717</v>
      </c>
      <c r="G1104" s="1346">
        <v>44914</v>
      </c>
      <c r="H1104" s="1345">
        <v>44911</v>
      </c>
      <c r="I1104" s="1277">
        <v>4</v>
      </c>
      <c r="J1104" s="1338" t="s">
        <v>677</v>
      </c>
      <c r="K1104" s="1173" t="s">
        <v>678</v>
      </c>
      <c r="L1104" s="1210" t="s">
        <v>679</v>
      </c>
      <c r="M1104" s="1347">
        <v>12800000</v>
      </c>
      <c r="N1104" s="1344" t="s">
        <v>784</v>
      </c>
      <c r="O1104" s="1218" t="s">
        <v>771</v>
      </c>
      <c r="P1104" s="1267" t="s">
        <v>759</v>
      </c>
      <c r="R1104" s="1340"/>
      <c r="S1104" s="1340"/>
      <c r="T1104" s="1340">
        <f>+'PAA V30'!$R1104-'PAA V30'!$S1104</f>
        <v>0</v>
      </c>
      <c r="U1104" s="1340"/>
      <c r="V1104" s="1340"/>
      <c r="W1104" s="1340"/>
    </row>
    <row r="1105" spans="1:23" s="1295" customFormat="1" ht="138.75" hidden="1" customHeight="1" x14ac:dyDescent="0.25">
      <c r="A1105" s="1169">
        <v>20221209</v>
      </c>
      <c r="B1105" s="1173">
        <v>7655</v>
      </c>
      <c r="C1105" s="1173" t="s">
        <v>648</v>
      </c>
      <c r="D1105" s="1187" t="s">
        <v>690</v>
      </c>
      <c r="E1105" s="1265" t="s">
        <v>781</v>
      </c>
      <c r="F1105" s="1171" t="s">
        <v>1718</v>
      </c>
      <c r="G1105" s="1346">
        <v>44914</v>
      </c>
      <c r="H1105" s="1345">
        <v>44911</v>
      </c>
      <c r="I1105" s="1277">
        <v>4</v>
      </c>
      <c r="J1105" s="1338" t="s">
        <v>677</v>
      </c>
      <c r="K1105" s="1339" t="s">
        <v>678</v>
      </c>
      <c r="L1105" s="1342" t="s">
        <v>679</v>
      </c>
      <c r="M1105" s="1347">
        <v>28000000</v>
      </c>
      <c r="N1105" s="1344" t="s">
        <v>784</v>
      </c>
      <c r="O1105" s="1218" t="s">
        <v>771</v>
      </c>
      <c r="P1105" s="1267" t="s">
        <v>759</v>
      </c>
      <c r="R1105" s="1340"/>
      <c r="S1105" s="1340"/>
      <c r="T1105" s="1340">
        <f>+'PAA V30'!$R1105-'PAA V30'!$S1105</f>
        <v>0</v>
      </c>
      <c r="U1105" s="1340"/>
      <c r="V1105" s="1340"/>
      <c r="W1105" s="1340"/>
    </row>
    <row r="1106" spans="1:23" s="1295" customFormat="1" ht="120" hidden="1" customHeight="1" x14ac:dyDescent="0.25">
      <c r="A1106" s="1169">
        <v>20221210</v>
      </c>
      <c r="B1106" s="1173">
        <v>7658</v>
      </c>
      <c r="C1106" s="1173" t="s">
        <v>673</v>
      </c>
      <c r="D1106" s="1187" t="s">
        <v>690</v>
      </c>
      <c r="E1106" s="1265">
        <v>80111600</v>
      </c>
      <c r="F1106" s="1171" t="s">
        <v>1719</v>
      </c>
      <c r="G1106" s="1346">
        <v>44914</v>
      </c>
      <c r="H1106" s="1345">
        <v>44911</v>
      </c>
      <c r="I1106" s="1277">
        <v>2</v>
      </c>
      <c r="J1106" s="1364" t="s">
        <v>677</v>
      </c>
      <c r="K1106" s="1173" t="s">
        <v>678</v>
      </c>
      <c r="L1106" s="1265" t="s">
        <v>679</v>
      </c>
      <c r="M1106" s="1387">
        <v>14600000</v>
      </c>
      <c r="N1106" s="1344" t="s">
        <v>931</v>
      </c>
      <c r="O1106" s="1218" t="s">
        <v>915</v>
      </c>
      <c r="P1106" s="1365" t="s">
        <v>759</v>
      </c>
      <c r="R1106" s="1340"/>
      <c r="S1106" s="1340"/>
      <c r="T1106" s="1340">
        <f>+'PAA V30'!$R1106-'PAA V30'!$S1106</f>
        <v>0</v>
      </c>
      <c r="U1106" s="1340"/>
      <c r="V1106" s="1340"/>
      <c r="W1106" s="1340"/>
    </row>
    <row r="1107" spans="1:23" s="1295" customFormat="1" ht="120" hidden="1" customHeight="1" x14ac:dyDescent="0.25">
      <c r="A1107" s="1169">
        <v>20221211</v>
      </c>
      <c r="B1107" s="1173">
        <v>7658</v>
      </c>
      <c r="C1107" s="1173" t="s">
        <v>673</v>
      </c>
      <c r="D1107" s="1187" t="s">
        <v>690</v>
      </c>
      <c r="E1107" s="1265">
        <v>80111600</v>
      </c>
      <c r="F1107" s="1171" t="s">
        <v>1720</v>
      </c>
      <c r="G1107" s="1346">
        <v>44914</v>
      </c>
      <c r="H1107" s="1345">
        <v>44911</v>
      </c>
      <c r="I1107" s="1277">
        <v>2</v>
      </c>
      <c r="J1107" s="1364" t="s">
        <v>677</v>
      </c>
      <c r="K1107" s="1173" t="s">
        <v>678</v>
      </c>
      <c r="L1107" s="1265" t="s">
        <v>679</v>
      </c>
      <c r="M1107" s="1387">
        <v>14600000</v>
      </c>
      <c r="N1107" s="1344" t="s">
        <v>931</v>
      </c>
      <c r="O1107" s="1218" t="s">
        <v>915</v>
      </c>
      <c r="P1107" s="1365" t="s">
        <v>759</v>
      </c>
      <c r="R1107" s="1340"/>
      <c r="S1107" s="1340"/>
      <c r="T1107" s="1340">
        <f>+'PAA V30'!$R1107-'PAA V30'!$S1107</f>
        <v>0</v>
      </c>
      <c r="U1107" s="1340"/>
      <c r="V1107" s="1340"/>
      <c r="W1107" s="1340"/>
    </row>
    <row r="1108" spans="1:23" s="1295" customFormat="1" ht="120" hidden="1" customHeight="1" x14ac:dyDescent="0.25">
      <c r="A1108" s="1169">
        <v>20221212</v>
      </c>
      <c r="B1108" s="1282">
        <v>7658</v>
      </c>
      <c r="C1108" s="1282" t="s">
        <v>673</v>
      </c>
      <c r="D1108" s="1388" t="s">
        <v>690</v>
      </c>
      <c r="E1108" s="1364">
        <v>80111600</v>
      </c>
      <c r="F1108" s="1281" t="s">
        <v>1721</v>
      </c>
      <c r="G1108" s="1366">
        <v>44914</v>
      </c>
      <c r="H1108" s="1389">
        <v>44911</v>
      </c>
      <c r="I1108" s="1367">
        <v>1</v>
      </c>
      <c r="J1108" s="1364" t="s">
        <v>677</v>
      </c>
      <c r="K1108" s="1282" t="s">
        <v>678</v>
      </c>
      <c r="L1108" s="1364" t="s">
        <v>679</v>
      </c>
      <c r="M1108" s="1390">
        <v>2100000</v>
      </c>
      <c r="N1108" s="1368" t="s">
        <v>931</v>
      </c>
      <c r="O1108" s="1369" t="s">
        <v>915</v>
      </c>
      <c r="P1108" s="1365" t="s">
        <v>759</v>
      </c>
      <c r="R1108" s="1340"/>
      <c r="S1108" s="1340"/>
      <c r="T1108" s="1340">
        <f>+'PAA V30'!$R1108-'PAA V30'!$S1108</f>
        <v>0</v>
      </c>
      <c r="U1108" s="1340"/>
      <c r="V1108" s="1340"/>
      <c r="W1108" s="1340"/>
    </row>
    <row r="1109" spans="1:23" s="1295" customFormat="1" ht="120" hidden="1" customHeight="1" x14ac:dyDescent="0.25">
      <c r="A1109" s="1169">
        <v>20221213</v>
      </c>
      <c r="B1109" s="1282">
        <v>7658</v>
      </c>
      <c r="C1109" s="1282" t="s">
        <v>673</v>
      </c>
      <c r="D1109" s="1388" t="s">
        <v>690</v>
      </c>
      <c r="E1109" s="1364">
        <v>80111600</v>
      </c>
      <c r="F1109" s="1281" t="s">
        <v>1722</v>
      </c>
      <c r="G1109" s="1366">
        <v>44914</v>
      </c>
      <c r="H1109" s="1389">
        <v>44911</v>
      </c>
      <c r="I1109" s="1367">
        <v>1</v>
      </c>
      <c r="J1109" s="1364" t="s">
        <v>677</v>
      </c>
      <c r="K1109" s="1282" t="s">
        <v>678</v>
      </c>
      <c r="L1109" s="1364" t="s">
        <v>679</v>
      </c>
      <c r="M1109" s="1390">
        <v>2450000</v>
      </c>
      <c r="N1109" s="1368" t="s">
        <v>931</v>
      </c>
      <c r="O1109" s="1369" t="s">
        <v>915</v>
      </c>
      <c r="P1109" s="1365" t="s">
        <v>759</v>
      </c>
      <c r="R1109" s="1340"/>
      <c r="S1109" s="1340"/>
      <c r="T1109" s="1340">
        <f>+'PAA V30'!$R1109-'PAA V30'!$S1109</f>
        <v>0</v>
      </c>
      <c r="U1109" s="1340"/>
      <c r="V1109" s="1340"/>
      <c r="W1109" s="1340"/>
    </row>
    <row r="1110" spans="1:23" s="1295" customFormat="1" ht="90" hidden="1" customHeight="1" x14ac:dyDescent="0.25">
      <c r="A1110" s="1169">
        <v>20221214</v>
      </c>
      <c r="B1110" s="1282">
        <v>7658</v>
      </c>
      <c r="C1110" s="1282" t="s">
        <v>673</v>
      </c>
      <c r="D1110" s="1388" t="s">
        <v>690</v>
      </c>
      <c r="E1110" s="1364" t="s">
        <v>952</v>
      </c>
      <c r="F1110" s="1281" t="s">
        <v>1723</v>
      </c>
      <c r="G1110" s="1366">
        <v>44921</v>
      </c>
      <c r="H1110" s="1389">
        <v>44914</v>
      </c>
      <c r="I1110" s="1367">
        <v>4</v>
      </c>
      <c r="J1110" s="1364" t="s">
        <v>675</v>
      </c>
      <c r="K1110" s="1282" t="s">
        <v>774</v>
      </c>
      <c r="L1110" s="1364" t="s">
        <v>951</v>
      </c>
      <c r="M1110" s="1390">
        <v>110564101</v>
      </c>
      <c r="N1110" s="1368" t="s">
        <v>780</v>
      </c>
      <c r="O1110" s="1369" t="s">
        <v>768</v>
      </c>
      <c r="P1110" s="1365" t="s">
        <v>759</v>
      </c>
      <c r="R1110" s="1340"/>
      <c r="S1110" s="1340"/>
      <c r="T1110" s="1340">
        <f>+'PAA V30'!$R1110-'PAA V30'!$S1110</f>
        <v>0</v>
      </c>
      <c r="U1110" s="1340"/>
      <c r="V1110" s="1340"/>
      <c r="W1110" s="1340"/>
    </row>
    <row r="1111" spans="1:23" s="1204" customFormat="1" ht="75" hidden="1" x14ac:dyDescent="0.2">
      <c r="A1111" s="1169">
        <v>20221215</v>
      </c>
      <c r="B1111" s="1173">
        <v>7655</v>
      </c>
      <c r="C1111" s="1173" t="s">
        <v>648</v>
      </c>
      <c r="D1111" s="1187" t="s">
        <v>696</v>
      </c>
      <c r="E1111" s="1265">
        <v>80111600</v>
      </c>
      <c r="F1111" s="1171" t="s">
        <v>846</v>
      </c>
      <c r="G1111" s="1346">
        <v>44917</v>
      </c>
      <c r="H1111" s="1345">
        <v>44921</v>
      </c>
      <c r="I1111" s="1277">
        <v>3</v>
      </c>
      <c r="J1111" s="1338" t="s">
        <v>677</v>
      </c>
      <c r="K1111" s="1339" t="s">
        <v>678</v>
      </c>
      <c r="L1111" s="1342" t="s">
        <v>679</v>
      </c>
      <c r="M1111" s="1347">
        <v>11592000</v>
      </c>
      <c r="N1111" s="1344" t="s">
        <v>784</v>
      </c>
      <c r="O1111" s="1218" t="s">
        <v>771</v>
      </c>
      <c r="P1111" s="1267" t="s">
        <v>682</v>
      </c>
      <c r="Q1111" s="1295"/>
      <c r="R1111" s="1340"/>
      <c r="S1111" s="1340"/>
      <c r="T1111" s="1340">
        <f>+'PAA V30'!$R1111-'PAA V30'!$S1111</f>
        <v>0</v>
      </c>
      <c r="U1111" s="1340"/>
      <c r="V1111" s="1340"/>
      <c r="W1111" s="1340"/>
    </row>
    <row r="1112" spans="1:23" s="1295" customFormat="1" ht="102" hidden="1" customHeight="1" x14ac:dyDescent="0.25">
      <c r="A1112" s="1169">
        <v>20221216</v>
      </c>
      <c r="B1112" s="1173">
        <v>7655</v>
      </c>
      <c r="C1112" s="1173" t="s">
        <v>648</v>
      </c>
      <c r="D1112" s="1187" t="s">
        <v>696</v>
      </c>
      <c r="E1112" s="1265">
        <v>80111600</v>
      </c>
      <c r="F1112" s="1171" t="s">
        <v>1724</v>
      </c>
      <c r="G1112" s="1346">
        <v>44917</v>
      </c>
      <c r="H1112" s="1345">
        <v>44921</v>
      </c>
      <c r="I1112" s="1277">
        <v>3</v>
      </c>
      <c r="J1112" s="1338" t="s">
        <v>677</v>
      </c>
      <c r="K1112" s="1173" t="s">
        <v>678</v>
      </c>
      <c r="L1112" s="1210" t="s">
        <v>679</v>
      </c>
      <c r="M1112" s="1347">
        <v>6125000</v>
      </c>
      <c r="N1112" s="1344" t="s">
        <v>784</v>
      </c>
      <c r="O1112" s="1218" t="s">
        <v>771</v>
      </c>
      <c r="P1112" s="1267" t="s">
        <v>759</v>
      </c>
      <c r="R1112" s="1340"/>
      <c r="S1112" s="1340"/>
      <c r="T1112" s="1340">
        <f>+'PAA V30'!$R1112-'PAA V30'!$S1112</f>
        <v>0</v>
      </c>
      <c r="U1112" s="1340"/>
      <c r="V1112" s="1340"/>
      <c r="W1112" s="1340"/>
    </row>
    <row r="1113" spans="1:23" s="1295" customFormat="1" ht="90" hidden="1" customHeight="1" x14ac:dyDescent="0.25">
      <c r="A1113" s="1169">
        <v>20221217</v>
      </c>
      <c r="B1113" s="1173">
        <v>7655</v>
      </c>
      <c r="C1113" s="1173" t="s">
        <v>648</v>
      </c>
      <c r="D1113" s="1187" t="s">
        <v>696</v>
      </c>
      <c r="E1113" s="1265">
        <v>80111600</v>
      </c>
      <c r="F1113" s="1171" t="s">
        <v>1725</v>
      </c>
      <c r="G1113" s="1346">
        <v>44917</v>
      </c>
      <c r="H1113" s="1345">
        <v>44921</v>
      </c>
      <c r="I1113" s="1277">
        <v>3</v>
      </c>
      <c r="J1113" s="1338" t="s">
        <v>677</v>
      </c>
      <c r="K1113" s="1339" t="s">
        <v>678</v>
      </c>
      <c r="L1113" s="1342" t="s">
        <v>679</v>
      </c>
      <c r="M1113" s="1347">
        <v>9156667</v>
      </c>
      <c r="N1113" s="1344" t="s">
        <v>784</v>
      </c>
      <c r="O1113" s="1218" t="s">
        <v>771</v>
      </c>
      <c r="P1113" s="1267" t="s">
        <v>759</v>
      </c>
      <c r="R1113" s="1340"/>
      <c r="S1113" s="1340"/>
      <c r="T1113" s="1340">
        <f>+'PAA V30'!$R1113-'PAA V30'!$S1113</f>
        <v>0</v>
      </c>
      <c r="U1113" s="1340"/>
      <c r="V1113" s="1340"/>
      <c r="W1113" s="1340"/>
    </row>
    <row r="1114" spans="1:23" s="1295" customFormat="1" ht="102" hidden="1" customHeight="1" x14ac:dyDescent="0.25">
      <c r="A1114" s="1169">
        <v>20221218</v>
      </c>
      <c r="B1114" s="1173">
        <v>7655</v>
      </c>
      <c r="C1114" s="1173" t="s">
        <v>648</v>
      </c>
      <c r="D1114" s="1187" t="s">
        <v>696</v>
      </c>
      <c r="E1114" s="1265">
        <v>80111600</v>
      </c>
      <c r="F1114" s="1171" t="s">
        <v>861</v>
      </c>
      <c r="G1114" s="1346">
        <v>44917</v>
      </c>
      <c r="H1114" s="1345">
        <v>44921</v>
      </c>
      <c r="I1114" s="1277">
        <v>3</v>
      </c>
      <c r="J1114" s="1338" t="s">
        <v>677</v>
      </c>
      <c r="K1114" s="1173" t="s">
        <v>678</v>
      </c>
      <c r="L1114" s="1210" t="s">
        <v>679</v>
      </c>
      <c r="M1114" s="1347">
        <v>9466667</v>
      </c>
      <c r="N1114" s="1344" t="s">
        <v>784</v>
      </c>
      <c r="O1114" s="1218" t="s">
        <v>771</v>
      </c>
      <c r="P1114" s="1267" t="s">
        <v>682</v>
      </c>
      <c r="R1114" s="1340"/>
      <c r="S1114" s="1340"/>
      <c r="T1114" s="1340">
        <f>+'PAA V30'!$R1114-'PAA V30'!$S1114</f>
        <v>0</v>
      </c>
      <c r="U1114" s="1340"/>
      <c r="V1114" s="1340"/>
      <c r="W1114" s="1340"/>
    </row>
    <row r="1115" spans="1:23" s="1295" customFormat="1" ht="75" hidden="1" customHeight="1" x14ac:dyDescent="0.25">
      <c r="A1115" s="1169">
        <v>20221219</v>
      </c>
      <c r="B1115" s="1173">
        <v>7655</v>
      </c>
      <c r="C1115" s="1173" t="s">
        <v>648</v>
      </c>
      <c r="D1115" s="1187" t="s">
        <v>696</v>
      </c>
      <c r="E1115" s="1265">
        <v>80111600</v>
      </c>
      <c r="F1115" s="1171" t="s">
        <v>862</v>
      </c>
      <c r="G1115" s="1346">
        <v>44917</v>
      </c>
      <c r="H1115" s="1345">
        <v>44921</v>
      </c>
      <c r="I1115" s="1277">
        <v>3</v>
      </c>
      <c r="J1115" s="1338" t="s">
        <v>677</v>
      </c>
      <c r="K1115" s="1339" t="s">
        <v>678</v>
      </c>
      <c r="L1115" s="1342" t="s">
        <v>679</v>
      </c>
      <c r="M1115" s="1347">
        <v>13800000</v>
      </c>
      <c r="N1115" s="1344" t="s">
        <v>784</v>
      </c>
      <c r="O1115" s="1218" t="s">
        <v>771</v>
      </c>
      <c r="P1115" s="1267" t="s">
        <v>682</v>
      </c>
      <c r="R1115" s="1340"/>
      <c r="S1115" s="1340"/>
      <c r="T1115" s="1340">
        <f>+'PAA V30'!$R1115-'PAA V30'!$S1115</f>
        <v>0</v>
      </c>
      <c r="U1115" s="1340"/>
      <c r="V1115" s="1340"/>
      <c r="W1115" s="1340"/>
    </row>
    <row r="1116" spans="1:23" s="1295" customFormat="1" ht="102" hidden="1" customHeight="1" x14ac:dyDescent="0.25">
      <c r="A1116" s="1169">
        <v>20221220</v>
      </c>
      <c r="B1116" s="1173">
        <v>7655</v>
      </c>
      <c r="C1116" s="1173" t="s">
        <v>648</v>
      </c>
      <c r="D1116" s="1187" t="s">
        <v>696</v>
      </c>
      <c r="E1116" s="1265">
        <v>80111600</v>
      </c>
      <c r="F1116" s="1171" t="s">
        <v>1726</v>
      </c>
      <c r="G1116" s="1346">
        <v>44917</v>
      </c>
      <c r="H1116" s="1345">
        <v>44921</v>
      </c>
      <c r="I1116" s="1277">
        <v>3</v>
      </c>
      <c r="J1116" s="1338" t="s">
        <v>677</v>
      </c>
      <c r="K1116" s="1173" t="s">
        <v>678</v>
      </c>
      <c r="L1116" s="1210" t="s">
        <v>679</v>
      </c>
      <c r="M1116" s="1347">
        <v>14352000</v>
      </c>
      <c r="N1116" s="1344" t="s">
        <v>784</v>
      </c>
      <c r="O1116" s="1218" t="s">
        <v>771</v>
      </c>
      <c r="P1116" s="1267" t="s">
        <v>682</v>
      </c>
      <c r="R1116" s="1340"/>
      <c r="S1116" s="1340"/>
      <c r="T1116" s="1340">
        <f>+'PAA V30'!$R1116-'PAA V30'!$S1116</f>
        <v>0</v>
      </c>
      <c r="U1116" s="1340"/>
      <c r="V1116" s="1340"/>
      <c r="W1116" s="1340"/>
    </row>
    <row r="1117" spans="1:23" s="1295" customFormat="1" ht="75" hidden="1" customHeight="1" x14ac:dyDescent="0.25">
      <c r="A1117" s="1169">
        <v>20221221</v>
      </c>
      <c r="B1117" s="1173">
        <v>7655</v>
      </c>
      <c r="C1117" s="1173" t="s">
        <v>648</v>
      </c>
      <c r="D1117" s="1187" t="s">
        <v>696</v>
      </c>
      <c r="E1117" s="1265">
        <v>80111600</v>
      </c>
      <c r="F1117" s="1171" t="s">
        <v>1727</v>
      </c>
      <c r="G1117" s="1346">
        <v>44917</v>
      </c>
      <c r="H1117" s="1345">
        <v>44921</v>
      </c>
      <c r="I1117" s="1277">
        <v>2</v>
      </c>
      <c r="J1117" s="1338" t="s">
        <v>677</v>
      </c>
      <c r="K1117" s="1339" t="s">
        <v>678</v>
      </c>
      <c r="L1117" s="1342" t="s">
        <v>679</v>
      </c>
      <c r="M1117" s="1347">
        <v>7245000</v>
      </c>
      <c r="N1117" s="1344" t="s">
        <v>784</v>
      </c>
      <c r="O1117" s="1218" t="s">
        <v>771</v>
      </c>
      <c r="P1117" s="1267" t="s">
        <v>682</v>
      </c>
      <c r="R1117" s="1340"/>
      <c r="S1117" s="1340"/>
      <c r="T1117" s="1340">
        <f>+'PAA V30'!$R1117-'PAA V30'!$S1117</f>
        <v>0</v>
      </c>
      <c r="U1117" s="1340"/>
      <c r="V1117" s="1340"/>
      <c r="W1117" s="1340"/>
    </row>
    <row r="1118" spans="1:23" s="1204" customFormat="1" ht="75" hidden="1" x14ac:dyDescent="0.2">
      <c r="A1118" s="1169">
        <v>20221222</v>
      </c>
      <c r="B1118" s="1169">
        <v>7655</v>
      </c>
      <c r="C1118" s="1326" t="s">
        <v>648</v>
      </c>
      <c r="D1118" s="1187" t="s">
        <v>649</v>
      </c>
      <c r="E1118" s="1171">
        <v>80111600</v>
      </c>
      <c r="F1118" s="1171" t="s">
        <v>1728</v>
      </c>
      <c r="G1118" s="1345">
        <v>44915</v>
      </c>
      <c r="H1118" s="1345">
        <v>44915</v>
      </c>
      <c r="I1118" s="1173">
        <v>3.63</v>
      </c>
      <c r="J1118" s="1173" t="s">
        <v>677</v>
      </c>
      <c r="K1118" s="1174" t="s">
        <v>678</v>
      </c>
      <c r="L1118" s="1175" t="s">
        <v>679</v>
      </c>
      <c r="M1118" s="1176">
        <v>12716666</v>
      </c>
      <c r="N1118" s="1344" t="s">
        <v>784</v>
      </c>
      <c r="O1118" s="1171" t="s">
        <v>771</v>
      </c>
      <c r="P1118" s="1218" t="s">
        <v>682</v>
      </c>
      <c r="R1118" s="1327"/>
      <c r="S1118" s="1327"/>
      <c r="T1118" s="1327"/>
      <c r="U1118" s="1327"/>
      <c r="V1118" s="1327"/>
      <c r="W1118" s="1327"/>
    </row>
    <row r="1119" spans="1:23" s="1295" customFormat="1" ht="138.75" hidden="1" customHeight="1" x14ac:dyDescent="0.25">
      <c r="A1119" s="1169">
        <v>20221223</v>
      </c>
      <c r="B1119" s="1173">
        <v>7658</v>
      </c>
      <c r="C1119" s="1173" t="s">
        <v>673</v>
      </c>
      <c r="D1119" s="1187" t="s">
        <v>693</v>
      </c>
      <c r="E1119" s="1265">
        <v>80111600</v>
      </c>
      <c r="F1119" s="1171" t="s">
        <v>1729</v>
      </c>
      <c r="G1119" s="1346">
        <v>44923</v>
      </c>
      <c r="H1119" s="1345">
        <v>44925</v>
      </c>
      <c r="I1119" s="1277">
        <v>1.5</v>
      </c>
      <c r="J1119" s="1338" t="s">
        <v>677</v>
      </c>
      <c r="K1119" s="1339" t="s">
        <v>678</v>
      </c>
      <c r="L1119" s="1342" t="s">
        <v>679</v>
      </c>
      <c r="M1119" s="1347">
        <v>4125000</v>
      </c>
      <c r="N1119" s="1344" t="s">
        <v>1032</v>
      </c>
      <c r="O1119" s="1218" t="s">
        <v>1033</v>
      </c>
      <c r="P1119" s="1267" t="s">
        <v>759</v>
      </c>
      <c r="R1119" s="1340"/>
      <c r="S1119" s="1340"/>
      <c r="T1119" s="1340"/>
      <c r="U1119" s="1340"/>
      <c r="V1119" s="1340"/>
      <c r="W1119" s="1340"/>
    </row>
    <row r="1120" spans="1:23" s="1295" customFormat="1" ht="102" hidden="1" customHeight="1" x14ac:dyDescent="0.25">
      <c r="A1120" s="1169">
        <v>20221224</v>
      </c>
      <c r="B1120" s="1173">
        <v>7658</v>
      </c>
      <c r="C1120" s="1173" t="s">
        <v>673</v>
      </c>
      <c r="D1120" s="1187" t="s">
        <v>693</v>
      </c>
      <c r="E1120" s="1265">
        <v>80111600</v>
      </c>
      <c r="F1120" s="1171" t="s">
        <v>1730</v>
      </c>
      <c r="G1120" s="1346">
        <v>44923</v>
      </c>
      <c r="H1120" s="1345">
        <v>44925</v>
      </c>
      <c r="I1120" s="1277">
        <v>1.2</v>
      </c>
      <c r="J1120" s="1338" t="s">
        <v>677</v>
      </c>
      <c r="K1120" s="1339" t="s">
        <v>678</v>
      </c>
      <c r="L1120" s="1342" t="s">
        <v>679</v>
      </c>
      <c r="M1120" s="1347">
        <v>5550000</v>
      </c>
      <c r="N1120" s="1344" t="s">
        <v>1032</v>
      </c>
      <c r="O1120" s="1218" t="s">
        <v>1033</v>
      </c>
      <c r="P1120" s="1267" t="s">
        <v>759</v>
      </c>
      <c r="R1120" s="1340"/>
      <c r="S1120" s="1340"/>
      <c r="T1120" s="1340"/>
      <c r="U1120" s="1340"/>
      <c r="V1120" s="1340"/>
      <c r="W1120" s="1340"/>
    </row>
    <row r="1121" spans="1:23" s="1295" customFormat="1" ht="105" hidden="1" x14ac:dyDescent="0.25">
      <c r="A1121" s="1188">
        <v>20221225</v>
      </c>
      <c r="B1121" s="1282">
        <v>7637</v>
      </c>
      <c r="C1121" s="1282" t="s">
        <v>645</v>
      </c>
      <c r="D1121" s="1388" t="s">
        <v>674</v>
      </c>
      <c r="E1121" s="1364">
        <v>80111600</v>
      </c>
      <c r="F1121" s="1281" t="s">
        <v>1731</v>
      </c>
      <c r="G1121" s="1366">
        <v>44562</v>
      </c>
      <c r="H1121" s="1389">
        <v>44592</v>
      </c>
      <c r="I1121" s="1367">
        <v>11</v>
      </c>
      <c r="J1121" s="1365" t="s">
        <v>677</v>
      </c>
      <c r="K1121" s="1282" t="s">
        <v>678</v>
      </c>
      <c r="L1121" s="1364" t="s">
        <v>679</v>
      </c>
      <c r="M1121" s="1391">
        <v>3067601</v>
      </c>
      <c r="N1121" s="1368" t="s">
        <v>680</v>
      </c>
      <c r="O1121" s="1369" t="s">
        <v>681</v>
      </c>
      <c r="P1121" s="1365" t="s">
        <v>759</v>
      </c>
      <c r="R1121" s="1340"/>
      <c r="S1121" s="1340"/>
      <c r="T1121" s="1340"/>
      <c r="U1121" s="1340"/>
      <c r="V1121" s="1340"/>
      <c r="W1121" s="1340"/>
    </row>
    <row r="1122" spans="1:23" s="1295" customFormat="1" ht="75" hidden="1" x14ac:dyDescent="0.25">
      <c r="A1122" s="1169">
        <v>20221226</v>
      </c>
      <c r="B1122" s="1173">
        <v>7655</v>
      </c>
      <c r="C1122" s="1173" t="s">
        <v>648</v>
      </c>
      <c r="D1122" s="1187" t="s">
        <v>690</v>
      </c>
      <c r="E1122" s="1265" t="s">
        <v>781</v>
      </c>
      <c r="F1122" s="1171" t="s">
        <v>1732</v>
      </c>
      <c r="G1122" s="1346">
        <v>44914</v>
      </c>
      <c r="H1122" s="1345">
        <v>44911</v>
      </c>
      <c r="I1122" s="1277">
        <v>2</v>
      </c>
      <c r="J1122" s="1267" t="s">
        <v>677</v>
      </c>
      <c r="K1122" s="1173" t="s">
        <v>678</v>
      </c>
      <c r="L1122" s="1265" t="s">
        <v>679</v>
      </c>
      <c r="M1122" s="1347">
        <v>4900000</v>
      </c>
      <c r="N1122" s="1344" t="s">
        <v>784</v>
      </c>
      <c r="O1122" s="1218" t="s">
        <v>771</v>
      </c>
      <c r="P1122" s="1267" t="s">
        <v>759</v>
      </c>
      <c r="R1122" s="1340"/>
      <c r="S1122" s="1340"/>
      <c r="T1122" s="1340"/>
      <c r="U1122" s="1340"/>
      <c r="V1122" s="1340"/>
      <c r="W1122" s="1340"/>
    </row>
    <row r="1123" spans="1:23" s="1295" customFormat="1" ht="75" hidden="1" customHeight="1" x14ac:dyDescent="0.25">
      <c r="A1123" s="1373">
        <v>20221227</v>
      </c>
      <c r="B1123" s="1282">
        <v>7655</v>
      </c>
      <c r="C1123" s="1375" t="s">
        <v>648</v>
      </c>
      <c r="D1123" s="1376" t="s">
        <v>690</v>
      </c>
      <c r="E1123" s="1364" t="s">
        <v>781</v>
      </c>
      <c r="F1123" s="1378" t="s">
        <v>1733</v>
      </c>
      <c r="G1123" s="1366">
        <v>44914</v>
      </c>
      <c r="H1123" s="1380">
        <v>44911</v>
      </c>
      <c r="I1123" s="1367">
        <v>1</v>
      </c>
      <c r="J1123" s="1365" t="s">
        <v>677</v>
      </c>
      <c r="K1123" s="1375" t="s">
        <v>678</v>
      </c>
      <c r="L1123" s="1364" t="s">
        <v>679</v>
      </c>
      <c r="M1123" s="1383">
        <v>2450000</v>
      </c>
      <c r="N1123" s="1384" t="s">
        <v>784</v>
      </c>
      <c r="O1123" s="1369" t="s">
        <v>771</v>
      </c>
      <c r="P1123" s="1386" t="s">
        <v>759</v>
      </c>
      <c r="Q1123" s="1371"/>
      <c r="R1123" s="1372"/>
      <c r="S1123" s="1372"/>
      <c r="T1123" s="1372"/>
      <c r="U1123" s="1372"/>
      <c r="V1123" s="1372"/>
      <c r="W1123" s="1372"/>
    </row>
    <row r="1124" spans="1:23" s="1295" customFormat="1" ht="75" hidden="1" x14ac:dyDescent="0.25">
      <c r="A1124" s="1373">
        <v>20221228</v>
      </c>
      <c r="B1124" s="1282">
        <v>7655</v>
      </c>
      <c r="C1124" s="1375" t="s">
        <v>648</v>
      </c>
      <c r="D1124" s="1376" t="s">
        <v>690</v>
      </c>
      <c r="E1124" s="1364" t="s">
        <v>781</v>
      </c>
      <c r="F1124" s="1378" t="s">
        <v>1734</v>
      </c>
      <c r="G1124" s="1366">
        <v>44914</v>
      </c>
      <c r="H1124" s="1380">
        <v>44911</v>
      </c>
      <c r="I1124" s="1367">
        <v>2</v>
      </c>
      <c r="J1124" s="1365" t="s">
        <v>677</v>
      </c>
      <c r="K1124" s="1375" t="s">
        <v>678</v>
      </c>
      <c r="L1124" s="1364" t="s">
        <v>679</v>
      </c>
      <c r="M1124" s="1383">
        <v>4900000</v>
      </c>
      <c r="N1124" s="1384" t="s">
        <v>784</v>
      </c>
      <c r="O1124" s="1369" t="s">
        <v>771</v>
      </c>
      <c r="P1124" s="1386" t="s">
        <v>759</v>
      </c>
      <c r="Q1124" s="1371"/>
      <c r="R1124" s="1372"/>
      <c r="S1124" s="1372"/>
      <c r="T1124" s="1372"/>
      <c r="U1124" s="1372"/>
      <c r="V1124" s="1372"/>
      <c r="W1124" s="1372"/>
    </row>
    <row r="1125" spans="1:23" s="1295" customFormat="1" ht="75" hidden="1" x14ac:dyDescent="0.25">
      <c r="A1125" s="1373">
        <v>20221229</v>
      </c>
      <c r="B1125" s="1282">
        <v>7655</v>
      </c>
      <c r="C1125" s="1375" t="s">
        <v>648</v>
      </c>
      <c r="D1125" s="1376" t="s">
        <v>690</v>
      </c>
      <c r="E1125" s="1364" t="s">
        <v>781</v>
      </c>
      <c r="F1125" s="1378" t="s">
        <v>1735</v>
      </c>
      <c r="G1125" s="1366">
        <v>44914</v>
      </c>
      <c r="H1125" s="1380">
        <v>44911</v>
      </c>
      <c r="I1125" s="1367">
        <v>2</v>
      </c>
      <c r="J1125" s="1365" t="s">
        <v>677</v>
      </c>
      <c r="K1125" s="1375" t="s">
        <v>678</v>
      </c>
      <c r="L1125" s="1364" t="s">
        <v>679</v>
      </c>
      <c r="M1125" s="1383">
        <v>4900000</v>
      </c>
      <c r="N1125" s="1384" t="s">
        <v>784</v>
      </c>
      <c r="O1125" s="1369" t="s">
        <v>771</v>
      </c>
      <c r="P1125" s="1386" t="s">
        <v>759</v>
      </c>
      <c r="Q1125" s="1371"/>
      <c r="R1125" s="1372"/>
      <c r="S1125" s="1372"/>
      <c r="T1125" s="1372"/>
      <c r="U1125" s="1372"/>
      <c r="V1125" s="1372"/>
      <c r="W1125" s="1372"/>
    </row>
    <row r="1126" spans="1:23" s="1295" customFormat="1" ht="75" hidden="1" x14ac:dyDescent="0.25">
      <c r="A1126" s="1373">
        <v>20221230</v>
      </c>
      <c r="B1126" s="1282">
        <v>7655</v>
      </c>
      <c r="C1126" s="1375" t="s">
        <v>648</v>
      </c>
      <c r="D1126" s="1376" t="s">
        <v>690</v>
      </c>
      <c r="E1126" s="1364" t="s">
        <v>781</v>
      </c>
      <c r="F1126" s="1378" t="s">
        <v>1736</v>
      </c>
      <c r="G1126" s="1366">
        <v>44914</v>
      </c>
      <c r="H1126" s="1380">
        <v>44911</v>
      </c>
      <c r="I1126" s="1367">
        <v>1</v>
      </c>
      <c r="J1126" s="1365" t="s">
        <v>677</v>
      </c>
      <c r="K1126" s="1375" t="s">
        <v>678</v>
      </c>
      <c r="L1126" s="1364" t="s">
        <v>679</v>
      </c>
      <c r="M1126" s="1383">
        <v>2450000</v>
      </c>
      <c r="N1126" s="1384" t="s">
        <v>784</v>
      </c>
      <c r="O1126" s="1369" t="s">
        <v>771</v>
      </c>
      <c r="P1126" s="1386" t="s">
        <v>759</v>
      </c>
      <c r="Q1126" s="1371"/>
      <c r="R1126" s="1372"/>
      <c r="S1126" s="1372"/>
      <c r="T1126" s="1372"/>
      <c r="U1126" s="1372"/>
      <c r="V1126" s="1372"/>
      <c r="W1126" s="1372"/>
    </row>
    <row r="1127" spans="1:23" s="1204" customFormat="1" hidden="1" x14ac:dyDescent="0.2">
      <c r="A1127" s="1373"/>
      <c r="B1127" s="1374"/>
      <c r="C1127" s="1375"/>
      <c r="D1127" s="1376"/>
      <c r="E1127" s="1377"/>
      <c r="F1127" s="1378"/>
      <c r="G1127" s="1379"/>
      <c r="H1127" s="1380"/>
      <c r="I1127" s="1381"/>
      <c r="J1127" s="1382"/>
      <c r="K1127" s="1375"/>
      <c r="L1127" s="1377"/>
      <c r="M1127" s="1383"/>
      <c r="N1127" s="1384"/>
      <c r="O1127" s="1382"/>
      <c r="P1127" s="1370"/>
      <c r="Q1127" s="1385"/>
      <c r="R1127" s="1372"/>
      <c r="S1127" s="1372"/>
      <c r="T1127" s="1372"/>
      <c r="U1127" s="1372"/>
      <c r="V1127" s="1372"/>
      <c r="W1127" s="1372"/>
    </row>
  </sheetData>
  <protectedRanges>
    <protectedRange sqref="F28" name="Rango1_4_4_1_2"/>
  </protectedRanges>
  <mergeCells count="3">
    <mergeCell ref="A1:L1"/>
    <mergeCell ref="A2:L2"/>
    <mergeCell ref="M4:N4"/>
  </mergeCells>
  <phoneticPr fontId="55" type="noConversion"/>
  <conditionalFormatting sqref="A1081:A1090">
    <cfRule type="duplicateValues" dxfId="64" priority="19"/>
  </conditionalFormatting>
  <conditionalFormatting sqref="A1107:A1115 A8:A908 A910:A1090">
    <cfRule type="duplicateValues" dxfId="63" priority="68"/>
  </conditionalFormatting>
  <conditionalFormatting sqref="A1083:A1113">
    <cfRule type="duplicateValues" dxfId="62" priority="70"/>
  </conditionalFormatting>
  <conditionalFormatting sqref="A1121:A65536 A1:A5 A7:A908 A1107:A1117 A910:A1088">
    <cfRule type="duplicateValues" dxfId="61" priority="88"/>
  </conditionalFormatting>
  <conditionalFormatting sqref="A1121:A65536 A1:A5 A7:A908 A1107:A1117 A910:A1090">
    <cfRule type="duplicateValues" dxfId="60" priority="94"/>
  </conditionalFormatting>
  <conditionalFormatting sqref="A1111:A1117">
    <cfRule type="duplicateValues" dxfId="59" priority="100"/>
  </conditionalFormatting>
  <conditionalFormatting sqref="A910:A1117 A8:A908">
    <cfRule type="duplicateValues" dxfId="58" priority="104"/>
  </conditionalFormatting>
  <conditionalFormatting sqref="A1118">
    <cfRule type="duplicateValues" dxfId="57" priority="5"/>
  </conditionalFormatting>
  <conditionalFormatting sqref="A1118">
    <cfRule type="duplicateValues" dxfId="56" priority="6"/>
  </conditionalFormatting>
  <conditionalFormatting sqref="A1118">
    <cfRule type="duplicateValues" dxfId="55" priority="7"/>
  </conditionalFormatting>
  <conditionalFormatting sqref="A1118">
    <cfRule type="duplicateValues" dxfId="54" priority="8"/>
  </conditionalFormatting>
  <conditionalFormatting sqref="A1119:A1120">
    <cfRule type="duplicateValues" dxfId="53" priority="1"/>
  </conditionalFormatting>
  <conditionalFormatting sqref="A1119:A1120">
    <cfRule type="duplicateValues" dxfId="52" priority="2"/>
  </conditionalFormatting>
  <conditionalFormatting sqref="A1119:A1120">
    <cfRule type="duplicateValues" dxfId="51" priority="3"/>
  </conditionalFormatting>
  <conditionalFormatting sqref="A1119:A1120">
    <cfRule type="duplicateValues" dxfId="50" priority="4"/>
  </conditionalFormatting>
  <dataValidations count="19">
    <dataValidation type="list" allowBlank="1" showInputMessage="1" showErrorMessage="1" sqref="O618" xr:uid="{00000000-0002-0000-0700-000000000000}">
      <formula1>$AK$38:$AK$41</formula1>
    </dataValidation>
    <dataValidation type="list" allowBlank="1" showInputMessage="1" showErrorMessage="1" sqref="N618" xr:uid="{00000000-0002-0000-0700-000001000000}">
      <formula1>$AL$38:$AL$47</formula1>
    </dataValidation>
    <dataValidation type="list" allowBlank="1" showInputMessage="1" showErrorMessage="1" sqref="O611 O624:O625" xr:uid="{00000000-0002-0000-0700-000002000000}">
      <formula1>$AK$40:$AK$43</formula1>
    </dataValidation>
    <dataValidation type="list" allowBlank="1" showInputMessage="1" showErrorMessage="1" sqref="N611 N624:N625" xr:uid="{00000000-0002-0000-0700-000003000000}">
      <formula1>$AL$40:$AL$49</formula1>
    </dataValidation>
    <dataValidation type="list" allowBlank="1" showInputMessage="1" showErrorMessage="1" sqref="O612:O617 O619:O623 O308:O365 O367:O610 O8:O306 O944:O1037 O1080 O626:O926" xr:uid="{00000000-0002-0000-0700-000004000000}">
      <formula1>$AK$39:$AK$42</formula1>
    </dataValidation>
    <dataValidation type="list" allowBlank="1" showInputMessage="1" showErrorMessage="1" sqref="N619:N623 N612:N617 N308:N365 N367:N610 N8:N306 N944:N1037 N1076:N1080 N626:N926" xr:uid="{00000000-0002-0000-0700-000005000000}">
      <formula1>$AL$39:$AL$48</formula1>
    </dataValidation>
    <dataValidation type="list" allowBlank="1" showInputMessage="1" showErrorMessage="1" sqref="B308:B365 B8:B306 B1080 B367:B1037" xr:uid="{00000000-0002-0000-0700-000006000000}">
      <formula1>$AJ$5:$AJ$8</formula1>
    </dataValidation>
    <dataValidation type="list" allowBlank="1" showInputMessage="1" showErrorMessage="1" sqref="C308:C365 C8:C306 C1080 C367:C1037" xr:uid="{00000000-0002-0000-0700-000007000000}">
      <formula1>$AK$5:$AK$7</formula1>
    </dataValidation>
    <dataValidation type="list" allowBlank="1" showInputMessage="1" showErrorMessage="1" sqref="D308:D365 D8:D306 D1080 D367:D1037" xr:uid="{00000000-0002-0000-0700-000008000000}">
      <formula1>$AL$5:$AL$14</formula1>
    </dataValidation>
    <dataValidation type="list" allowBlank="1" showInputMessage="1" showErrorMessage="1" sqref="J308:J365 J8:J306 J944:J1037 J1080 J367:J926" xr:uid="{00000000-0002-0000-0700-000009000000}">
      <formula1>$AM$5:$AM$23</formula1>
    </dataValidation>
    <dataValidation type="list" allowBlank="1" showInputMessage="1" showErrorMessage="1" sqref="J366" xr:uid="{00000000-0002-0000-0700-00000A000000}">
      <formula1>$AL$5:$AL$23</formula1>
    </dataValidation>
    <dataValidation type="list" allowBlank="1" showInputMessage="1" showErrorMessage="1" sqref="D366" xr:uid="{00000000-0002-0000-0700-00000B000000}">
      <formula1>$AK$5:$AK$14</formula1>
    </dataValidation>
    <dataValidation type="list" allowBlank="1" showInputMessage="1" showErrorMessage="1" sqref="C366" xr:uid="{00000000-0002-0000-0700-00000C000000}">
      <formula1>$AJ$5:$AJ$7</formula1>
    </dataValidation>
    <dataValidation type="list" allowBlank="1" showInputMessage="1" showErrorMessage="1" sqref="B366" xr:uid="{00000000-0002-0000-0700-00000D000000}">
      <formula1>$AI$5:$AI$8</formula1>
    </dataValidation>
    <dataValidation type="list" allowBlank="1" showInputMessage="1" showErrorMessage="1" sqref="N366" xr:uid="{00000000-0002-0000-0700-00000E000000}">
      <formula1>$AK$40:$AK$50</formula1>
    </dataValidation>
    <dataValidation type="list" allowBlank="1" showInputMessage="1" showErrorMessage="1" sqref="O366" xr:uid="{00000000-0002-0000-0700-00000F000000}">
      <formula1>$AJ$40:$AJ$44</formula1>
    </dataValidation>
    <dataValidation type="list" allowBlank="1" showInputMessage="1" showErrorMessage="1" sqref="J927:J943" xr:uid="{00000000-0002-0000-0700-000010000000}">
      <formula1>$AM$5:$AM$25</formula1>
    </dataValidation>
    <dataValidation type="list" allowBlank="1" showInputMessage="1" showErrorMessage="1" sqref="O927:O943" xr:uid="{00000000-0002-0000-0700-000011000000}">
      <formula1>$AK$48:$AK$51</formula1>
    </dataValidation>
    <dataValidation type="list" allowBlank="1" showInputMessage="1" showErrorMessage="1" sqref="N927:N943" xr:uid="{00000000-0002-0000-0700-000012000000}">
      <formula1>$AL$48:$AL$57</formula1>
    </dataValidation>
  </dataValidations>
  <pageMargins left="0.7" right="0.7" top="0.75" bottom="0.75" header="0.3" footer="0.3"/>
  <pageSetup paperSize="9" orientation="portrait" r:id="rId1"/>
  <legacy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Y623"/>
  <sheetViews>
    <sheetView zoomScale="80" zoomScaleNormal="80" workbookViewId="0">
      <pane ySplit="6" topLeftCell="A403" activePane="bottomLeft" state="frozen"/>
      <selection activeCell="E1" sqref="E1"/>
      <selection pane="bottomLeft" activeCell="M405" sqref="J404:M405"/>
    </sheetView>
  </sheetViews>
  <sheetFormatPr baseColWidth="10" defaultColWidth="11.42578125" defaultRowHeight="12.75" x14ac:dyDescent="0.2"/>
  <cols>
    <col min="1" max="1" width="9.5703125" style="998" customWidth="1"/>
    <col min="2" max="2" width="14" style="999" customWidth="1"/>
    <col min="3" max="3" width="21.7109375" style="998" customWidth="1"/>
    <col min="4" max="4" width="16.42578125" style="1100" customWidth="1"/>
    <col min="5" max="5" width="14.85546875" style="999" customWidth="1"/>
    <col min="6" max="6" width="39.7109375" style="1123" customWidth="1"/>
    <col min="7" max="7" width="20.28515625" style="1100" customWidth="1"/>
    <col min="8" max="8" width="17.7109375" style="1100" customWidth="1"/>
    <col min="9" max="9" width="13.28515625" style="1100" customWidth="1"/>
    <col min="10" max="10" width="17.7109375" style="1100" customWidth="1"/>
    <col min="11" max="11" width="15.7109375" style="1100" customWidth="1"/>
    <col min="12" max="12" width="19.5703125" style="1124" customWidth="1"/>
    <col min="13" max="13" width="20.42578125" style="1100" bestFit="1" customWidth="1"/>
    <col min="14" max="14" width="21.85546875" style="1100" customWidth="1"/>
    <col min="15" max="15" width="32.7109375" style="1100" customWidth="1"/>
    <col min="16" max="16" width="12.42578125" style="1100" bestFit="1" customWidth="1"/>
    <col min="17" max="17" width="18.42578125" style="1124" customWidth="1"/>
    <col min="18" max="19" width="11.42578125" style="1124"/>
    <col min="20" max="20" width="16.42578125" style="1154" bestFit="1" customWidth="1"/>
    <col min="21" max="16384" width="11.42578125" style="1100"/>
  </cols>
  <sheetData>
    <row r="1" spans="1:20" s="992" customFormat="1" ht="26.45" customHeight="1" x14ac:dyDescent="0.25">
      <c r="A1" s="988"/>
      <c r="B1" s="989"/>
      <c r="C1" s="989"/>
      <c r="D1" s="989"/>
      <c r="E1" s="990"/>
      <c r="F1" s="1397" t="s">
        <v>641</v>
      </c>
      <c r="G1" s="1397"/>
      <c r="H1" s="1397"/>
      <c r="I1" s="989"/>
      <c r="J1" s="989"/>
      <c r="K1" s="989"/>
      <c r="L1" s="989"/>
      <c r="M1" s="989"/>
      <c r="N1" s="989"/>
      <c r="O1" s="989"/>
      <c r="P1" s="989"/>
      <c r="Q1" s="991"/>
      <c r="R1" s="991"/>
      <c r="S1" s="991"/>
      <c r="T1" s="1151"/>
    </row>
    <row r="2" spans="1:20" s="992" customFormat="1" x14ac:dyDescent="0.25">
      <c r="A2" s="989"/>
      <c r="B2" s="989"/>
      <c r="C2" s="989"/>
      <c r="D2" s="989"/>
      <c r="E2" s="990"/>
      <c r="F2" s="993"/>
      <c r="G2" s="994"/>
      <c r="H2" s="989"/>
      <c r="I2" s="989"/>
      <c r="J2" s="989"/>
      <c r="K2" s="989"/>
      <c r="L2" s="989"/>
      <c r="M2" s="989"/>
      <c r="N2" s="989"/>
      <c r="O2" s="989"/>
      <c r="P2" s="989"/>
      <c r="Q2" s="991"/>
      <c r="R2" s="991"/>
      <c r="S2" s="991"/>
      <c r="T2" s="1151"/>
    </row>
    <row r="3" spans="1:20" s="992" customFormat="1" x14ac:dyDescent="0.25">
      <c r="B3" s="989"/>
      <c r="C3" s="989"/>
      <c r="D3" s="989"/>
      <c r="E3" s="990"/>
      <c r="F3" s="993" t="s">
        <v>1737</v>
      </c>
      <c r="G3" s="994"/>
      <c r="I3" s="989"/>
      <c r="J3" s="989"/>
      <c r="K3" s="989"/>
      <c r="L3" s="989"/>
      <c r="M3" s="989"/>
      <c r="N3" s="989"/>
      <c r="O3" s="989"/>
      <c r="P3" s="989"/>
      <c r="Q3" s="991"/>
      <c r="R3" s="991"/>
      <c r="S3" s="991"/>
      <c r="T3" s="1151"/>
    </row>
    <row r="4" spans="1:20" s="992" customFormat="1" x14ac:dyDescent="0.25">
      <c r="B4" s="991"/>
      <c r="D4" s="995"/>
      <c r="E4" s="991"/>
      <c r="F4" s="996"/>
      <c r="G4" s="995"/>
      <c r="H4" s="995"/>
      <c r="I4" s="995"/>
      <c r="J4" s="995"/>
      <c r="K4" s="995"/>
      <c r="L4" s="997"/>
      <c r="M4" s="1398" t="s">
        <v>1738</v>
      </c>
      <c r="N4" s="1398"/>
      <c r="Q4" s="991"/>
      <c r="R4" s="991"/>
      <c r="S4" s="991"/>
      <c r="T4" s="1151"/>
    </row>
    <row r="5" spans="1:20" s="992" customFormat="1" x14ac:dyDescent="0.25">
      <c r="A5" s="998"/>
      <c r="B5" s="999"/>
      <c r="C5" s="998"/>
      <c r="D5" s="998"/>
      <c r="E5" s="991"/>
      <c r="F5" s="996"/>
      <c r="K5" s="1000"/>
      <c r="L5" s="1001"/>
      <c r="M5" s="1002">
        <f>+SUBTOTAL(9,M7:M616)</f>
        <v>67248064999.699997</v>
      </c>
      <c r="N5" s="1003"/>
      <c r="Q5" s="991"/>
      <c r="R5" s="991"/>
      <c r="S5" s="991"/>
      <c r="T5" s="1151"/>
    </row>
    <row r="6" spans="1:20" s="1009" customFormat="1" ht="63.75" x14ac:dyDescent="0.25">
      <c r="A6" s="1004" t="s">
        <v>651</v>
      </c>
      <c r="B6" s="1004" t="s">
        <v>644</v>
      </c>
      <c r="C6" s="1004" t="s">
        <v>652</v>
      </c>
      <c r="D6" s="1004" t="s">
        <v>653</v>
      </c>
      <c r="E6" s="1004" t="s">
        <v>654</v>
      </c>
      <c r="F6" s="1005" t="s">
        <v>655</v>
      </c>
      <c r="G6" s="1006" t="s">
        <v>656</v>
      </c>
      <c r="H6" s="1006" t="s">
        <v>657</v>
      </c>
      <c r="I6" s="1004" t="s">
        <v>1739</v>
      </c>
      <c r="J6" s="1004" t="s">
        <v>659</v>
      </c>
      <c r="K6" s="1004" t="s">
        <v>660</v>
      </c>
      <c r="L6" s="1007" t="s">
        <v>661</v>
      </c>
      <c r="M6" s="1004" t="s">
        <v>662</v>
      </c>
      <c r="N6" s="1004" t="s">
        <v>663</v>
      </c>
      <c r="O6" s="1004" t="s">
        <v>1740</v>
      </c>
      <c r="P6" s="1008" t="s">
        <v>669</v>
      </c>
      <c r="Q6" s="1004" t="s">
        <v>1741</v>
      </c>
      <c r="R6" s="1009" t="s">
        <v>668</v>
      </c>
      <c r="S6" s="1009" t="s">
        <v>670</v>
      </c>
      <c r="T6" s="1152" t="s">
        <v>1742</v>
      </c>
    </row>
    <row r="7" spans="1:20" s="1019" customFormat="1" ht="102" x14ac:dyDescent="0.25">
      <c r="A7" s="1010">
        <v>2022001</v>
      </c>
      <c r="B7" s="1010">
        <v>7637</v>
      </c>
      <c r="C7" s="1010" t="s">
        <v>645</v>
      </c>
      <c r="D7" s="1011" t="s">
        <v>674</v>
      </c>
      <c r="E7" s="1012">
        <v>80111600</v>
      </c>
      <c r="F7" s="1013" t="s">
        <v>676</v>
      </c>
      <c r="G7" s="1014" t="s">
        <v>1743</v>
      </c>
      <c r="H7" s="1014" t="s">
        <v>1743</v>
      </c>
      <c r="I7" s="1014">
        <v>11</v>
      </c>
      <c r="J7" s="1014" t="s">
        <v>1744</v>
      </c>
      <c r="K7" s="1015" t="s">
        <v>678</v>
      </c>
      <c r="L7" s="1016" t="s">
        <v>679</v>
      </c>
      <c r="M7" s="1017">
        <f>93500000-23400000</f>
        <v>70100000</v>
      </c>
      <c r="N7" s="1018" t="s">
        <v>733</v>
      </c>
      <c r="O7" s="1018" t="s">
        <v>1745</v>
      </c>
      <c r="P7" s="1018"/>
      <c r="Q7" s="1014"/>
      <c r="S7" s="1127"/>
      <c r="T7" s="1153"/>
    </row>
    <row r="8" spans="1:20" s="992" customFormat="1" ht="89.25" x14ac:dyDescent="0.25">
      <c r="A8" s="1020">
        <v>2022002</v>
      </c>
      <c r="B8" s="1020">
        <v>7637</v>
      </c>
      <c r="C8" s="1020" t="s">
        <v>645</v>
      </c>
      <c r="D8" s="1021" t="s">
        <v>674</v>
      </c>
      <c r="E8" s="1022">
        <v>80111600</v>
      </c>
      <c r="F8" s="1023" t="s">
        <v>685</v>
      </c>
      <c r="G8" s="1024" t="s">
        <v>1743</v>
      </c>
      <c r="H8" s="1024" t="s">
        <v>1743</v>
      </c>
      <c r="I8" s="1024">
        <v>11</v>
      </c>
      <c r="J8" s="1024" t="s">
        <v>1744</v>
      </c>
      <c r="K8" s="1025" t="s">
        <v>678</v>
      </c>
      <c r="L8" s="1026" t="s">
        <v>679</v>
      </c>
      <c r="M8" s="1027">
        <v>77000000</v>
      </c>
      <c r="N8" s="1028" t="s">
        <v>733</v>
      </c>
      <c r="O8" s="1028" t="s">
        <v>1745</v>
      </c>
      <c r="P8" s="1028"/>
      <c r="Q8" s="1024"/>
      <c r="R8" s="1019"/>
      <c r="S8" s="1127">
        <v>259</v>
      </c>
      <c r="T8" s="1153">
        <v>74800000</v>
      </c>
    </row>
    <row r="9" spans="1:20" s="992" customFormat="1" ht="89.25" x14ac:dyDescent="0.25">
      <c r="A9" s="1020">
        <v>2022003</v>
      </c>
      <c r="B9" s="1020">
        <v>7637</v>
      </c>
      <c r="C9" s="1020" t="s">
        <v>645</v>
      </c>
      <c r="D9" s="1021" t="s">
        <v>674</v>
      </c>
      <c r="E9" s="1022">
        <v>80111600</v>
      </c>
      <c r="F9" s="1023" t="s">
        <v>688</v>
      </c>
      <c r="G9" s="1024" t="s">
        <v>1743</v>
      </c>
      <c r="H9" s="1024" t="s">
        <v>1743</v>
      </c>
      <c r="I9" s="1024">
        <v>11</v>
      </c>
      <c r="J9" s="1024" t="s">
        <v>1744</v>
      </c>
      <c r="K9" s="1025" t="s">
        <v>678</v>
      </c>
      <c r="L9" s="1026" t="s">
        <v>679</v>
      </c>
      <c r="M9" s="1027">
        <v>77000000</v>
      </c>
      <c r="N9" s="1028" t="s">
        <v>739</v>
      </c>
      <c r="O9" s="1028" t="s">
        <v>1745</v>
      </c>
      <c r="P9" s="1028"/>
      <c r="Q9" s="1024"/>
      <c r="R9" s="1019"/>
      <c r="S9" s="1127">
        <v>404</v>
      </c>
      <c r="T9" s="1153">
        <v>49600000</v>
      </c>
    </row>
    <row r="10" spans="1:20" s="992" customFormat="1" ht="89.25" x14ac:dyDescent="0.25">
      <c r="A10" s="1020">
        <v>2022004</v>
      </c>
      <c r="B10" s="1020">
        <v>7637</v>
      </c>
      <c r="C10" s="1020" t="s">
        <v>645</v>
      </c>
      <c r="D10" s="1021" t="s">
        <v>674</v>
      </c>
      <c r="E10" s="1022">
        <v>80111600</v>
      </c>
      <c r="F10" s="1023" t="s">
        <v>692</v>
      </c>
      <c r="G10" s="1024" t="s">
        <v>1743</v>
      </c>
      <c r="H10" s="1024" t="s">
        <v>1743</v>
      </c>
      <c r="I10" s="1024">
        <v>11</v>
      </c>
      <c r="J10" s="1024" t="s">
        <v>1744</v>
      </c>
      <c r="K10" s="1025" t="s">
        <v>678</v>
      </c>
      <c r="L10" s="1026" t="s">
        <v>679</v>
      </c>
      <c r="M10" s="1027">
        <v>77000000</v>
      </c>
      <c r="N10" s="1028" t="s">
        <v>733</v>
      </c>
      <c r="O10" s="1028" t="s">
        <v>1745</v>
      </c>
      <c r="P10" s="1028"/>
      <c r="Q10" s="1024"/>
      <c r="R10" s="1019"/>
      <c r="S10" s="1127">
        <v>311</v>
      </c>
      <c r="T10" s="1153">
        <v>74800000</v>
      </c>
    </row>
    <row r="11" spans="1:20" s="992" customFormat="1" ht="89.25" x14ac:dyDescent="0.25">
      <c r="A11" s="1020">
        <v>2022005</v>
      </c>
      <c r="B11" s="1020">
        <v>7637</v>
      </c>
      <c r="C11" s="1020" t="s">
        <v>645</v>
      </c>
      <c r="D11" s="1021" t="s">
        <v>674</v>
      </c>
      <c r="E11" s="1022">
        <v>80111600</v>
      </c>
      <c r="F11" s="1023" t="s">
        <v>695</v>
      </c>
      <c r="G11" s="1024" t="s">
        <v>1743</v>
      </c>
      <c r="H11" s="1024" t="s">
        <v>1743</v>
      </c>
      <c r="I11" s="1024">
        <v>11</v>
      </c>
      <c r="J11" s="1024" t="s">
        <v>1744</v>
      </c>
      <c r="K11" s="1025" t="s">
        <v>678</v>
      </c>
      <c r="L11" s="1026" t="s">
        <v>679</v>
      </c>
      <c r="M11" s="1027">
        <v>77000000</v>
      </c>
      <c r="N11" s="1028" t="s">
        <v>733</v>
      </c>
      <c r="O11" s="1028" t="s">
        <v>1745</v>
      </c>
      <c r="P11" s="1028"/>
      <c r="Q11" s="1024"/>
      <c r="R11" s="1019"/>
      <c r="S11" s="1127">
        <v>452</v>
      </c>
      <c r="T11" s="1153">
        <v>40800000</v>
      </c>
    </row>
    <row r="12" spans="1:20" s="992" customFormat="1" ht="89.25" x14ac:dyDescent="0.25">
      <c r="A12" s="1020">
        <v>2022006</v>
      </c>
      <c r="B12" s="1020">
        <v>7637</v>
      </c>
      <c r="C12" s="1020" t="s">
        <v>645</v>
      </c>
      <c r="D12" s="1021" t="s">
        <v>674</v>
      </c>
      <c r="E12" s="1022">
        <v>80111600</v>
      </c>
      <c r="F12" s="1023" t="s">
        <v>698</v>
      </c>
      <c r="G12" s="1024" t="s">
        <v>1743</v>
      </c>
      <c r="H12" s="1024" t="s">
        <v>1743</v>
      </c>
      <c r="I12" s="1024">
        <v>11</v>
      </c>
      <c r="J12" s="1024" t="s">
        <v>1744</v>
      </c>
      <c r="K12" s="1025" t="s">
        <v>678</v>
      </c>
      <c r="L12" s="1026" t="s">
        <v>679</v>
      </c>
      <c r="M12" s="1027">
        <v>66000000</v>
      </c>
      <c r="N12" s="1028" t="s">
        <v>733</v>
      </c>
      <c r="O12" s="1028" t="s">
        <v>1745</v>
      </c>
      <c r="P12" s="1028"/>
      <c r="Q12" s="1024"/>
      <c r="R12" s="1019"/>
      <c r="S12" s="1127">
        <v>474</v>
      </c>
      <c r="T12" s="1153">
        <v>48000000</v>
      </c>
    </row>
    <row r="13" spans="1:20" s="992" customFormat="1" ht="89.25" x14ac:dyDescent="0.25">
      <c r="A13" s="1020">
        <v>2022007</v>
      </c>
      <c r="B13" s="1020">
        <v>7637</v>
      </c>
      <c r="C13" s="1020" t="s">
        <v>645</v>
      </c>
      <c r="D13" s="1021" t="s">
        <v>674</v>
      </c>
      <c r="E13" s="1022">
        <v>80111600</v>
      </c>
      <c r="F13" s="1023" t="s">
        <v>701</v>
      </c>
      <c r="G13" s="1024" t="s">
        <v>1743</v>
      </c>
      <c r="H13" s="1024" t="s">
        <v>1743</v>
      </c>
      <c r="I13" s="1024">
        <v>11</v>
      </c>
      <c r="J13" s="1024" t="s">
        <v>1744</v>
      </c>
      <c r="K13" s="1025" t="s">
        <v>678</v>
      </c>
      <c r="L13" s="1026" t="s">
        <v>679</v>
      </c>
      <c r="M13" s="1027">
        <v>77000000</v>
      </c>
      <c r="N13" s="1028" t="s">
        <v>733</v>
      </c>
      <c r="O13" s="1028" t="s">
        <v>1745</v>
      </c>
      <c r="P13" s="1028"/>
      <c r="Q13" s="1024"/>
      <c r="R13" s="1019"/>
      <c r="S13" s="1127">
        <v>260</v>
      </c>
      <c r="T13" s="1153">
        <v>74800000</v>
      </c>
    </row>
    <row r="14" spans="1:20" s="992" customFormat="1" ht="89.25" x14ac:dyDescent="0.25">
      <c r="A14" s="1020">
        <v>2022008</v>
      </c>
      <c r="B14" s="1020">
        <v>7637</v>
      </c>
      <c r="C14" s="1020" t="s">
        <v>645</v>
      </c>
      <c r="D14" s="1021" t="s">
        <v>674</v>
      </c>
      <c r="E14" s="1022">
        <v>80111600</v>
      </c>
      <c r="F14" s="1023" t="s">
        <v>704</v>
      </c>
      <c r="G14" s="1024" t="s">
        <v>1743</v>
      </c>
      <c r="H14" s="1024" t="s">
        <v>1743</v>
      </c>
      <c r="I14" s="1024">
        <v>11</v>
      </c>
      <c r="J14" s="1024" t="s">
        <v>1744</v>
      </c>
      <c r="K14" s="1025" t="s">
        <v>678</v>
      </c>
      <c r="L14" s="1026" t="s">
        <v>679</v>
      </c>
      <c r="M14" s="1027">
        <v>77000000</v>
      </c>
      <c r="N14" s="1028" t="s">
        <v>733</v>
      </c>
      <c r="O14" s="1028" t="s">
        <v>1745</v>
      </c>
      <c r="P14" s="1028"/>
      <c r="Q14" s="1024"/>
      <c r="R14" s="1019"/>
      <c r="S14" s="1127">
        <v>310</v>
      </c>
      <c r="T14" s="1153">
        <v>74800000</v>
      </c>
    </row>
    <row r="15" spans="1:20" s="992" customFormat="1" ht="89.25" x14ac:dyDescent="0.25">
      <c r="A15" s="1020">
        <v>2022009</v>
      </c>
      <c r="B15" s="1020">
        <v>7637</v>
      </c>
      <c r="C15" s="1020" t="s">
        <v>645</v>
      </c>
      <c r="D15" s="1021" t="s">
        <v>674</v>
      </c>
      <c r="E15" s="1022">
        <v>80111600</v>
      </c>
      <c r="F15" s="1023" t="s">
        <v>706</v>
      </c>
      <c r="G15" s="1024" t="s">
        <v>1743</v>
      </c>
      <c r="H15" s="1024" t="s">
        <v>1743</v>
      </c>
      <c r="I15" s="1024">
        <v>11</v>
      </c>
      <c r="J15" s="1024" t="s">
        <v>1744</v>
      </c>
      <c r="K15" s="1025" t="s">
        <v>678</v>
      </c>
      <c r="L15" s="1026" t="s">
        <v>679</v>
      </c>
      <c r="M15" s="1027">
        <v>77000000</v>
      </c>
      <c r="N15" s="1028" t="s">
        <v>735</v>
      </c>
      <c r="O15" s="1028" t="s">
        <v>1745</v>
      </c>
      <c r="P15" s="1028"/>
      <c r="Q15" s="1024"/>
      <c r="R15" s="1019"/>
      <c r="S15" s="1127">
        <v>459</v>
      </c>
      <c r="T15" s="1153">
        <v>49600000</v>
      </c>
    </row>
    <row r="16" spans="1:20" s="992" customFormat="1" ht="89.25" x14ac:dyDescent="0.25">
      <c r="A16" s="1020">
        <v>2022010</v>
      </c>
      <c r="B16" s="1020">
        <v>7637</v>
      </c>
      <c r="C16" s="1020" t="s">
        <v>645</v>
      </c>
      <c r="D16" s="1021" t="s">
        <v>674</v>
      </c>
      <c r="E16" s="1022">
        <v>80111600</v>
      </c>
      <c r="F16" s="1023" t="s">
        <v>709</v>
      </c>
      <c r="G16" s="1024" t="s">
        <v>1743</v>
      </c>
      <c r="H16" s="1024" t="s">
        <v>1743</v>
      </c>
      <c r="I16" s="1024">
        <v>11</v>
      </c>
      <c r="J16" s="1024" t="s">
        <v>1744</v>
      </c>
      <c r="K16" s="1025" t="s">
        <v>678</v>
      </c>
      <c r="L16" s="1026" t="s">
        <v>679</v>
      </c>
      <c r="M16" s="1027">
        <v>66000000</v>
      </c>
      <c r="N16" s="1028" t="s">
        <v>733</v>
      </c>
      <c r="O16" s="1028" t="s">
        <v>1745</v>
      </c>
      <c r="P16" s="1028"/>
      <c r="Q16" s="1024"/>
      <c r="R16" s="1019"/>
      <c r="S16" s="1127">
        <v>449</v>
      </c>
      <c r="T16" s="1153">
        <v>49600000</v>
      </c>
    </row>
    <row r="17" spans="1:20" s="992" customFormat="1" ht="89.25" x14ac:dyDescent="0.25">
      <c r="A17" s="1020">
        <v>2022011</v>
      </c>
      <c r="B17" s="1020">
        <v>7637</v>
      </c>
      <c r="C17" s="1020" t="s">
        <v>645</v>
      </c>
      <c r="D17" s="1021" t="s">
        <v>674</v>
      </c>
      <c r="E17" s="1022">
        <v>80111600</v>
      </c>
      <c r="F17" s="1023" t="s">
        <v>711</v>
      </c>
      <c r="G17" s="1024" t="s">
        <v>1743</v>
      </c>
      <c r="H17" s="1024" t="s">
        <v>1743</v>
      </c>
      <c r="I17" s="1024">
        <v>11</v>
      </c>
      <c r="J17" s="1024" t="s">
        <v>1744</v>
      </c>
      <c r="K17" s="1025" t="s">
        <v>678</v>
      </c>
      <c r="L17" s="1026" t="s">
        <v>679</v>
      </c>
      <c r="M17" s="1027">
        <v>33000000</v>
      </c>
      <c r="N17" s="1028" t="s">
        <v>733</v>
      </c>
      <c r="O17" s="1028" t="s">
        <v>1745</v>
      </c>
      <c r="P17" s="1028"/>
      <c r="Q17" s="1024"/>
      <c r="R17" s="1019"/>
      <c r="S17" s="1127">
        <v>372</v>
      </c>
      <c r="T17" s="1153">
        <v>24000000</v>
      </c>
    </row>
    <row r="18" spans="1:20" s="992" customFormat="1" ht="89.25" x14ac:dyDescent="0.25">
      <c r="A18" s="1020">
        <v>2022012</v>
      </c>
      <c r="B18" s="1020">
        <v>7637</v>
      </c>
      <c r="C18" s="1020" t="s">
        <v>645</v>
      </c>
      <c r="D18" s="1021" t="s">
        <v>674</v>
      </c>
      <c r="E18" s="1022">
        <v>80111600</v>
      </c>
      <c r="F18" s="1023" t="s">
        <v>713</v>
      </c>
      <c r="G18" s="1024" t="s">
        <v>1743</v>
      </c>
      <c r="H18" s="1024" t="s">
        <v>1743</v>
      </c>
      <c r="I18" s="1024">
        <v>11</v>
      </c>
      <c r="J18" s="1024" t="s">
        <v>1744</v>
      </c>
      <c r="K18" s="1025" t="s">
        <v>678</v>
      </c>
      <c r="L18" s="1026" t="s">
        <v>679</v>
      </c>
      <c r="M18" s="1027">
        <v>49500000</v>
      </c>
      <c r="N18" s="1028" t="s">
        <v>733</v>
      </c>
      <c r="O18" s="1028" t="s">
        <v>1745</v>
      </c>
      <c r="P18" s="1028"/>
      <c r="Q18" s="1024"/>
      <c r="R18" s="1019"/>
      <c r="S18" s="1127">
        <v>209</v>
      </c>
      <c r="T18" s="1153">
        <v>49500000</v>
      </c>
    </row>
    <row r="19" spans="1:20" s="992" customFormat="1" ht="89.25" x14ac:dyDescent="0.25">
      <c r="A19" s="1020">
        <v>2022013</v>
      </c>
      <c r="B19" s="1020">
        <v>7637</v>
      </c>
      <c r="C19" s="1020" t="s">
        <v>645</v>
      </c>
      <c r="D19" s="1021" t="s">
        <v>674</v>
      </c>
      <c r="E19" s="1022">
        <v>80111600</v>
      </c>
      <c r="F19" s="1023" t="s">
        <v>715</v>
      </c>
      <c r="G19" s="1024" t="s">
        <v>1743</v>
      </c>
      <c r="H19" s="1024" t="s">
        <v>1743</v>
      </c>
      <c r="I19" s="1024">
        <v>11</v>
      </c>
      <c r="J19" s="1024" t="s">
        <v>1744</v>
      </c>
      <c r="K19" s="1025" t="s">
        <v>678</v>
      </c>
      <c r="L19" s="1026" t="s">
        <v>679</v>
      </c>
      <c r="M19" s="1027">
        <v>49500000</v>
      </c>
      <c r="N19" s="1028" t="s">
        <v>733</v>
      </c>
      <c r="O19" s="1028" t="s">
        <v>1745</v>
      </c>
      <c r="P19" s="1028"/>
      <c r="Q19" s="1024"/>
      <c r="R19" s="1019"/>
      <c r="S19" s="1127">
        <v>448</v>
      </c>
      <c r="T19" s="1153">
        <v>49500000</v>
      </c>
    </row>
    <row r="20" spans="1:20" s="992" customFormat="1" ht="89.25" x14ac:dyDescent="0.25">
      <c r="A20" s="1020">
        <v>2022014</v>
      </c>
      <c r="B20" s="1020">
        <v>7637</v>
      </c>
      <c r="C20" s="1020" t="s">
        <v>645</v>
      </c>
      <c r="D20" s="1021" t="s">
        <v>674</v>
      </c>
      <c r="E20" s="1022">
        <v>80111600</v>
      </c>
      <c r="F20" s="1023" t="s">
        <v>717</v>
      </c>
      <c r="G20" s="1024" t="s">
        <v>1743</v>
      </c>
      <c r="H20" s="1024" t="s">
        <v>1743</v>
      </c>
      <c r="I20" s="1024">
        <v>11</v>
      </c>
      <c r="J20" s="1024" t="s">
        <v>1744</v>
      </c>
      <c r="K20" s="1025" t="s">
        <v>678</v>
      </c>
      <c r="L20" s="1026" t="s">
        <v>679</v>
      </c>
      <c r="M20" s="1027">
        <v>77000000</v>
      </c>
      <c r="N20" s="1028" t="s">
        <v>735</v>
      </c>
      <c r="O20" s="1028" t="s">
        <v>1745</v>
      </c>
      <c r="P20" s="1028"/>
      <c r="Q20" s="1024"/>
      <c r="R20" s="1019"/>
      <c r="S20" s="1127">
        <v>74</v>
      </c>
      <c r="T20" s="1153">
        <v>54400000</v>
      </c>
    </row>
    <row r="21" spans="1:20" s="992" customFormat="1" ht="89.25" x14ac:dyDescent="0.25">
      <c r="A21" s="1020">
        <v>2022015</v>
      </c>
      <c r="B21" s="1020">
        <v>7637</v>
      </c>
      <c r="C21" s="1020" t="s">
        <v>645</v>
      </c>
      <c r="D21" s="1021" t="s">
        <v>674</v>
      </c>
      <c r="E21" s="1022">
        <v>80111600</v>
      </c>
      <c r="F21" s="1023" t="s">
        <v>719</v>
      </c>
      <c r="G21" s="1024" t="s">
        <v>1743</v>
      </c>
      <c r="H21" s="1024" t="s">
        <v>1743</v>
      </c>
      <c r="I21" s="1024">
        <v>11</v>
      </c>
      <c r="J21" s="1024" t="s">
        <v>1744</v>
      </c>
      <c r="K21" s="1025" t="s">
        <v>678</v>
      </c>
      <c r="L21" s="1026" t="s">
        <v>679</v>
      </c>
      <c r="M21" s="1027">
        <v>77000000</v>
      </c>
      <c r="N21" s="1028" t="s">
        <v>733</v>
      </c>
      <c r="O21" s="1028" t="s">
        <v>1745</v>
      </c>
      <c r="P21" s="1028"/>
      <c r="Q21" s="1024"/>
      <c r="R21" s="1019"/>
      <c r="S21" s="1127">
        <v>387</v>
      </c>
      <c r="T21" s="1153">
        <v>54400000</v>
      </c>
    </row>
    <row r="22" spans="1:20" s="992" customFormat="1" ht="89.25" x14ac:dyDescent="0.25">
      <c r="A22" s="1020">
        <v>2022016</v>
      </c>
      <c r="B22" s="1020">
        <v>7637</v>
      </c>
      <c r="C22" s="1020" t="s">
        <v>645</v>
      </c>
      <c r="D22" s="1021" t="s">
        <v>674</v>
      </c>
      <c r="E22" s="1022">
        <v>80111600</v>
      </c>
      <c r="F22" s="1023" t="s">
        <v>720</v>
      </c>
      <c r="G22" s="1024" t="s">
        <v>1743</v>
      </c>
      <c r="H22" s="1024" t="s">
        <v>1743</v>
      </c>
      <c r="I22" s="1024">
        <v>9.9</v>
      </c>
      <c r="J22" s="1024" t="s">
        <v>1744</v>
      </c>
      <c r="K22" s="1025" t="s">
        <v>678</v>
      </c>
      <c r="L22" s="1026" t="s">
        <v>679</v>
      </c>
      <c r="M22" s="1027">
        <v>49500000</v>
      </c>
      <c r="N22" s="1028" t="s">
        <v>735</v>
      </c>
      <c r="O22" s="1028" t="s">
        <v>1745</v>
      </c>
      <c r="P22" s="1028"/>
      <c r="Q22" s="1024"/>
      <c r="R22" s="1019"/>
      <c r="S22" s="1127">
        <v>472</v>
      </c>
      <c r="T22" s="1153">
        <v>30000000</v>
      </c>
    </row>
    <row r="23" spans="1:20" s="992" customFormat="1" ht="89.25" x14ac:dyDescent="0.25">
      <c r="A23" s="1020">
        <v>2022017</v>
      </c>
      <c r="B23" s="1020">
        <v>7637</v>
      </c>
      <c r="C23" s="1020" t="s">
        <v>645</v>
      </c>
      <c r="D23" s="1021" t="s">
        <v>674</v>
      </c>
      <c r="E23" s="1022">
        <v>80111600</v>
      </c>
      <c r="F23" s="1023" t="s">
        <v>722</v>
      </c>
      <c r="G23" s="1024" t="s">
        <v>1743</v>
      </c>
      <c r="H23" s="1024" t="s">
        <v>1743</v>
      </c>
      <c r="I23" s="1024">
        <v>11</v>
      </c>
      <c r="J23" s="1024" t="s">
        <v>1744</v>
      </c>
      <c r="K23" s="1025" t="s">
        <v>678</v>
      </c>
      <c r="L23" s="1026" t="s">
        <v>679</v>
      </c>
      <c r="M23" s="1027">
        <v>33000000</v>
      </c>
      <c r="N23" s="1028" t="s">
        <v>733</v>
      </c>
      <c r="O23" s="1028" t="s">
        <v>1745</v>
      </c>
      <c r="P23" s="1028"/>
      <c r="Q23" s="1024"/>
      <c r="R23" s="1019"/>
      <c r="S23" s="1127">
        <v>313</v>
      </c>
      <c r="T23" s="1153">
        <v>16800000</v>
      </c>
    </row>
    <row r="24" spans="1:20" s="992" customFormat="1" ht="89.25" x14ac:dyDescent="0.25">
      <c r="A24" s="1020">
        <v>2022018</v>
      </c>
      <c r="B24" s="1020">
        <v>7637</v>
      </c>
      <c r="C24" s="1024" t="s">
        <v>645</v>
      </c>
      <c r="D24" s="1021" t="s">
        <v>674</v>
      </c>
      <c r="E24" s="1022">
        <v>80111600</v>
      </c>
      <c r="F24" s="1023" t="s">
        <v>724</v>
      </c>
      <c r="G24" s="1024" t="s">
        <v>1743</v>
      </c>
      <c r="H24" s="1024" t="s">
        <v>1743</v>
      </c>
      <c r="I24" s="1024" t="s">
        <v>1746</v>
      </c>
      <c r="J24" s="1024" t="s">
        <v>1744</v>
      </c>
      <c r="K24" s="1024" t="s">
        <v>678</v>
      </c>
      <c r="L24" s="1024" t="s">
        <v>679</v>
      </c>
      <c r="M24" s="1027">
        <f>33000000-3500000</f>
        <v>29500000</v>
      </c>
      <c r="N24" s="1028" t="s">
        <v>733</v>
      </c>
      <c r="O24" s="1028" t="s">
        <v>1745</v>
      </c>
      <c r="P24" s="1028"/>
      <c r="Q24" s="1024"/>
      <c r="R24" s="1019"/>
      <c r="S24" s="1127">
        <v>451</v>
      </c>
      <c r="T24" s="1153">
        <v>24000000</v>
      </c>
    </row>
    <row r="25" spans="1:20" s="992" customFormat="1" ht="89.25" x14ac:dyDescent="0.25">
      <c r="A25" s="1020">
        <v>2022019</v>
      </c>
      <c r="B25" s="1020">
        <v>7637</v>
      </c>
      <c r="C25" s="1020" t="s">
        <v>645</v>
      </c>
      <c r="D25" s="1021" t="s">
        <v>674</v>
      </c>
      <c r="E25" s="1022">
        <v>80111600</v>
      </c>
      <c r="F25" s="1023" t="s">
        <v>726</v>
      </c>
      <c r="G25" s="1024" t="s">
        <v>1743</v>
      </c>
      <c r="H25" s="1024" t="s">
        <v>1743</v>
      </c>
      <c r="I25" s="1024">
        <v>11</v>
      </c>
      <c r="J25" s="1024" t="s">
        <v>1744</v>
      </c>
      <c r="K25" s="1024" t="s">
        <v>678</v>
      </c>
      <c r="L25" s="1026" t="s">
        <v>679</v>
      </c>
      <c r="M25" s="1027">
        <v>68200000</v>
      </c>
      <c r="N25" s="1028" t="s">
        <v>733</v>
      </c>
      <c r="O25" s="1028" t="s">
        <v>1745</v>
      </c>
      <c r="P25" s="1028"/>
      <c r="Q25" s="1024"/>
      <c r="R25" s="1019"/>
      <c r="S25" s="1127">
        <v>415</v>
      </c>
      <c r="T25" s="1153">
        <v>41400000</v>
      </c>
    </row>
    <row r="26" spans="1:20" s="992" customFormat="1" ht="89.25" x14ac:dyDescent="0.25">
      <c r="A26" s="1020">
        <v>2022020</v>
      </c>
      <c r="B26" s="1020">
        <v>7637</v>
      </c>
      <c r="C26" s="1020" t="s">
        <v>645</v>
      </c>
      <c r="D26" s="1021" t="s">
        <v>674</v>
      </c>
      <c r="E26" s="1022">
        <v>80111600</v>
      </c>
      <c r="F26" s="1023" t="s">
        <v>728</v>
      </c>
      <c r="G26" s="1024" t="s">
        <v>1743</v>
      </c>
      <c r="H26" s="1024" t="s">
        <v>1743</v>
      </c>
      <c r="I26" s="1024">
        <v>11</v>
      </c>
      <c r="J26" s="1024" t="s">
        <v>1744</v>
      </c>
      <c r="K26" s="1024" t="s">
        <v>678</v>
      </c>
      <c r="L26" s="1026" t="s">
        <v>679</v>
      </c>
      <c r="M26" s="1027">
        <v>49500000</v>
      </c>
      <c r="N26" s="1028" t="s">
        <v>733</v>
      </c>
      <c r="O26" s="1028" t="s">
        <v>1745</v>
      </c>
      <c r="P26" s="1028"/>
      <c r="Q26" s="1024"/>
      <c r="R26" s="1019"/>
      <c r="S26" s="1127">
        <v>284</v>
      </c>
      <c r="T26" s="1153">
        <v>36000000</v>
      </c>
    </row>
    <row r="27" spans="1:20" s="992" customFormat="1" ht="89.25" x14ac:dyDescent="0.25">
      <c r="A27" s="1010">
        <v>2022021</v>
      </c>
      <c r="B27" s="1010">
        <v>7637</v>
      </c>
      <c r="C27" s="1010" t="s">
        <v>645</v>
      </c>
      <c r="D27" s="1016" t="s">
        <v>674</v>
      </c>
      <c r="E27" s="1029" t="s">
        <v>1747</v>
      </c>
      <c r="F27" s="1013" t="s">
        <v>1748</v>
      </c>
      <c r="G27" s="1014" t="s">
        <v>1749</v>
      </c>
      <c r="H27" s="1014" t="s">
        <v>1750</v>
      </c>
      <c r="I27" s="1014">
        <v>6</v>
      </c>
      <c r="J27" s="1014" t="s">
        <v>1751</v>
      </c>
      <c r="K27" s="1014" t="s">
        <v>678</v>
      </c>
      <c r="L27" s="1016" t="s">
        <v>732</v>
      </c>
      <c r="M27" s="1017">
        <v>60000000</v>
      </c>
      <c r="N27" s="1018" t="s">
        <v>733</v>
      </c>
      <c r="O27" s="1018" t="s">
        <v>1745</v>
      </c>
      <c r="P27" s="1018"/>
      <c r="Q27" s="1014"/>
      <c r="R27" s="1019"/>
      <c r="S27" s="1127"/>
      <c r="T27" s="1153"/>
    </row>
    <row r="28" spans="1:20" s="992" customFormat="1" ht="89.25" x14ac:dyDescent="0.25">
      <c r="A28" s="1010">
        <v>2022022</v>
      </c>
      <c r="B28" s="1010">
        <v>7637</v>
      </c>
      <c r="C28" s="1010" t="s">
        <v>645</v>
      </c>
      <c r="D28" s="1016" t="s">
        <v>674</v>
      </c>
      <c r="E28" s="1029" t="s">
        <v>1752</v>
      </c>
      <c r="F28" s="1013" t="s">
        <v>731</v>
      </c>
      <c r="G28" s="1014" t="s">
        <v>1743</v>
      </c>
      <c r="H28" s="1014" t="s">
        <v>1753</v>
      </c>
      <c r="I28" s="1014">
        <v>1</v>
      </c>
      <c r="J28" s="1014" t="s">
        <v>1754</v>
      </c>
      <c r="K28" s="1014" t="s">
        <v>678</v>
      </c>
      <c r="L28" s="1016" t="s">
        <v>732</v>
      </c>
      <c r="M28" s="1017">
        <v>600000000</v>
      </c>
      <c r="N28" s="1018" t="s">
        <v>733</v>
      </c>
      <c r="O28" s="1018" t="s">
        <v>1745</v>
      </c>
      <c r="P28" s="1018"/>
      <c r="Q28" s="1014"/>
      <c r="R28" s="1019"/>
      <c r="S28" s="1127"/>
      <c r="T28" s="1153"/>
    </row>
    <row r="29" spans="1:20" s="992" customFormat="1" ht="89.25" x14ac:dyDescent="0.25">
      <c r="A29" s="1010">
        <v>2022023</v>
      </c>
      <c r="B29" s="1010">
        <v>7637</v>
      </c>
      <c r="C29" s="1010" t="s">
        <v>645</v>
      </c>
      <c r="D29" s="1016" t="s">
        <v>674</v>
      </c>
      <c r="E29" s="1029">
        <v>81112401</v>
      </c>
      <c r="F29" s="1013" t="s">
        <v>734</v>
      </c>
      <c r="G29" s="1014" t="s">
        <v>1749</v>
      </c>
      <c r="H29" s="1014" t="s">
        <v>1749</v>
      </c>
      <c r="I29" s="1014">
        <v>3</v>
      </c>
      <c r="J29" s="1014" t="s">
        <v>1754</v>
      </c>
      <c r="K29" s="1014" t="s">
        <v>678</v>
      </c>
      <c r="L29" s="1016" t="s">
        <v>732</v>
      </c>
      <c r="M29" s="1017">
        <v>195700000</v>
      </c>
      <c r="N29" s="1018" t="s">
        <v>733</v>
      </c>
      <c r="O29" s="1018" t="s">
        <v>1745</v>
      </c>
      <c r="P29" s="1018"/>
      <c r="Q29" s="1014"/>
      <c r="R29" s="1019"/>
      <c r="S29" s="1127"/>
      <c r="T29" s="1153"/>
    </row>
    <row r="30" spans="1:20" s="992" customFormat="1" ht="89.25" x14ac:dyDescent="0.25">
      <c r="A30" s="1010">
        <v>2022024</v>
      </c>
      <c r="B30" s="1010">
        <v>7637</v>
      </c>
      <c r="C30" s="1010" t="s">
        <v>645</v>
      </c>
      <c r="D30" s="1016" t="s">
        <v>674</v>
      </c>
      <c r="E30" s="1029" t="s">
        <v>1755</v>
      </c>
      <c r="F30" s="1013" t="s">
        <v>1756</v>
      </c>
      <c r="G30" s="1014" t="s">
        <v>1753</v>
      </c>
      <c r="H30" s="1014" t="s">
        <v>1750</v>
      </c>
      <c r="I30" s="1014">
        <v>6</v>
      </c>
      <c r="J30" s="1014" t="s">
        <v>1751</v>
      </c>
      <c r="K30" s="1014" t="s">
        <v>678</v>
      </c>
      <c r="L30" s="1016" t="s">
        <v>679</v>
      </c>
      <c r="M30" s="1017">
        <v>114000000</v>
      </c>
      <c r="N30" s="1018" t="s">
        <v>733</v>
      </c>
      <c r="O30" s="1018" t="s">
        <v>1745</v>
      </c>
      <c r="P30" s="1018"/>
      <c r="Q30" s="1014"/>
      <c r="R30" s="1019"/>
      <c r="S30" s="1127"/>
      <c r="T30" s="1153"/>
    </row>
    <row r="31" spans="1:20" s="992" customFormat="1" ht="89.25" x14ac:dyDescent="0.25">
      <c r="A31" s="1010">
        <v>2022025</v>
      </c>
      <c r="B31" s="1010">
        <v>7637</v>
      </c>
      <c r="C31" s="1010" t="s">
        <v>645</v>
      </c>
      <c r="D31" s="1016" t="s">
        <v>674</v>
      </c>
      <c r="E31" s="1029">
        <v>81112217</v>
      </c>
      <c r="F31" s="1013" t="s">
        <v>740</v>
      </c>
      <c r="G31" s="1014" t="s">
        <v>1757</v>
      </c>
      <c r="H31" s="1014" t="s">
        <v>1758</v>
      </c>
      <c r="I31" s="1014">
        <v>12</v>
      </c>
      <c r="J31" s="1014" t="s">
        <v>1754</v>
      </c>
      <c r="K31" s="1014" t="s">
        <v>678</v>
      </c>
      <c r="L31" s="1016" t="s">
        <v>738</v>
      </c>
      <c r="M31" s="1017">
        <v>50000000</v>
      </c>
      <c r="N31" s="1018" t="s">
        <v>739</v>
      </c>
      <c r="O31" s="1018" t="s">
        <v>1745</v>
      </c>
      <c r="P31" s="1018"/>
      <c r="Q31" s="1014"/>
      <c r="R31" s="1019"/>
      <c r="S31" s="1127"/>
      <c r="T31" s="1153"/>
    </row>
    <row r="32" spans="1:20" s="992" customFormat="1" ht="89.25" x14ac:dyDescent="0.25">
      <c r="A32" s="1020">
        <v>2022026</v>
      </c>
      <c r="B32" s="1020">
        <v>7637</v>
      </c>
      <c r="C32" s="1020" t="s">
        <v>645</v>
      </c>
      <c r="D32" s="1026" t="s">
        <v>674</v>
      </c>
      <c r="E32" s="1030" t="s">
        <v>1759</v>
      </c>
      <c r="F32" s="1023" t="s">
        <v>743</v>
      </c>
      <c r="G32" s="1024" t="s">
        <v>1757</v>
      </c>
      <c r="H32" s="1024" t="s">
        <v>1758</v>
      </c>
      <c r="I32" s="1024">
        <v>12</v>
      </c>
      <c r="J32" s="1024" t="s">
        <v>1754</v>
      </c>
      <c r="K32" s="1024" t="s">
        <v>678</v>
      </c>
      <c r="L32" s="1026" t="s">
        <v>738</v>
      </c>
      <c r="M32" s="1027">
        <v>150000000</v>
      </c>
      <c r="N32" s="1028" t="s">
        <v>733</v>
      </c>
      <c r="O32" s="1028" t="s">
        <v>1745</v>
      </c>
      <c r="P32" s="1028"/>
      <c r="Q32" s="1024"/>
      <c r="R32" s="1019"/>
      <c r="S32" s="1127">
        <v>465</v>
      </c>
      <c r="T32" s="1153">
        <v>142667750</v>
      </c>
    </row>
    <row r="33" spans="1:103" s="992" customFormat="1" ht="89.25" x14ac:dyDescent="0.25">
      <c r="A33" s="1010">
        <v>2022027</v>
      </c>
      <c r="B33" s="1010">
        <v>7637</v>
      </c>
      <c r="C33" s="1010" t="s">
        <v>645</v>
      </c>
      <c r="D33" s="1016" t="s">
        <v>674</v>
      </c>
      <c r="E33" s="1029">
        <v>81161712</v>
      </c>
      <c r="F33" s="1013" t="s">
        <v>745</v>
      </c>
      <c r="G33" s="1014" t="s">
        <v>1750</v>
      </c>
      <c r="H33" s="1014" t="s">
        <v>1757</v>
      </c>
      <c r="I33" s="1014">
        <v>1</v>
      </c>
      <c r="J33" s="1014" t="s">
        <v>1760</v>
      </c>
      <c r="K33" s="1014" t="s">
        <v>678</v>
      </c>
      <c r="L33" s="1016" t="s">
        <v>746</v>
      </c>
      <c r="M33" s="1017">
        <v>10000000</v>
      </c>
      <c r="N33" s="1018" t="s">
        <v>733</v>
      </c>
      <c r="O33" s="1018" t="s">
        <v>1745</v>
      </c>
      <c r="P33" s="1018"/>
      <c r="Q33" s="1014"/>
      <c r="R33" s="1019"/>
      <c r="S33" s="1127"/>
      <c r="T33" s="1153"/>
    </row>
    <row r="34" spans="1:103" s="1031" customFormat="1" ht="89.25" x14ac:dyDescent="0.25">
      <c r="A34" s="1020">
        <v>2022028</v>
      </c>
      <c r="B34" s="1020">
        <v>7637</v>
      </c>
      <c r="C34" s="1020" t="s">
        <v>645</v>
      </c>
      <c r="D34" s="1026" t="s">
        <v>674</v>
      </c>
      <c r="E34" s="1030" t="s">
        <v>1761</v>
      </c>
      <c r="F34" s="1023" t="s">
        <v>749</v>
      </c>
      <c r="G34" s="1024" t="s">
        <v>1749</v>
      </c>
      <c r="H34" s="1024" t="s">
        <v>1749</v>
      </c>
      <c r="I34" s="1024">
        <v>5</v>
      </c>
      <c r="J34" s="1021"/>
      <c r="K34" s="1024" t="s">
        <v>678</v>
      </c>
      <c r="L34" s="1026" t="s">
        <v>750</v>
      </c>
      <c r="M34" s="1027">
        <v>81000000</v>
      </c>
      <c r="N34" s="1028" t="s">
        <v>733</v>
      </c>
      <c r="O34" s="1028" t="s">
        <v>1745</v>
      </c>
      <c r="P34" s="1028"/>
      <c r="Q34" s="1024"/>
      <c r="R34" s="1019"/>
      <c r="S34" s="1127">
        <v>548</v>
      </c>
      <c r="T34" s="1153">
        <v>47970328</v>
      </c>
      <c r="U34" s="992"/>
      <c r="V34" s="992"/>
      <c r="W34" s="992"/>
      <c r="X34" s="992"/>
      <c r="Y34" s="992"/>
      <c r="Z34" s="992"/>
      <c r="AA34" s="992"/>
      <c r="AB34" s="992"/>
      <c r="AC34" s="992"/>
      <c r="AD34" s="992"/>
      <c r="AE34" s="992"/>
      <c r="AF34" s="992"/>
      <c r="AG34" s="992"/>
      <c r="AH34" s="992"/>
      <c r="AI34" s="992"/>
      <c r="AJ34" s="992"/>
      <c r="AK34" s="992"/>
      <c r="AL34" s="992"/>
      <c r="AM34" s="992"/>
      <c r="AN34" s="992"/>
      <c r="AO34" s="992"/>
      <c r="AP34" s="992"/>
      <c r="AQ34" s="992"/>
      <c r="AR34" s="992"/>
      <c r="AS34" s="992"/>
      <c r="AT34" s="992"/>
      <c r="AU34" s="992"/>
      <c r="AV34" s="992"/>
      <c r="AW34" s="992"/>
      <c r="AX34" s="992"/>
      <c r="AY34" s="992"/>
      <c r="AZ34" s="992"/>
      <c r="BA34" s="992"/>
      <c r="BB34" s="992"/>
      <c r="BC34" s="992"/>
      <c r="BD34" s="992"/>
      <c r="BE34" s="992"/>
      <c r="BF34" s="992"/>
      <c r="BG34" s="992"/>
      <c r="BH34" s="992"/>
      <c r="BI34" s="992"/>
      <c r="BJ34" s="992"/>
      <c r="BK34" s="992"/>
      <c r="BL34" s="992"/>
      <c r="BM34" s="992"/>
      <c r="BN34" s="992"/>
      <c r="BO34" s="992"/>
      <c r="BP34" s="992"/>
      <c r="BQ34" s="992"/>
      <c r="BR34" s="992"/>
      <c r="BS34" s="992"/>
      <c r="BT34" s="992"/>
      <c r="BU34" s="992"/>
      <c r="BV34" s="992"/>
      <c r="BW34" s="992"/>
      <c r="BX34" s="992"/>
      <c r="BY34" s="992"/>
      <c r="BZ34" s="992"/>
      <c r="CA34" s="992"/>
      <c r="CB34" s="992"/>
      <c r="CC34" s="992"/>
      <c r="CD34" s="992"/>
      <c r="CE34" s="992"/>
      <c r="CF34" s="992"/>
      <c r="CG34" s="992"/>
      <c r="CH34" s="992"/>
      <c r="CI34" s="992"/>
      <c r="CJ34" s="992"/>
      <c r="CK34" s="992"/>
      <c r="CL34" s="992"/>
      <c r="CM34" s="992"/>
      <c r="CN34" s="992"/>
      <c r="CO34" s="992"/>
      <c r="CP34" s="992"/>
      <c r="CQ34" s="992"/>
      <c r="CR34" s="992"/>
      <c r="CS34" s="992"/>
      <c r="CT34" s="992"/>
      <c r="CU34" s="992"/>
      <c r="CV34" s="992"/>
      <c r="CW34" s="992"/>
      <c r="CX34" s="992"/>
      <c r="CY34" s="992"/>
    </row>
    <row r="35" spans="1:103" s="992" customFormat="1" ht="89.25" x14ac:dyDescent="0.25">
      <c r="A35" s="1010">
        <v>2022029</v>
      </c>
      <c r="B35" s="1010">
        <v>7637</v>
      </c>
      <c r="C35" s="1010" t="s">
        <v>645</v>
      </c>
      <c r="D35" s="1016" t="s">
        <v>674</v>
      </c>
      <c r="E35" s="1029" t="s">
        <v>1761</v>
      </c>
      <c r="F35" s="1013" t="s">
        <v>754</v>
      </c>
      <c r="G35" s="1014" t="s">
        <v>1758</v>
      </c>
      <c r="H35" s="1014" t="s">
        <v>1762</v>
      </c>
      <c r="I35" s="1014">
        <v>4</v>
      </c>
      <c r="J35" s="1014" t="s">
        <v>1763</v>
      </c>
      <c r="K35" s="1014" t="s">
        <v>678</v>
      </c>
      <c r="L35" s="1016" t="s">
        <v>750</v>
      </c>
      <c r="M35" s="1017">
        <v>80000000</v>
      </c>
      <c r="N35" s="1018" t="s">
        <v>733</v>
      </c>
      <c r="O35" s="1018" t="s">
        <v>1745</v>
      </c>
      <c r="P35" s="1018"/>
      <c r="Q35" s="1014"/>
      <c r="R35" s="1019"/>
      <c r="S35" s="1127"/>
      <c r="T35" s="1153"/>
    </row>
    <row r="36" spans="1:103" s="992" customFormat="1" ht="89.25" x14ac:dyDescent="0.25">
      <c r="A36" s="1010">
        <v>2022030</v>
      </c>
      <c r="B36" s="1010">
        <v>7637</v>
      </c>
      <c r="C36" s="1010" t="s">
        <v>645</v>
      </c>
      <c r="D36" s="1016" t="s">
        <v>674</v>
      </c>
      <c r="E36" s="1029">
        <v>81111700</v>
      </c>
      <c r="F36" s="1013" t="s">
        <v>1764</v>
      </c>
      <c r="G36" s="1014" t="s">
        <v>1753</v>
      </c>
      <c r="H36" s="1014" t="s">
        <v>1753</v>
      </c>
      <c r="I36" s="1014">
        <v>10</v>
      </c>
      <c r="J36" s="1014" t="s">
        <v>1754</v>
      </c>
      <c r="K36" s="1014" t="s">
        <v>678</v>
      </c>
      <c r="L36" s="1016" t="s">
        <v>679</v>
      </c>
      <c r="M36" s="1017">
        <v>20000000</v>
      </c>
      <c r="N36" s="1018" t="s">
        <v>733</v>
      </c>
      <c r="O36" s="1018" t="s">
        <v>1745</v>
      </c>
      <c r="P36" s="1018"/>
      <c r="Q36" s="1014"/>
      <c r="R36" s="1019"/>
      <c r="S36" s="1127"/>
      <c r="T36" s="1153"/>
    </row>
    <row r="37" spans="1:103" s="1031" customFormat="1" ht="89.25" x14ac:dyDescent="0.25">
      <c r="A37" s="1128">
        <v>2022031</v>
      </c>
      <c r="B37" s="1128">
        <v>7637</v>
      </c>
      <c r="C37" s="1128" t="s">
        <v>645</v>
      </c>
      <c r="D37" s="1129" t="s">
        <v>674</v>
      </c>
      <c r="E37" s="1130" t="s">
        <v>1765</v>
      </c>
      <c r="F37" s="1131" t="s">
        <v>756</v>
      </c>
      <c r="G37" s="1132" t="s">
        <v>1743</v>
      </c>
      <c r="H37" s="1014" t="s">
        <v>1753</v>
      </c>
      <c r="I37" s="1132">
        <v>1</v>
      </c>
      <c r="J37" s="1132" t="s">
        <v>1766</v>
      </c>
      <c r="K37" s="1132" t="s">
        <v>678</v>
      </c>
      <c r="L37" s="1129" t="s">
        <v>679</v>
      </c>
      <c r="M37" s="1133">
        <v>72100000</v>
      </c>
      <c r="N37" s="1134" t="s">
        <v>735</v>
      </c>
      <c r="O37" s="1134" t="s">
        <v>1745</v>
      </c>
      <c r="P37" s="1134"/>
      <c r="Q37" s="1132"/>
      <c r="R37" s="1127">
        <v>349</v>
      </c>
      <c r="S37" s="1127"/>
      <c r="T37" s="1153"/>
      <c r="U37" s="992"/>
      <c r="V37" s="992"/>
      <c r="W37" s="992"/>
      <c r="X37" s="992"/>
      <c r="Y37" s="992"/>
      <c r="Z37" s="992"/>
      <c r="AA37" s="992"/>
      <c r="AB37" s="992"/>
      <c r="AC37" s="992"/>
      <c r="AD37" s="992"/>
      <c r="AE37" s="992"/>
      <c r="AF37" s="992"/>
      <c r="AG37" s="992"/>
      <c r="AH37" s="992"/>
      <c r="AI37" s="992"/>
      <c r="AJ37" s="992"/>
      <c r="AK37" s="992"/>
      <c r="AL37" s="992"/>
      <c r="AM37" s="992"/>
      <c r="AN37" s="992"/>
      <c r="AO37" s="992"/>
      <c r="AP37" s="992"/>
      <c r="AQ37" s="992"/>
      <c r="AR37" s="992"/>
      <c r="AS37" s="992"/>
      <c r="AT37" s="992"/>
      <c r="AU37" s="992"/>
      <c r="AV37" s="992"/>
      <c r="AW37" s="992"/>
      <c r="AX37" s="992"/>
      <c r="AY37" s="992"/>
      <c r="AZ37" s="992"/>
      <c r="BA37" s="992"/>
      <c r="BB37" s="992"/>
      <c r="BC37" s="992"/>
      <c r="BD37" s="992"/>
      <c r="BE37" s="992"/>
      <c r="BF37" s="992"/>
      <c r="BG37" s="992"/>
      <c r="BH37" s="992"/>
      <c r="BI37" s="992"/>
      <c r="BJ37" s="992"/>
      <c r="BK37" s="992"/>
      <c r="BL37" s="992"/>
      <c r="BM37" s="992"/>
      <c r="BN37" s="992"/>
      <c r="BO37" s="992"/>
      <c r="BP37" s="992"/>
      <c r="BQ37" s="992"/>
      <c r="BR37" s="992"/>
      <c r="BS37" s="992"/>
      <c r="BT37" s="992"/>
      <c r="BU37" s="992"/>
      <c r="BV37" s="992"/>
      <c r="BW37" s="992"/>
      <c r="BX37" s="992"/>
      <c r="BY37" s="992"/>
      <c r="BZ37" s="992"/>
      <c r="CA37" s="992"/>
      <c r="CB37" s="992"/>
      <c r="CC37" s="992"/>
      <c r="CD37" s="992"/>
      <c r="CE37" s="992"/>
      <c r="CF37" s="992"/>
      <c r="CG37" s="992"/>
      <c r="CH37" s="992"/>
      <c r="CI37" s="992"/>
      <c r="CJ37" s="992"/>
      <c r="CK37" s="992"/>
      <c r="CL37" s="992"/>
      <c r="CM37" s="992"/>
      <c r="CN37" s="992"/>
      <c r="CO37" s="992"/>
      <c r="CP37" s="992"/>
      <c r="CQ37" s="992"/>
      <c r="CR37" s="992"/>
      <c r="CS37" s="992"/>
      <c r="CT37" s="992"/>
      <c r="CU37" s="992"/>
      <c r="CV37" s="992"/>
      <c r="CW37" s="992"/>
      <c r="CX37" s="992"/>
      <c r="CY37" s="992"/>
    </row>
    <row r="38" spans="1:103" s="992" customFormat="1" ht="89.25" x14ac:dyDescent="0.25">
      <c r="A38" s="1010">
        <v>2022032</v>
      </c>
      <c r="B38" s="1010">
        <v>7637</v>
      </c>
      <c r="C38" s="1010" t="s">
        <v>645</v>
      </c>
      <c r="D38" s="1016" t="s">
        <v>674</v>
      </c>
      <c r="E38" s="1029">
        <v>81112222</v>
      </c>
      <c r="F38" s="1013" t="s">
        <v>1767</v>
      </c>
      <c r="G38" s="1014" t="s">
        <v>1762</v>
      </c>
      <c r="H38" s="1014" t="s">
        <v>1768</v>
      </c>
      <c r="I38" s="1014">
        <v>12</v>
      </c>
      <c r="J38" s="1014" t="s">
        <v>1763</v>
      </c>
      <c r="K38" s="1014" t="s">
        <v>678</v>
      </c>
      <c r="L38" s="1016" t="s">
        <v>679</v>
      </c>
      <c r="M38" s="1017">
        <v>120000000</v>
      </c>
      <c r="N38" s="1018" t="s">
        <v>733</v>
      </c>
      <c r="O38" s="1018" t="s">
        <v>1745</v>
      </c>
      <c r="P38" s="1018"/>
      <c r="Q38" s="1014"/>
      <c r="R38" s="1019"/>
      <c r="S38" s="1127"/>
      <c r="T38" s="1153"/>
    </row>
    <row r="39" spans="1:103" s="992" customFormat="1" ht="89.25" x14ac:dyDescent="0.25">
      <c r="A39" s="1010">
        <v>2022033</v>
      </c>
      <c r="B39" s="1010">
        <v>7637</v>
      </c>
      <c r="C39" s="1010" t="s">
        <v>645</v>
      </c>
      <c r="D39" s="1016" t="s">
        <v>674</v>
      </c>
      <c r="E39" s="1029" t="s">
        <v>1769</v>
      </c>
      <c r="F39" s="1013" t="s">
        <v>1770</v>
      </c>
      <c r="G39" s="1014" t="s">
        <v>1757</v>
      </c>
      <c r="H39" s="1014" t="s">
        <v>1758</v>
      </c>
      <c r="I39" s="1014">
        <v>3</v>
      </c>
      <c r="J39" s="1014" t="s">
        <v>1763</v>
      </c>
      <c r="K39" s="1014" t="s">
        <v>678</v>
      </c>
      <c r="L39" s="1016" t="s">
        <v>738</v>
      </c>
      <c r="M39" s="1017">
        <v>50000000</v>
      </c>
      <c r="N39" s="1018" t="s">
        <v>733</v>
      </c>
      <c r="O39" s="1018" t="s">
        <v>1745</v>
      </c>
      <c r="P39" s="1018"/>
      <c r="Q39" s="1014"/>
      <c r="R39" s="1019"/>
      <c r="S39" s="1127"/>
      <c r="T39" s="1153"/>
    </row>
    <row r="40" spans="1:103" s="992" customFormat="1" ht="89.25" x14ac:dyDescent="0.25">
      <c r="A40" s="1010">
        <v>2022034</v>
      </c>
      <c r="B40" s="1010">
        <v>7637</v>
      </c>
      <c r="C40" s="1010" t="s">
        <v>645</v>
      </c>
      <c r="D40" s="1016" t="s">
        <v>674</v>
      </c>
      <c r="E40" s="1029">
        <v>81112217</v>
      </c>
      <c r="F40" s="1013" t="s">
        <v>1771</v>
      </c>
      <c r="G40" s="1014" t="s">
        <v>1772</v>
      </c>
      <c r="H40" s="1014" t="s">
        <v>1773</v>
      </c>
      <c r="I40" s="1014">
        <v>1</v>
      </c>
      <c r="J40" s="1014" t="s">
        <v>1766</v>
      </c>
      <c r="K40" s="1014" t="s">
        <v>678</v>
      </c>
      <c r="L40" s="1016" t="s">
        <v>679</v>
      </c>
      <c r="M40" s="1017">
        <v>35077000</v>
      </c>
      <c r="N40" s="1011" t="s">
        <v>735</v>
      </c>
      <c r="O40" s="1018" t="s">
        <v>1745</v>
      </c>
      <c r="P40" s="1018"/>
      <c r="Q40" s="1014"/>
      <c r="R40" s="1019"/>
      <c r="S40" s="1127"/>
      <c r="T40" s="1153"/>
    </row>
    <row r="41" spans="1:103" s="992" customFormat="1" ht="89.25" x14ac:dyDescent="0.25">
      <c r="A41" s="1010">
        <v>2022035</v>
      </c>
      <c r="B41" s="1010">
        <v>7637</v>
      </c>
      <c r="C41" s="1010" t="s">
        <v>645</v>
      </c>
      <c r="D41" s="1016" t="s">
        <v>674</v>
      </c>
      <c r="E41" s="1032" t="s">
        <v>1269</v>
      </c>
      <c r="F41" s="1013" t="s">
        <v>1774</v>
      </c>
      <c r="G41" s="1014" t="s">
        <v>1750</v>
      </c>
      <c r="H41" s="1014" t="s">
        <v>1757</v>
      </c>
      <c r="I41" s="1014">
        <v>8</v>
      </c>
      <c r="J41" s="1014" t="s">
        <v>1766</v>
      </c>
      <c r="K41" s="1014" t="s">
        <v>678</v>
      </c>
      <c r="L41" s="1016" t="s">
        <v>679</v>
      </c>
      <c r="M41" s="1017">
        <v>70000000</v>
      </c>
      <c r="N41" s="1018" t="s">
        <v>733</v>
      </c>
      <c r="O41" s="1018" t="s">
        <v>1745</v>
      </c>
      <c r="P41" s="1018"/>
      <c r="Q41" s="1014"/>
      <c r="R41" s="1019"/>
      <c r="S41" s="1127"/>
      <c r="T41" s="1153"/>
    </row>
    <row r="42" spans="1:103" s="992" customFormat="1" ht="89.25" x14ac:dyDescent="0.25">
      <c r="A42" s="1020">
        <v>2022036</v>
      </c>
      <c r="B42" s="1020">
        <v>7637</v>
      </c>
      <c r="C42" s="1020" t="s">
        <v>645</v>
      </c>
      <c r="D42" s="1026" t="s">
        <v>674</v>
      </c>
      <c r="E42" s="1033" t="s">
        <v>1775</v>
      </c>
      <c r="F42" s="1033" t="s">
        <v>763</v>
      </c>
      <c r="G42" s="1024" t="s">
        <v>1743</v>
      </c>
      <c r="H42" s="1024" t="s">
        <v>1743</v>
      </c>
      <c r="I42" s="1024">
        <v>11</v>
      </c>
      <c r="J42" s="1024" t="s">
        <v>1763</v>
      </c>
      <c r="K42" s="1024" t="s">
        <v>678</v>
      </c>
      <c r="L42" s="1026" t="s">
        <v>738</v>
      </c>
      <c r="M42" s="1027">
        <v>487640000</v>
      </c>
      <c r="N42" s="1028" t="s">
        <v>733</v>
      </c>
      <c r="O42" s="1028" t="s">
        <v>1745</v>
      </c>
      <c r="P42" s="1028"/>
      <c r="Q42" s="1024"/>
      <c r="R42" s="1019"/>
      <c r="S42" s="1127">
        <v>440</v>
      </c>
      <c r="T42" s="1153">
        <v>232050000</v>
      </c>
    </row>
    <row r="43" spans="1:103" s="1031" customFormat="1" ht="89.25" x14ac:dyDescent="0.25">
      <c r="A43" s="1128">
        <v>2022037</v>
      </c>
      <c r="B43" s="1128">
        <v>7637</v>
      </c>
      <c r="C43" s="1128" t="s">
        <v>645</v>
      </c>
      <c r="D43" s="1129" t="s">
        <v>674</v>
      </c>
      <c r="E43" s="1135" t="s">
        <v>1776</v>
      </c>
      <c r="F43" s="1131" t="s">
        <v>767</v>
      </c>
      <c r="G43" s="1132" t="s">
        <v>1743</v>
      </c>
      <c r="H43" s="1014" t="s">
        <v>1743</v>
      </c>
      <c r="I43" s="1132">
        <v>12</v>
      </c>
      <c r="J43" s="1132" t="s">
        <v>1766</v>
      </c>
      <c r="K43" s="1132" t="s">
        <v>678</v>
      </c>
      <c r="L43" s="1129" t="s">
        <v>732</v>
      </c>
      <c r="M43" s="1133">
        <v>104794000</v>
      </c>
      <c r="N43" s="1134" t="s">
        <v>733</v>
      </c>
      <c r="O43" s="1134" t="s">
        <v>1745</v>
      </c>
      <c r="P43" s="1134"/>
      <c r="Q43" s="1132"/>
      <c r="R43" s="1127">
        <v>338</v>
      </c>
      <c r="S43" s="1127"/>
      <c r="T43" s="1153"/>
      <c r="U43" s="992"/>
      <c r="V43" s="992"/>
      <c r="W43" s="992"/>
      <c r="X43" s="992"/>
      <c r="Y43" s="992"/>
      <c r="Z43" s="992"/>
      <c r="AA43" s="992"/>
      <c r="AB43" s="992"/>
      <c r="AC43" s="992"/>
      <c r="AD43" s="992"/>
      <c r="AE43" s="992"/>
      <c r="AF43" s="992"/>
      <c r="AG43" s="992"/>
      <c r="AH43" s="992"/>
      <c r="AI43" s="992"/>
      <c r="AJ43" s="992"/>
      <c r="AK43" s="992"/>
      <c r="AL43" s="992"/>
      <c r="AM43" s="992"/>
      <c r="AN43" s="992"/>
      <c r="AO43" s="992"/>
      <c r="AP43" s="992"/>
      <c r="AQ43" s="992"/>
      <c r="AR43" s="992"/>
      <c r="AS43" s="992"/>
      <c r="AT43" s="992"/>
      <c r="AU43" s="992"/>
      <c r="AV43" s="992"/>
      <c r="AW43" s="992"/>
      <c r="AX43" s="992"/>
      <c r="AY43" s="992"/>
      <c r="AZ43" s="992"/>
      <c r="BA43" s="992"/>
      <c r="BB43" s="992"/>
      <c r="BC43" s="992"/>
      <c r="BD43" s="992"/>
      <c r="BE43" s="992"/>
      <c r="BF43" s="992"/>
      <c r="BG43" s="992"/>
      <c r="BH43" s="992"/>
      <c r="BI43" s="992"/>
      <c r="BJ43" s="992"/>
      <c r="BK43" s="992"/>
      <c r="BL43" s="992"/>
      <c r="BM43" s="992"/>
      <c r="BN43" s="992"/>
      <c r="BO43" s="992"/>
      <c r="BP43" s="992"/>
      <c r="BQ43" s="992"/>
      <c r="BR43" s="992"/>
      <c r="BS43" s="992"/>
      <c r="BT43" s="992"/>
      <c r="BU43" s="992"/>
      <c r="BV43" s="992"/>
      <c r="BW43" s="992"/>
      <c r="BX43" s="992"/>
      <c r="BY43" s="992"/>
      <c r="BZ43" s="992"/>
      <c r="CA43" s="992"/>
      <c r="CB43" s="992"/>
      <c r="CC43" s="992"/>
      <c r="CD43" s="992"/>
      <c r="CE43" s="992"/>
      <c r="CF43" s="992"/>
      <c r="CG43" s="992"/>
      <c r="CH43" s="992"/>
      <c r="CI43" s="992"/>
      <c r="CJ43" s="992"/>
      <c r="CK43" s="992"/>
      <c r="CL43" s="992"/>
      <c r="CM43" s="992"/>
      <c r="CN43" s="992"/>
      <c r="CO43" s="992"/>
      <c r="CP43" s="992"/>
      <c r="CQ43" s="992"/>
      <c r="CR43" s="992"/>
      <c r="CS43" s="992"/>
      <c r="CT43" s="992"/>
      <c r="CU43" s="992"/>
      <c r="CV43" s="992"/>
      <c r="CW43" s="992"/>
      <c r="CX43" s="992"/>
      <c r="CY43" s="992"/>
    </row>
    <row r="44" spans="1:103" s="992" customFormat="1" ht="89.25" x14ac:dyDescent="0.25">
      <c r="A44" s="1010">
        <v>2022038</v>
      </c>
      <c r="B44" s="1010">
        <v>7637</v>
      </c>
      <c r="C44" s="1010" t="s">
        <v>645</v>
      </c>
      <c r="D44" s="1016" t="s">
        <v>674</v>
      </c>
      <c r="E44" s="1012">
        <v>81111812</v>
      </c>
      <c r="F44" s="1013" t="s">
        <v>1777</v>
      </c>
      <c r="G44" s="1014" t="s">
        <v>1753</v>
      </c>
      <c r="H44" s="1014" t="s">
        <v>1749</v>
      </c>
      <c r="I44" s="1014">
        <v>12</v>
      </c>
      <c r="J44" s="1014" t="s">
        <v>1766</v>
      </c>
      <c r="K44" s="1014" t="s">
        <v>678</v>
      </c>
      <c r="L44" s="1016" t="s">
        <v>679</v>
      </c>
      <c r="M44" s="1017">
        <v>38500000</v>
      </c>
      <c r="N44" s="1018" t="s">
        <v>733</v>
      </c>
      <c r="O44" s="1018" t="s">
        <v>1745</v>
      </c>
      <c r="P44" s="1018"/>
      <c r="Q44" s="1014"/>
      <c r="R44" s="1019"/>
      <c r="S44" s="1127"/>
      <c r="T44" s="1153"/>
    </row>
    <row r="45" spans="1:103" s="992" customFormat="1" ht="89.25" x14ac:dyDescent="0.25">
      <c r="A45" s="1010">
        <v>2022039</v>
      </c>
      <c r="B45" s="1010">
        <v>7637</v>
      </c>
      <c r="C45" s="1010" t="s">
        <v>645</v>
      </c>
      <c r="D45" s="1016" t="s">
        <v>674</v>
      </c>
      <c r="E45" s="1029">
        <v>43233200</v>
      </c>
      <c r="F45" s="1013" t="s">
        <v>1778</v>
      </c>
      <c r="G45" s="1014" t="s">
        <v>1757</v>
      </c>
      <c r="H45" s="1014" t="s">
        <v>1757</v>
      </c>
      <c r="I45" s="1014">
        <v>3</v>
      </c>
      <c r="J45" s="1014" t="s">
        <v>1754</v>
      </c>
      <c r="K45" s="1014" t="s">
        <v>774</v>
      </c>
      <c r="L45" s="1016" t="s">
        <v>738</v>
      </c>
      <c r="M45" s="1017">
        <v>170000000</v>
      </c>
      <c r="N45" s="1034" t="s">
        <v>735</v>
      </c>
      <c r="O45" s="1018" t="s">
        <v>1745</v>
      </c>
      <c r="P45" s="1018"/>
      <c r="Q45" s="1014"/>
      <c r="R45" s="1019"/>
      <c r="S45" s="1127"/>
      <c r="T45" s="1153"/>
    </row>
    <row r="46" spans="1:103" s="992" customFormat="1" ht="89.25" x14ac:dyDescent="0.25">
      <c r="A46" s="1010">
        <v>2022040</v>
      </c>
      <c r="B46" s="1010">
        <v>7637</v>
      </c>
      <c r="C46" s="1010" t="s">
        <v>645</v>
      </c>
      <c r="D46" s="1016" t="s">
        <v>674</v>
      </c>
      <c r="E46" s="1029">
        <v>43222600</v>
      </c>
      <c r="F46" s="1013" t="s">
        <v>1779</v>
      </c>
      <c r="G46" s="1014" t="s">
        <v>1750</v>
      </c>
      <c r="H46" s="1014" t="s">
        <v>1750</v>
      </c>
      <c r="I46" s="1014">
        <v>3</v>
      </c>
      <c r="J46" s="1014" t="s">
        <v>1766</v>
      </c>
      <c r="K46" s="1014" t="s">
        <v>774</v>
      </c>
      <c r="L46" s="1016" t="s">
        <v>738</v>
      </c>
      <c r="M46" s="1017">
        <v>600000000</v>
      </c>
      <c r="N46" s="1018" t="s">
        <v>733</v>
      </c>
      <c r="O46" s="1018" t="s">
        <v>1745</v>
      </c>
      <c r="P46" s="1018"/>
      <c r="Q46" s="1014"/>
      <c r="R46" s="1019"/>
      <c r="S46" s="1127"/>
      <c r="T46" s="1153"/>
    </row>
    <row r="47" spans="1:103" s="992" customFormat="1" ht="89.25" x14ac:dyDescent="0.25">
      <c r="A47" s="1010">
        <v>2022041</v>
      </c>
      <c r="B47" s="1010">
        <v>7637</v>
      </c>
      <c r="C47" s="1010" t="s">
        <v>645</v>
      </c>
      <c r="D47" s="1016" t="s">
        <v>674</v>
      </c>
      <c r="E47" s="1032" t="s">
        <v>1780</v>
      </c>
      <c r="F47" s="1013" t="s">
        <v>1781</v>
      </c>
      <c r="G47" s="1014" t="s">
        <v>1750</v>
      </c>
      <c r="H47" s="1014" t="s">
        <v>1757</v>
      </c>
      <c r="I47" s="1014">
        <v>3</v>
      </c>
      <c r="J47" s="1014" t="s">
        <v>1766</v>
      </c>
      <c r="K47" s="1014" t="s">
        <v>774</v>
      </c>
      <c r="L47" s="1016" t="s">
        <v>738</v>
      </c>
      <c r="M47" s="1017">
        <v>600000000</v>
      </c>
      <c r="N47" s="1018" t="s">
        <v>733</v>
      </c>
      <c r="O47" s="1018" t="s">
        <v>1745</v>
      </c>
      <c r="P47" s="1018"/>
      <c r="Q47" s="1014"/>
      <c r="R47" s="1019"/>
      <c r="S47" s="1127"/>
      <c r="T47" s="1153"/>
    </row>
    <row r="48" spans="1:103" s="992" customFormat="1" ht="89.25" x14ac:dyDescent="0.25">
      <c r="A48" s="1010">
        <v>2022042</v>
      </c>
      <c r="B48" s="1010">
        <v>7637</v>
      </c>
      <c r="C48" s="1010" t="s">
        <v>645</v>
      </c>
      <c r="D48" s="1016" t="s">
        <v>674</v>
      </c>
      <c r="E48" s="1012"/>
      <c r="F48" s="1013" t="s">
        <v>779</v>
      </c>
      <c r="G48" s="1014"/>
      <c r="H48" s="1014"/>
      <c r="I48" s="1014"/>
      <c r="J48" s="1014"/>
      <c r="K48" s="1014" t="s">
        <v>678</v>
      </c>
      <c r="L48" s="1016" t="s">
        <v>679</v>
      </c>
      <c r="M48" s="1017">
        <v>22500000</v>
      </c>
      <c r="N48" s="1035" t="s">
        <v>733</v>
      </c>
      <c r="O48" s="1035" t="s">
        <v>1745</v>
      </c>
      <c r="P48" s="1035"/>
      <c r="Q48" s="1014"/>
      <c r="R48" s="1019"/>
      <c r="S48" s="1127"/>
      <c r="T48" s="1153"/>
    </row>
    <row r="49" spans="1:20" s="992" customFormat="1" ht="89.25" x14ac:dyDescent="0.25">
      <c r="A49" s="1020">
        <v>2022043</v>
      </c>
      <c r="B49" s="1020">
        <v>7655</v>
      </c>
      <c r="C49" s="1020" t="s">
        <v>648</v>
      </c>
      <c r="D49" s="1036" t="s">
        <v>690</v>
      </c>
      <c r="E49" s="1037" t="s">
        <v>781</v>
      </c>
      <c r="F49" s="1023" t="s">
        <v>782</v>
      </c>
      <c r="G49" s="1038">
        <v>44575</v>
      </c>
      <c r="H49" s="1038">
        <v>44575</v>
      </c>
      <c r="I49" s="1039" t="s">
        <v>1782</v>
      </c>
      <c r="J49" s="1040" t="s">
        <v>1783</v>
      </c>
      <c r="K49" s="1024" t="s">
        <v>678</v>
      </c>
      <c r="L49" s="1026" t="s">
        <v>783</v>
      </c>
      <c r="M49" s="1027">
        <v>92000000</v>
      </c>
      <c r="N49" s="1041" t="s">
        <v>729</v>
      </c>
      <c r="O49" s="1041" t="s">
        <v>1784</v>
      </c>
      <c r="P49" s="1041"/>
      <c r="Q49" s="1024"/>
      <c r="R49" s="1019"/>
      <c r="S49" s="1127">
        <v>84</v>
      </c>
      <c r="T49" s="1153">
        <v>92000000</v>
      </c>
    </row>
    <row r="50" spans="1:20" s="992" customFormat="1" ht="63.75" x14ac:dyDescent="0.25">
      <c r="A50" s="1020">
        <v>2022044</v>
      </c>
      <c r="B50" s="1020">
        <v>7655</v>
      </c>
      <c r="C50" s="1020" t="s">
        <v>648</v>
      </c>
      <c r="D50" s="1036" t="s">
        <v>690</v>
      </c>
      <c r="E50" s="1037" t="s">
        <v>781</v>
      </c>
      <c r="F50" s="1023" t="s">
        <v>786</v>
      </c>
      <c r="G50" s="1038">
        <v>44575</v>
      </c>
      <c r="H50" s="1038">
        <v>44575</v>
      </c>
      <c r="I50" s="1039" t="s">
        <v>1782</v>
      </c>
      <c r="J50" s="1040" t="s">
        <v>1783</v>
      </c>
      <c r="K50" s="1024" t="s">
        <v>678</v>
      </c>
      <c r="L50" s="1026" t="s">
        <v>783</v>
      </c>
      <c r="M50" s="1027">
        <v>103500000</v>
      </c>
      <c r="N50" s="1041" t="s">
        <v>729</v>
      </c>
      <c r="O50" s="1041" t="s">
        <v>1784</v>
      </c>
      <c r="P50" s="1041"/>
      <c r="Q50" s="1024"/>
      <c r="R50" s="1019"/>
      <c r="S50" s="1127">
        <v>61</v>
      </c>
      <c r="T50" s="1153">
        <v>103500000</v>
      </c>
    </row>
    <row r="51" spans="1:20" s="992" customFormat="1" ht="76.5" x14ac:dyDescent="0.25">
      <c r="A51" s="1020">
        <v>2022045</v>
      </c>
      <c r="B51" s="1020">
        <v>7655</v>
      </c>
      <c r="C51" s="1020" t="s">
        <v>648</v>
      </c>
      <c r="D51" s="1036" t="s">
        <v>690</v>
      </c>
      <c r="E51" s="1037" t="s">
        <v>781</v>
      </c>
      <c r="F51" s="1023" t="s">
        <v>787</v>
      </c>
      <c r="G51" s="1038">
        <v>44575</v>
      </c>
      <c r="H51" s="1038">
        <v>44575</v>
      </c>
      <c r="I51" s="1039" t="s">
        <v>1782</v>
      </c>
      <c r="J51" s="1040" t="s">
        <v>1783</v>
      </c>
      <c r="K51" s="1024" t="s">
        <v>678</v>
      </c>
      <c r="L51" s="1026" t="s">
        <v>679</v>
      </c>
      <c r="M51" s="1027">
        <v>57500000</v>
      </c>
      <c r="N51" s="1041" t="s">
        <v>729</v>
      </c>
      <c r="O51" s="1041" t="s">
        <v>1784</v>
      </c>
      <c r="P51" s="1041"/>
      <c r="Q51" s="1024"/>
      <c r="R51" s="1019"/>
      <c r="S51" s="1127">
        <v>95</v>
      </c>
      <c r="T51" s="1153">
        <v>57500000</v>
      </c>
    </row>
    <row r="52" spans="1:20" s="992" customFormat="1" ht="76.5" x14ac:dyDescent="0.25">
      <c r="A52" s="1020">
        <v>2022046</v>
      </c>
      <c r="B52" s="1020">
        <v>7655</v>
      </c>
      <c r="C52" s="1020" t="s">
        <v>648</v>
      </c>
      <c r="D52" s="1036" t="s">
        <v>690</v>
      </c>
      <c r="E52" s="1037" t="s">
        <v>781</v>
      </c>
      <c r="F52" s="1023" t="s">
        <v>788</v>
      </c>
      <c r="G52" s="1038">
        <v>44575</v>
      </c>
      <c r="H52" s="1038">
        <v>44575</v>
      </c>
      <c r="I52" s="1039" t="s">
        <v>1782</v>
      </c>
      <c r="J52" s="1040" t="s">
        <v>1783</v>
      </c>
      <c r="K52" s="1024" t="s">
        <v>678</v>
      </c>
      <c r="L52" s="1026" t="s">
        <v>679</v>
      </c>
      <c r="M52" s="1027">
        <v>78200000</v>
      </c>
      <c r="N52" s="1041" t="s">
        <v>729</v>
      </c>
      <c r="O52" s="1041" t="s">
        <v>1784</v>
      </c>
      <c r="P52" s="1041"/>
      <c r="Q52" s="1024"/>
      <c r="R52" s="1019"/>
      <c r="S52" s="1127">
        <v>203</v>
      </c>
      <c r="T52" s="1153">
        <v>78200000</v>
      </c>
    </row>
    <row r="53" spans="1:20" s="992" customFormat="1" ht="63.75" x14ac:dyDescent="0.25">
      <c r="A53" s="1020">
        <v>2022047</v>
      </c>
      <c r="B53" s="1020">
        <v>7655</v>
      </c>
      <c r="C53" s="1020" t="s">
        <v>648</v>
      </c>
      <c r="D53" s="1036" t="s">
        <v>690</v>
      </c>
      <c r="E53" s="1037" t="s">
        <v>781</v>
      </c>
      <c r="F53" s="1023" t="s">
        <v>789</v>
      </c>
      <c r="G53" s="1038">
        <v>44575</v>
      </c>
      <c r="H53" s="1038">
        <v>44575</v>
      </c>
      <c r="I53" s="1039" t="s">
        <v>1782</v>
      </c>
      <c r="J53" s="1040" t="s">
        <v>1783</v>
      </c>
      <c r="K53" s="1024" t="s">
        <v>678</v>
      </c>
      <c r="L53" s="1026" t="s">
        <v>679</v>
      </c>
      <c r="M53" s="1027">
        <v>38525000</v>
      </c>
      <c r="N53" s="1041" t="s">
        <v>729</v>
      </c>
      <c r="O53" s="1041" t="s">
        <v>1784</v>
      </c>
      <c r="P53" s="1041"/>
      <c r="Q53" s="1024"/>
      <c r="R53" s="1019"/>
      <c r="S53" s="1127">
        <v>65</v>
      </c>
      <c r="T53" s="1153">
        <v>38525000</v>
      </c>
    </row>
    <row r="54" spans="1:20" s="992" customFormat="1" ht="76.5" x14ac:dyDescent="0.25">
      <c r="A54" s="1020">
        <v>2022048</v>
      </c>
      <c r="B54" s="1020">
        <v>7655</v>
      </c>
      <c r="C54" s="1020" t="s">
        <v>648</v>
      </c>
      <c r="D54" s="1036" t="s">
        <v>690</v>
      </c>
      <c r="E54" s="1037" t="s">
        <v>781</v>
      </c>
      <c r="F54" s="1023" t="s">
        <v>790</v>
      </c>
      <c r="G54" s="1038">
        <v>44575</v>
      </c>
      <c r="H54" s="1038">
        <v>44575</v>
      </c>
      <c r="I54" s="1039" t="s">
        <v>1782</v>
      </c>
      <c r="J54" s="1040" t="s">
        <v>1783</v>
      </c>
      <c r="K54" s="1024" t="s">
        <v>678</v>
      </c>
      <c r="L54" s="1026" t="s">
        <v>783</v>
      </c>
      <c r="M54" s="1027">
        <v>92000000</v>
      </c>
      <c r="N54" s="1041" t="s">
        <v>729</v>
      </c>
      <c r="O54" s="1041" t="s">
        <v>1784</v>
      </c>
      <c r="P54" s="1041"/>
      <c r="Q54" s="1024"/>
      <c r="R54" s="1019"/>
      <c r="S54" s="1127">
        <v>66</v>
      </c>
      <c r="T54" s="1153">
        <v>92000000</v>
      </c>
    </row>
    <row r="55" spans="1:20" s="992" customFormat="1" ht="63.75" x14ac:dyDescent="0.25">
      <c r="A55" s="1020">
        <v>2022049</v>
      </c>
      <c r="B55" s="1020">
        <v>7655</v>
      </c>
      <c r="C55" s="1020" t="s">
        <v>648</v>
      </c>
      <c r="D55" s="1036" t="s">
        <v>690</v>
      </c>
      <c r="E55" s="1037" t="s">
        <v>781</v>
      </c>
      <c r="F55" s="1023" t="s">
        <v>1291</v>
      </c>
      <c r="G55" s="1038">
        <v>44575</v>
      </c>
      <c r="H55" s="1038">
        <v>44575</v>
      </c>
      <c r="I55" s="1039" t="s">
        <v>1785</v>
      </c>
      <c r="J55" s="1040" t="s">
        <v>1783</v>
      </c>
      <c r="K55" s="1024" t="s">
        <v>678</v>
      </c>
      <c r="L55" s="1026" t="s">
        <v>679</v>
      </c>
      <c r="M55" s="1027">
        <v>16800000</v>
      </c>
      <c r="N55" s="1041" t="s">
        <v>729</v>
      </c>
      <c r="O55" s="1041" t="s">
        <v>1784</v>
      </c>
      <c r="P55" s="1041"/>
      <c r="Q55" s="1024"/>
      <c r="R55" s="1019"/>
      <c r="S55" s="1127">
        <v>83</v>
      </c>
      <c r="T55" s="1153">
        <v>16800000</v>
      </c>
    </row>
    <row r="56" spans="1:20" s="992" customFormat="1" ht="63.75" x14ac:dyDescent="0.25">
      <c r="A56" s="1020">
        <v>2022050</v>
      </c>
      <c r="B56" s="1020">
        <v>7655</v>
      </c>
      <c r="C56" s="1020" t="s">
        <v>648</v>
      </c>
      <c r="D56" s="1036" t="s">
        <v>690</v>
      </c>
      <c r="E56" s="1037" t="s">
        <v>781</v>
      </c>
      <c r="F56" s="1023" t="s">
        <v>791</v>
      </c>
      <c r="G56" s="1038">
        <v>44575</v>
      </c>
      <c r="H56" s="1038">
        <v>44575</v>
      </c>
      <c r="I56" s="1039" t="s">
        <v>1786</v>
      </c>
      <c r="J56" s="1040" t="s">
        <v>1783</v>
      </c>
      <c r="K56" s="1024" t="s">
        <v>678</v>
      </c>
      <c r="L56" s="1026" t="s">
        <v>679</v>
      </c>
      <c r="M56" s="1027">
        <v>38500000</v>
      </c>
      <c r="N56" s="1041" t="s">
        <v>729</v>
      </c>
      <c r="O56" s="1041" t="s">
        <v>1784</v>
      </c>
      <c r="P56" s="1041"/>
      <c r="Q56" s="1024"/>
      <c r="R56" s="1019"/>
      <c r="S56" s="1127">
        <v>361</v>
      </c>
      <c r="T56" s="1153">
        <v>38500000</v>
      </c>
    </row>
    <row r="57" spans="1:20" s="992" customFormat="1" ht="63.75" x14ac:dyDescent="0.25">
      <c r="A57" s="1020">
        <v>2022051</v>
      </c>
      <c r="B57" s="1020">
        <v>7655</v>
      </c>
      <c r="C57" s="1020" t="s">
        <v>648</v>
      </c>
      <c r="D57" s="1036" t="s">
        <v>690</v>
      </c>
      <c r="E57" s="1037" t="s">
        <v>781</v>
      </c>
      <c r="F57" s="1023" t="s">
        <v>792</v>
      </c>
      <c r="G57" s="1038">
        <v>44575</v>
      </c>
      <c r="H57" s="1038">
        <v>44575</v>
      </c>
      <c r="I57" s="1039" t="s">
        <v>1782</v>
      </c>
      <c r="J57" s="1040" t="s">
        <v>1783</v>
      </c>
      <c r="K57" s="1024" t="s">
        <v>678</v>
      </c>
      <c r="L57" s="1026" t="s">
        <v>679</v>
      </c>
      <c r="M57" s="1027">
        <v>20700000</v>
      </c>
      <c r="N57" s="1041" t="s">
        <v>729</v>
      </c>
      <c r="O57" s="1041" t="s">
        <v>1784</v>
      </c>
      <c r="P57" s="1041"/>
      <c r="Q57" s="1024"/>
      <c r="R57" s="1019"/>
      <c r="S57" s="1127">
        <v>87</v>
      </c>
      <c r="T57" s="1153">
        <v>20700000</v>
      </c>
    </row>
    <row r="58" spans="1:20" s="992" customFormat="1" ht="76.5" x14ac:dyDescent="0.25">
      <c r="A58" s="1020">
        <v>2022052</v>
      </c>
      <c r="B58" s="1020">
        <v>7655</v>
      </c>
      <c r="C58" s="1020" t="s">
        <v>648</v>
      </c>
      <c r="D58" s="1036" t="s">
        <v>690</v>
      </c>
      <c r="E58" s="1037" t="s">
        <v>781</v>
      </c>
      <c r="F58" s="1023" t="s">
        <v>793</v>
      </c>
      <c r="G58" s="1038">
        <v>44575</v>
      </c>
      <c r="H58" s="1038">
        <v>44575</v>
      </c>
      <c r="I58" s="1039" t="s">
        <v>1782</v>
      </c>
      <c r="J58" s="1040" t="s">
        <v>1783</v>
      </c>
      <c r="K58" s="1024" t="s">
        <v>678</v>
      </c>
      <c r="L58" s="1026" t="s">
        <v>679</v>
      </c>
      <c r="M58" s="1027">
        <v>83950000</v>
      </c>
      <c r="N58" s="1041" t="s">
        <v>729</v>
      </c>
      <c r="O58" s="1041" t="s">
        <v>1784</v>
      </c>
      <c r="P58" s="1041"/>
      <c r="Q58" s="1024"/>
      <c r="R58" s="1019"/>
      <c r="S58" s="1127">
        <v>82</v>
      </c>
      <c r="T58" s="1153">
        <v>83950000</v>
      </c>
    </row>
    <row r="59" spans="1:20" s="992" customFormat="1" ht="63.75" x14ac:dyDescent="0.25">
      <c r="A59" s="1020">
        <v>2022053</v>
      </c>
      <c r="B59" s="1020">
        <v>7655</v>
      </c>
      <c r="C59" s="1020" t="s">
        <v>648</v>
      </c>
      <c r="D59" s="1036" t="s">
        <v>690</v>
      </c>
      <c r="E59" s="1037" t="s">
        <v>781</v>
      </c>
      <c r="F59" s="1023" t="s">
        <v>794</v>
      </c>
      <c r="G59" s="1038">
        <v>44575</v>
      </c>
      <c r="H59" s="1038">
        <v>44575</v>
      </c>
      <c r="I59" s="1039" t="s">
        <v>1782</v>
      </c>
      <c r="J59" s="1040" t="s">
        <v>1783</v>
      </c>
      <c r="K59" s="1024" t="s">
        <v>678</v>
      </c>
      <c r="L59" s="1026" t="s">
        <v>679</v>
      </c>
      <c r="M59" s="1027">
        <v>38525000</v>
      </c>
      <c r="N59" s="1041" t="s">
        <v>729</v>
      </c>
      <c r="O59" s="1041" t="s">
        <v>1784</v>
      </c>
      <c r="P59" s="1041"/>
      <c r="Q59" s="1024"/>
      <c r="R59" s="1019"/>
      <c r="S59" s="1127">
        <v>375</v>
      </c>
      <c r="T59" s="1153">
        <v>38525000</v>
      </c>
    </row>
    <row r="60" spans="1:20" s="992" customFormat="1" ht="63.75" x14ac:dyDescent="0.25">
      <c r="A60" s="1020">
        <v>2022054</v>
      </c>
      <c r="B60" s="1020">
        <v>7655</v>
      </c>
      <c r="C60" s="1020" t="s">
        <v>648</v>
      </c>
      <c r="D60" s="1036" t="s">
        <v>690</v>
      </c>
      <c r="E60" s="1037" t="s">
        <v>781</v>
      </c>
      <c r="F60" s="1023" t="s">
        <v>795</v>
      </c>
      <c r="G60" s="1038">
        <v>44575</v>
      </c>
      <c r="H60" s="1038">
        <v>44575</v>
      </c>
      <c r="I60" s="1039" t="s">
        <v>1785</v>
      </c>
      <c r="J60" s="1040" t="s">
        <v>1783</v>
      </c>
      <c r="K60" s="1024" t="s">
        <v>678</v>
      </c>
      <c r="L60" s="1026" t="s">
        <v>679</v>
      </c>
      <c r="M60" s="1027">
        <v>27000000</v>
      </c>
      <c r="N60" s="1041" t="s">
        <v>729</v>
      </c>
      <c r="O60" s="1041" t="s">
        <v>1784</v>
      </c>
      <c r="P60" s="1041"/>
      <c r="Q60" s="1024"/>
      <c r="R60" s="1019"/>
      <c r="S60" s="1127">
        <v>352</v>
      </c>
      <c r="T60" s="1153">
        <v>27000000</v>
      </c>
    </row>
    <row r="61" spans="1:20" s="992" customFormat="1" ht="63.75" x14ac:dyDescent="0.25">
      <c r="A61" s="1020">
        <v>2022055</v>
      </c>
      <c r="B61" s="1020">
        <v>7655</v>
      </c>
      <c r="C61" s="1020" t="s">
        <v>648</v>
      </c>
      <c r="D61" s="1036" t="s">
        <v>690</v>
      </c>
      <c r="E61" s="1037" t="s">
        <v>781</v>
      </c>
      <c r="F61" s="1023" t="s">
        <v>796</v>
      </c>
      <c r="G61" s="1038">
        <v>44575</v>
      </c>
      <c r="H61" s="1038">
        <v>44575</v>
      </c>
      <c r="I61" s="1039" t="s">
        <v>1782</v>
      </c>
      <c r="J61" s="1040" t="s">
        <v>1783</v>
      </c>
      <c r="K61" s="1024" t="s">
        <v>678</v>
      </c>
      <c r="L61" s="1026" t="s">
        <v>679</v>
      </c>
      <c r="M61" s="1027">
        <v>51750000</v>
      </c>
      <c r="N61" s="1041" t="s">
        <v>729</v>
      </c>
      <c r="O61" s="1041" t="s">
        <v>1784</v>
      </c>
      <c r="P61" s="1041"/>
      <c r="Q61" s="1024"/>
      <c r="R61" s="1019"/>
      <c r="S61" s="1127">
        <v>417</v>
      </c>
      <c r="T61" s="1153">
        <v>51750000</v>
      </c>
    </row>
    <row r="62" spans="1:20" s="992" customFormat="1" ht="63.75" x14ac:dyDescent="0.25">
      <c r="A62" s="1010">
        <v>2022056</v>
      </c>
      <c r="B62" s="1010">
        <v>7655</v>
      </c>
      <c r="C62" s="1010" t="s">
        <v>648</v>
      </c>
      <c r="D62" s="1042" t="s">
        <v>690</v>
      </c>
      <c r="E62" s="1043">
        <v>80111600</v>
      </c>
      <c r="F62" s="1013" t="s">
        <v>1787</v>
      </c>
      <c r="G62" s="1044">
        <v>44575</v>
      </c>
      <c r="H62" s="1044">
        <v>44575</v>
      </c>
      <c r="I62" s="1045" t="s">
        <v>1782</v>
      </c>
      <c r="J62" s="1046" t="s">
        <v>1783</v>
      </c>
      <c r="K62" s="1014" t="s">
        <v>678</v>
      </c>
      <c r="L62" s="1014" t="s">
        <v>679</v>
      </c>
      <c r="M62" s="1017">
        <v>0</v>
      </c>
      <c r="N62" s="1047" t="s">
        <v>729</v>
      </c>
      <c r="O62" s="1047" t="s">
        <v>1784</v>
      </c>
      <c r="P62" s="1047"/>
      <c r="Q62" s="1014"/>
      <c r="R62" s="1019"/>
      <c r="S62" s="1127"/>
      <c r="T62" s="1153"/>
    </row>
    <row r="63" spans="1:20" s="992" customFormat="1" ht="63.75" x14ac:dyDescent="0.25">
      <c r="A63" s="1020">
        <v>2022057</v>
      </c>
      <c r="B63" s="1020">
        <v>7655</v>
      </c>
      <c r="C63" s="1020" t="s">
        <v>648</v>
      </c>
      <c r="D63" s="1036" t="s">
        <v>690</v>
      </c>
      <c r="E63" s="1037" t="s">
        <v>781</v>
      </c>
      <c r="F63" s="1023" t="s">
        <v>797</v>
      </c>
      <c r="G63" s="1038">
        <v>44575</v>
      </c>
      <c r="H63" s="1038">
        <v>44575</v>
      </c>
      <c r="I63" s="1039" t="s">
        <v>1782</v>
      </c>
      <c r="J63" s="1040" t="s">
        <v>1783</v>
      </c>
      <c r="K63" s="1024" t="s">
        <v>678</v>
      </c>
      <c r="L63" s="1026" t="s">
        <v>679</v>
      </c>
      <c r="M63" s="1027">
        <v>38525000</v>
      </c>
      <c r="N63" s="1041" t="s">
        <v>729</v>
      </c>
      <c r="O63" s="1041" t="s">
        <v>1784</v>
      </c>
      <c r="P63" s="1041"/>
      <c r="Q63" s="1024"/>
      <c r="R63" s="1019"/>
      <c r="S63" s="1127">
        <v>239</v>
      </c>
      <c r="T63" s="1153">
        <v>38525000</v>
      </c>
    </row>
    <row r="64" spans="1:20" s="992" customFormat="1" ht="63.75" x14ac:dyDescent="0.25">
      <c r="A64" s="1020">
        <v>2022058</v>
      </c>
      <c r="B64" s="1020">
        <v>7655</v>
      </c>
      <c r="C64" s="1020" t="s">
        <v>648</v>
      </c>
      <c r="D64" s="1036" t="s">
        <v>690</v>
      </c>
      <c r="E64" s="1037" t="s">
        <v>781</v>
      </c>
      <c r="F64" s="1023" t="s">
        <v>798</v>
      </c>
      <c r="G64" s="1038">
        <v>44575</v>
      </c>
      <c r="H64" s="1038">
        <v>44575</v>
      </c>
      <c r="I64" s="1039" t="s">
        <v>1782</v>
      </c>
      <c r="J64" s="1040" t="s">
        <v>1783</v>
      </c>
      <c r="K64" s="1024" t="s">
        <v>678</v>
      </c>
      <c r="L64" s="1026" t="s">
        <v>679</v>
      </c>
      <c r="M64" s="1027">
        <v>28175000</v>
      </c>
      <c r="N64" s="1041" t="s">
        <v>729</v>
      </c>
      <c r="O64" s="1041" t="s">
        <v>1784</v>
      </c>
      <c r="P64" s="1041"/>
      <c r="Q64" s="1024"/>
      <c r="R64" s="1019"/>
      <c r="S64" s="1127">
        <v>89</v>
      </c>
      <c r="T64" s="1153">
        <v>28175000</v>
      </c>
    </row>
    <row r="65" spans="1:103" s="992" customFormat="1" ht="63.75" x14ac:dyDescent="0.25">
      <c r="A65" s="1020">
        <v>2022059</v>
      </c>
      <c r="B65" s="1020">
        <v>7655</v>
      </c>
      <c r="C65" s="1020" t="s">
        <v>648</v>
      </c>
      <c r="D65" s="1036" t="s">
        <v>690</v>
      </c>
      <c r="E65" s="1037" t="s">
        <v>781</v>
      </c>
      <c r="F65" s="1023" t="s">
        <v>799</v>
      </c>
      <c r="G65" s="1038">
        <v>44575</v>
      </c>
      <c r="H65" s="1038">
        <v>44575</v>
      </c>
      <c r="I65" s="1039" t="s">
        <v>1782</v>
      </c>
      <c r="J65" s="1040" t="s">
        <v>1783</v>
      </c>
      <c r="K65" s="1024" t="s">
        <v>678</v>
      </c>
      <c r="L65" s="1026" t="s">
        <v>679</v>
      </c>
      <c r="M65" s="1027">
        <v>44275000</v>
      </c>
      <c r="N65" s="1041" t="s">
        <v>729</v>
      </c>
      <c r="O65" s="1041" t="s">
        <v>1784</v>
      </c>
      <c r="P65" s="1041"/>
      <c r="Q65" s="1024"/>
      <c r="R65" s="1019"/>
      <c r="S65" s="1127">
        <v>140</v>
      </c>
      <c r="T65" s="1153">
        <v>44275000</v>
      </c>
    </row>
    <row r="66" spans="1:103" s="992" customFormat="1" ht="63.75" x14ac:dyDescent="0.25">
      <c r="A66" s="1020">
        <v>2022060</v>
      </c>
      <c r="B66" s="1020">
        <v>7655</v>
      </c>
      <c r="C66" s="1020" t="s">
        <v>648</v>
      </c>
      <c r="D66" s="1036" t="s">
        <v>690</v>
      </c>
      <c r="E66" s="1037" t="s">
        <v>781</v>
      </c>
      <c r="F66" s="1023" t="s">
        <v>799</v>
      </c>
      <c r="G66" s="1038">
        <v>44575</v>
      </c>
      <c r="H66" s="1038">
        <v>44575</v>
      </c>
      <c r="I66" s="1039" t="s">
        <v>1782</v>
      </c>
      <c r="J66" s="1040" t="s">
        <v>1783</v>
      </c>
      <c r="K66" s="1024" t="s">
        <v>678</v>
      </c>
      <c r="L66" s="1026" t="s">
        <v>679</v>
      </c>
      <c r="M66" s="1027">
        <v>44275000</v>
      </c>
      <c r="N66" s="1041" t="s">
        <v>729</v>
      </c>
      <c r="O66" s="1041" t="s">
        <v>1784</v>
      </c>
      <c r="P66" s="1041"/>
      <c r="Q66" s="1024"/>
      <c r="R66" s="1019"/>
      <c r="S66" s="1127">
        <v>248</v>
      </c>
      <c r="T66" s="1153">
        <v>44275000</v>
      </c>
    </row>
    <row r="67" spans="1:103" s="992" customFormat="1" ht="76.5" x14ac:dyDescent="0.25">
      <c r="A67" s="1020">
        <v>2022061</v>
      </c>
      <c r="B67" s="1020">
        <v>7655</v>
      </c>
      <c r="C67" s="1020" t="s">
        <v>648</v>
      </c>
      <c r="D67" s="1036" t="s">
        <v>690</v>
      </c>
      <c r="E67" s="1037" t="s">
        <v>781</v>
      </c>
      <c r="F67" s="1023" t="s">
        <v>800</v>
      </c>
      <c r="G67" s="1038">
        <v>44575</v>
      </c>
      <c r="H67" s="1038">
        <v>44575</v>
      </c>
      <c r="I67" s="1039" t="s">
        <v>1782</v>
      </c>
      <c r="J67" s="1040" t="s">
        <v>1783</v>
      </c>
      <c r="K67" s="1024" t="s">
        <v>678</v>
      </c>
      <c r="L67" s="1026" t="s">
        <v>679</v>
      </c>
      <c r="M67" s="1027">
        <v>51750000</v>
      </c>
      <c r="N67" s="1041" t="s">
        <v>729</v>
      </c>
      <c r="O67" s="1041" t="s">
        <v>1784</v>
      </c>
      <c r="P67" s="1041"/>
      <c r="Q67" s="1024"/>
      <c r="R67" s="1019"/>
      <c r="S67" s="1127">
        <v>309</v>
      </c>
      <c r="T67" s="1153">
        <v>51750000</v>
      </c>
    </row>
    <row r="68" spans="1:103" s="992" customFormat="1" ht="89.25" x14ac:dyDescent="0.25">
      <c r="A68" s="1020">
        <v>2022062</v>
      </c>
      <c r="B68" s="1020">
        <v>7655</v>
      </c>
      <c r="C68" s="1020" t="s">
        <v>648</v>
      </c>
      <c r="D68" s="1036" t="s">
        <v>690</v>
      </c>
      <c r="E68" s="1037" t="s">
        <v>781</v>
      </c>
      <c r="F68" s="1023" t="s">
        <v>801</v>
      </c>
      <c r="G68" s="1038">
        <v>44575</v>
      </c>
      <c r="H68" s="1038">
        <v>44575</v>
      </c>
      <c r="I68" s="1039" t="s">
        <v>1786</v>
      </c>
      <c r="J68" s="1040" t="s">
        <v>1783</v>
      </c>
      <c r="K68" s="1024" t="s">
        <v>678</v>
      </c>
      <c r="L68" s="1026" t="s">
        <v>679</v>
      </c>
      <c r="M68" s="1027">
        <v>51100000</v>
      </c>
      <c r="N68" s="1041" t="s">
        <v>729</v>
      </c>
      <c r="O68" s="1041" t="s">
        <v>1784</v>
      </c>
      <c r="P68" s="1041"/>
      <c r="Q68" s="1024"/>
      <c r="R68" s="1019"/>
      <c r="S68" s="1127">
        <v>265</v>
      </c>
      <c r="T68" s="1153">
        <v>51100000</v>
      </c>
    </row>
    <row r="69" spans="1:103" s="992" customFormat="1" ht="63.75" x14ac:dyDescent="0.25">
      <c r="A69" s="1010">
        <v>2022063</v>
      </c>
      <c r="B69" s="1010">
        <v>7655</v>
      </c>
      <c r="C69" s="1010" t="s">
        <v>648</v>
      </c>
      <c r="D69" s="1042" t="s">
        <v>690</v>
      </c>
      <c r="E69" s="1048" t="s">
        <v>1788</v>
      </c>
      <c r="F69" s="1013" t="s">
        <v>1789</v>
      </c>
      <c r="G69" s="1044">
        <v>44630</v>
      </c>
      <c r="H69" s="1044">
        <v>44630</v>
      </c>
      <c r="I69" s="1045" t="s">
        <v>1790</v>
      </c>
      <c r="J69" s="1046" t="s">
        <v>1760</v>
      </c>
      <c r="K69" s="1014" t="s">
        <v>678</v>
      </c>
      <c r="L69" s="1016" t="s">
        <v>804</v>
      </c>
      <c r="M69" s="1017">
        <v>20000000</v>
      </c>
      <c r="N69" s="1047" t="s">
        <v>729</v>
      </c>
      <c r="O69" s="1047" t="s">
        <v>1784</v>
      </c>
      <c r="P69" s="1047"/>
      <c r="Q69" s="1014"/>
      <c r="R69" s="1019"/>
      <c r="S69" s="1127"/>
      <c r="T69" s="1153"/>
    </row>
    <row r="70" spans="1:103" s="1031" customFormat="1" ht="63.75" x14ac:dyDescent="0.25">
      <c r="A70" s="1020">
        <v>2022064</v>
      </c>
      <c r="B70" s="1020">
        <v>7655</v>
      </c>
      <c r="C70" s="1020" t="s">
        <v>648</v>
      </c>
      <c r="D70" s="1036" t="s">
        <v>690</v>
      </c>
      <c r="E70" s="1083" t="s">
        <v>805</v>
      </c>
      <c r="F70" s="1023" t="s">
        <v>806</v>
      </c>
      <c r="G70" s="1038">
        <v>44576</v>
      </c>
      <c r="H70" s="1038">
        <v>44576</v>
      </c>
      <c r="I70" s="1039" t="s">
        <v>97</v>
      </c>
      <c r="J70" s="1040" t="s">
        <v>1751</v>
      </c>
      <c r="K70" s="1024" t="s">
        <v>678</v>
      </c>
      <c r="L70" s="1026" t="s">
        <v>679</v>
      </c>
      <c r="M70" s="1027">
        <v>20000000</v>
      </c>
      <c r="N70" s="1041" t="s">
        <v>729</v>
      </c>
      <c r="O70" s="1041" t="s">
        <v>1784</v>
      </c>
      <c r="P70" s="1041"/>
      <c r="Q70" s="1024"/>
      <c r="R70" s="1127"/>
      <c r="S70" s="1127">
        <v>542</v>
      </c>
      <c r="T70" s="1153">
        <v>16142292</v>
      </c>
      <c r="U70" s="992"/>
      <c r="V70" s="992"/>
      <c r="W70" s="992"/>
      <c r="X70" s="992"/>
      <c r="Y70" s="992"/>
      <c r="Z70" s="992"/>
      <c r="AA70" s="992"/>
      <c r="AB70" s="992"/>
      <c r="AC70" s="992"/>
      <c r="AD70" s="992"/>
      <c r="AE70" s="992"/>
      <c r="AF70" s="992"/>
      <c r="AG70" s="992"/>
      <c r="AH70" s="992"/>
      <c r="AI70" s="992"/>
      <c r="AJ70" s="992"/>
      <c r="AK70" s="992"/>
      <c r="AL70" s="992"/>
      <c r="AM70" s="992"/>
      <c r="AN70" s="992"/>
      <c r="AO70" s="992"/>
      <c r="AP70" s="992"/>
      <c r="AQ70" s="992"/>
      <c r="AR70" s="992"/>
      <c r="AS70" s="992"/>
      <c r="AT70" s="992"/>
      <c r="AU70" s="992"/>
      <c r="AV70" s="992"/>
      <c r="AW70" s="992"/>
      <c r="AX70" s="992"/>
      <c r="AY70" s="992"/>
      <c r="AZ70" s="992"/>
      <c r="BA70" s="992"/>
      <c r="BB70" s="992"/>
      <c r="BC70" s="992"/>
      <c r="BD70" s="992"/>
      <c r="BE70" s="992"/>
      <c r="BF70" s="992"/>
      <c r="BG70" s="992"/>
      <c r="BH70" s="992"/>
      <c r="BI70" s="992"/>
      <c r="BJ70" s="992"/>
      <c r="BK70" s="992"/>
      <c r="BL70" s="992"/>
      <c r="BM70" s="992"/>
      <c r="BN70" s="992"/>
      <c r="BO70" s="992"/>
      <c r="BP70" s="992"/>
      <c r="BQ70" s="992"/>
      <c r="BR70" s="992"/>
      <c r="BS70" s="992"/>
      <c r="BT70" s="992"/>
      <c r="BU70" s="992"/>
      <c r="BV70" s="992"/>
      <c r="BW70" s="992"/>
      <c r="BX70" s="992"/>
      <c r="BY70" s="992"/>
      <c r="BZ70" s="992"/>
      <c r="CA70" s="992"/>
      <c r="CB70" s="992"/>
      <c r="CC70" s="992"/>
      <c r="CD70" s="992"/>
      <c r="CE70" s="992"/>
      <c r="CF70" s="992"/>
      <c r="CG70" s="992"/>
      <c r="CH70" s="992"/>
      <c r="CI70" s="992"/>
      <c r="CJ70" s="992"/>
      <c r="CK70" s="992"/>
      <c r="CL70" s="992"/>
      <c r="CM70" s="992"/>
      <c r="CN70" s="992"/>
      <c r="CO70" s="992"/>
      <c r="CP70" s="992"/>
      <c r="CQ70" s="992"/>
      <c r="CR70" s="992"/>
      <c r="CS70" s="992"/>
      <c r="CT70" s="992"/>
      <c r="CU70" s="992"/>
      <c r="CV70" s="992"/>
      <c r="CW70" s="992"/>
      <c r="CX70" s="992"/>
      <c r="CY70" s="992"/>
    </row>
    <row r="71" spans="1:103" s="992" customFormat="1" ht="63.75" x14ac:dyDescent="0.25">
      <c r="A71" s="1128">
        <v>2022065</v>
      </c>
      <c r="B71" s="1128">
        <v>7655</v>
      </c>
      <c r="C71" s="1128" t="s">
        <v>648</v>
      </c>
      <c r="D71" s="1136" t="s">
        <v>690</v>
      </c>
      <c r="E71" s="1137" t="s">
        <v>805</v>
      </c>
      <c r="F71" s="1131" t="s">
        <v>807</v>
      </c>
      <c r="G71" s="1138">
        <v>44607</v>
      </c>
      <c r="H71" s="1138">
        <v>44607</v>
      </c>
      <c r="I71" s="1045" t="s">
        <v>1791</v>
      </c>
      <c r="J71" s="1140" t="s">
        <v>1751</v>
      </c>
      <c r="K71" s="1132" t="s">
        <v>678</v>
      </c>
      <c r="L71" s="1129" t="s">
        <v>679</v>
      </c>
      <c r="M71" s="1133">
        <v>140000000</v>
      </c>
      <c r="N71" s="1141" t="s">
        <v>729</v>
      </c>
      <c r="O71" s="1141" t="s">
        <v>1784</v>
      </c>
      <c r="P71" s="1141"/>
      <c r="Q71" s="1132"/>
      <c r="R71" s="1127">
        <v>595</v>
      </c>
      <c r="S71" s="1127"/>
      <c r="T71" s="1153"/>
    </row>
    <row r="72" spans="1:103" s="992" customFormat="1" ht="63.75" x14ac:dyDescent="0.25">
      <c r="A72" s="1010">
        <v>2022066</v>
      </c>
      <c r="B72" s="1010">
        <v>7655</v>
      </c>
      <c r="C72" s="1010" t="s">
        <v>648</v>
      </c>
      <c r="D72" s="1042" t="s">
        <v>690</v>
      </c>
      <c r="E72" s="1043">
        <v>76121900</v>
      </c>
      <c r="F72" s="1013" t="s">
        <v>1792</v>
      </c>
      <c r="G72" s="1044">
        <v>44635</v>
      </c>
      <c r="H72" s="1044">
        <v>44635</v>
      </c>
      <c r="I72" s="1045" t="s">
        <v>1793</v>
      </c>
      <c r="J72" s="1046" t="s">
        <v>1760</v>
      </c>
      <c r="K72" s="1014" t="s">
        <v>678</v>
      </c>
      <c r="L72" s="1016" t="s">
        <v>679</v>
      </c>
      <c r="M72" s="1017">
        <v>2060000</v>
      </c>
      <c r="N72" s="1047" t="s">
        <v>729</v>
      </c>
      <c r="O72" s="1047" t="s">
        <v>1784</v>
      </c>
      <c r="P72" s="1047"/>
      <c r="Q72" s="1014"/>
      <c r="R72" s="1019"/>
      <c r="S72" s="1127"/>
      <c r="T72" s="1153"/>
    </row>
    <row r="73" spans="1:103" s="992" customFormat="1" ht="63.75" x14ac:dyDescent="0.25">
      <c r="A73" s="1010">
        <v>2022067</v>
      </c>
      <c r="B73" s="1010">
        <v>7655</v>
      </c>
      <c r="C73" s="1010" t="s">
        <v>648</v>
      </c>
      <c r="D73" s="1042" t="s">
        <v>690</v>
      </c>
      <c r="E73" s="1048" t="s">
        <v>1794</v>
      </c>
      <c r="F73" s="1013" t="s">
        <v>1795</v>
      </c>
      <c r="G73" s="1044">
        <v>44635</v>
      </c>
      <c r="H73" s="1044">
        <v>44635</v>
      </c>
      <c r="I73" s="1046" t="s">
        <v>1796</v>
      </c>
      <c r="J73" s="1046" t="s">
        <v>1796</v>
      </c>
      <c r="K73" s="1014" t="s">
        <v>678</v>
      </c>
      <c r="L73" s="1016" t="s">
        <v>679</v>
      </c>
      <c r="M73" s="1017">
        <v>1110000</v>
      </c>
      <c r="N73" s="1047" t="s">
        <v>729</v>
      </c>
      <c r="O73" s="1047" t="s">
        <v>1784</v>
      </c>
      <c r="P73" s="1047"/>
      <c r="Q73" s="1014"/>
      <c r="R73" s="1019"/>
      <c r="S73" s="1127"/>
      <c r="T73" s="1153"/>
    </row>
    <row r="74" spans="1:103" s="992" customFormat="1" ht="76.5" x14ac:dyDescent="0.25">
      <c r="A74" s="1020">
        <v>2022068</v>
      </c>
      <c r="B74" s="1020">
        <v>7655</v>
      </c>
      <c r="C74" s="1020" t="s">
        <v>648</v>
      </c>
      <c r="D74" s="1036" t="s">
        <v>690</v>
      </c>
      <c r="E74" s="1037" t="s">
        <v>781</v>
      </c>
      <c r="F74" s="1023" t="s">
        <v>808</v>
      </c>
      <c r="G74" s="1038">
        <v>44575</v>
      </c>
      <c r="H74" s="1038">
        <v>44575</v>
      </c>
      <c r="I74" s="1039" t="s">
        <v>1782</v>
      </c>
      <c r="J74" s="1040" t="s">
        <v>1783</v>
      </c>
      <c r="K74" s="1024" t="s">
        <v>678</v>
      </c>
      <c r="L74" s="1026" t="s">
        <v>679</v>
      </c>
      <c r="M74" s="1027">
        <v>44275000</v>
      </c>
      <c r="N74" s="1041" t="s">
        <v>729</v>
      </c>
      <c r="O74" s="1041" t="s">
        <v>1784</v>
      </c>
      <c r="P74" s="1041"/>
      <c r="Q74" s="1024"/>
      <c r="R74" s="1019"/>
      <c r="S74" s="1127">
        <v>382</v>
      </c>
      <c r="T74" s="1153">
        <v>44275000</v>
      </c>
    </row>
    <row r="75" spans="1:103" s="992" customFormat="1" ht="63.75" x14ac:dyDescent="0.25">
      <c r="A75" s="1020">
        <v>2022069</v>
      </c>
      <c r="B75" s="1020">
        <v>7655</v>
      </c>
      <c r="C75" s="1020" t="s">
        <v>648</v>
      </c>
      <c r="D75" s="1036" t="s">
        <v>690</v>
      </c>
      <c r="E75" s="1037" t="s">
        <v>781</v>
      </c>
      <c r="F75" s="1023" t="s">
        <v>809</v>
      </c>
      <c r="G75" s="1038">
        <v>44575</v>
      </c>
      <c r="H75" s="1038">
        <v>44575</v>
      </c>
      <c r="I75" s="1039" t="s">
        <v>1782</v>
      </c>
      <c r="J75" s="1040" t="s">
        <v>1783</v>
      </c>
      <c r="K75" s="1024" t="s">
        <v>678</v>
      </c>
      <c r="L75" s="1026" t="s">
        <v>783</v>
      </c>
      <c r="M75" s="1027">
        <v>47150000</v>
      </c>
      <c r="N75" s="1041" t="s">
        <v>729</v>
      </c>
      <c r="O75" s="1041" t="s">
        <v>1784</v>
      </c>
      <c r="P75" s="1041"/>
      <c r="Q75" s="1024"/>
      <c r="R75" s="1019"/>
      <c r="S75" s="1127">
        <v>212</v>
      </c>
      <c r="T75" s="1153">
        <v>47150000</v>
      </c>
    </row>
    <row r="76" spans="1:103" s="992" customFormat="1" ht="63.75" x14ac:dyDescent="0.25">
      <c r="A76" s="1020">
        <v>2022070</v>
      </c>
      <c r="B76" s="1020">
        <v>7655</v>
      </c>
      <c r="C76" s="1020" t="s">
        <v>648</v>
      </c>
      <c r="D76" s="1036" t="s">
        <v>690</v>
      </c>
      <c r="E76" s="1037" t="s">
        <v>781</v>
      </c>
      <c r="F76" s="1023" t="s">
        <v>809</v>
      </c>
      <c r="G76" s="1038">
        <v>44575</v>
      </c>
      <c r="H76" s="1038">
        <v>44575</v>
      </c>
      <c r="I76" s="1039" t="s">
        <v>1782</v>
      </c>
      <c r="J76" s="1040" t="s">
        <v>1783</v>
      </c>
      <c r="K76" s="1024" t="s">
        <v>678</v>
      </c>
      <c r="L76" s="1026" t="s">
        <v>679</v>
      </c>
      <c r="M76" s="1027">
        <v>63250000</v>
      </c>
      <c r="N76" s="1041" t="s">
        <v>729</v>
      </c>
      <c r="O76" s="1041" t="s">
        <v>1784</v>
      </c>
      <c r="P76" s="1041"/>
      <c r="Q76" s="1024"/>
      <c r="R76" s="1019"/>
      <c r="S76" s="1127">
        <v>122</v>
      </c>
      <c r="T76" s="1153">
        <v>63250000</v>
      </c>
    </row>
    <row r="77" spans="1:103" s="992" customFormat="1" ht="63.75" x14ac:dyDescent="0.25">
      <c r="A77" s="1020">
        <v>2022071</v>
      </c>
      <c r="B77" s="1020">
        <v>7655</v>
      </c>
      <c r="C77" s="1020" t="s">
        <v>648</v>
      </c>
      <c r="D77" s="1036" t="s">
        <v>690</v>
      </c>
      <c r="E77" s="1037" t="s">
        <v>781</v>
      </c>
      <c r="F77" s="1023" t="s">
        <v>809</v>
      </c>
      <c r="G77" s="1038">
        <v>44575</v>
      </c>
      <c r="H77" s="1038">
        <v>44575</v>
      </c>
      <c r="I77" s="1039" t="s">
        <v>1782</v>
      </c>
      <c r="J77" s="1040" t="s">
        <v>1783</v>
      </c>
      <c r="K77" s="1024" t="s">
        <v>678</v>
      </c>
      <c r="L77" s="1026" t="s">
        <v>679</v>
      </c>
      <c r="M77" s="1027">
        <v>63250000</v>
      </c>
      <c r="N77" s="1041" t="s">
        <v>729</v>
      </c>
      <c r="O77" s="1041" t="s">
        <v>1784</v>
      </c>
      <c r="P77" s="1041"/>
      <c r="Q77" s="1024"/>
      <c r="R77" s="1019"/>
      <c r="S77" s="1127">
        <v>205</v>
      </c>
      <c r="T77" s="1153">
        <v>63250000</v>
      </c>
    </row>
    <row r="78" spans="1:103" s="992" customFormat="1" ht="76.5" x14ac:dyDescent="0.25">
      <c r="A78" s="1020">
        <v>2022072</v>
      </c>
      <c r="B78" s="1020">
        <v>7655</v>
      </c>
      <c r="C78" s="1020" t="s">
        <v>648</v>
      </c>
      <c r="D78" s="1036" t="s">
        <v>690</v>
      </c>
      <c r="E78" s="1037" t="s">
        <v>781</v>
      </c>
      <c r="F78" s="1023" t="s">
        <v>810</v>
      </c>
      <c r="G78" s="1038">
        <v>44575</v>
      </c>
      <c r="H78" s="1038">
        <v>44575</v>
      </c>
      <c r="I78" s="1039" t="s">
        <v>1785</v>
      </c>
      <c r="J78" s="1040" t="s">
        <v>1783</v>
      </c>
      <c r="K78" s="1024" t="s">
        <v>678</v>
      </c>
      <c r="L78" s="1026" t="s">
        <v>679</v>
      </c>
      <c r="M78" s="1027">
        <v>16500000</v>
      </c>
      <c r="N78" s="1041" t="s">
        <v>729</v>
      </c>
      <c r="O78" s="1041" t="s">
        <v>1784</v>
      </c>
      <c r="P78" s="1041"/>
      <c r="Q78" s="1024"/>
      <c r="R78" s="1019"/>
      <c r="S78" s="1127">
        <v>280</v>
      </c>
      <c r="T78" s="1153">
        <v>16500000</v>
      </c>
    </row>
    <row r="79" spans="1:103" s="992" customFormat="1" ht="63.75" x14ac:dyDescent="0.25">
      <c r="A79" s="1020">
        <v>2022073</v>
      </c>
      <c r="B79" s="1020">
        <v>7655</v>
      </c>
      <c r="C79" s="1020" t="s">
        <v>648</v>
      </c>
      <c r="D79" s="1036" t="s">
        <v>690</v>
      </c>
      <c r="E79" s="1037" t="s">
        <v>781</v>
      </c>
      <c r="F79" s="1023" t="s">
        <v>809</v>
      </c>
      <c r="G79" s="1038">
        <v>44575</v>
      </c>
      <c r="H79" s="1038">
        <v>44575</v>
      </c>
      <c r="I79" s="1039" t="s">
        <v>1782</v>
      </c>
      <c r="J79" s="1040" t="s">
        <v>1783</v>
      </c>
      <c r="K79" s="1024" t="s">
        <v>678</v>
      </c>
      <c r="L79" s="1026" t="s">
        <v>679</v>
      </c>
      <c r="M79" s="1027">
        <v>63250000</v>
      </c>
      <c r="N79" s="1041" t="s">
        <v>729</v>
      </c>
      <c r="O79" s="1041" t="s">
        <v>1784</v>
      </c>
      <c r="P79" s="1041"/>
      <c r="Q79" s="1024"/>
      <c r="R79" s="1019"/>
      <c r="S79" s="1127">
        <v>408</v>
      </c>
      <c r="T79" s="1153">
        <v>63250000</v>
      </c>
    </row>
    <row r="80" spans="1:103" s="992" customFormat="1" ht="63.75" x14ac:dyDescent="0.25">
      <c r="A80" s="1020">
        <v>2022074</v>
      </c>
      <c r="B80" s="1020">
        <v>7655</v>
      </c>
      <c r="C80" s="1020" t="s">
        <v>648</v>
      </c>
      <c r="D80" s="1036" t="s">
        <v>690</v>
      </c>
      <c r="E80" s="1037" t="s">
        <v>781</v>
      </c>
      <c r="F80" s="1023" t="s">
        <v>809</v>
      </c>
      <c r="G80" s="1038">
        <v>44575</v>
      </c>
      <c r="H80" s="1038">
        <v>44575</v>
      </c>
      <c r="I80" s="1039" t="s">
        <v>1782</v>
      </c>
      <c r="J80" s="1040" t="s">
        <v>1783</v>
      </c>
      <c r="K80" s="1024" t="s">
        <v>678</v>
      </c>
      <c r="L80" s="1026" t="s">
        <v>679</v>
      </c>
      <c r="M80" s="1027">
        <v>58650000</v>
      </c>
      <c r="N80" s="1041" t="s">
        <v>729</v>
      </c>
      <c r="O80" s="1041" t="s">
        <v>1784</v>
      </c>
      <c r="P80" s="1041"/>
      <c r="Q80" s="1024"/>
      <c r="R80" s="1019"/>
      <c r="S80" s="1127">
        <v>424</v>
      </c>
      <c r="T80" s="1153">
        <v>58650000</v>
      </c>
    </row>
    <row r="81" spans="1:20" s="992" customFormat="1" ht="76.5" x14ac:dyDescent="0.25">
      <c r="A81" s="1020">
        <v>2022075</v>
      </c>
      <c r="B81" s="1020">
        <v>7655</v>
      </c>
      <c r="C81" s="1020" t="s">
        <v>648</v>
      </c>
      <c r="D81" s="1036" t="s">
        <v>690</v>
      </c>
      <c r="E81" s="1037" t="s">
        <v>781</v>
      </c>
      <c r="F81" s="1023" t="s">
        <v>810</v>
      </c>
      <c r="G81" s="1038">
        <v>44575</v>
      </c>
      <c r="H81" s="1038">
        <v>44575</v>
      </c>
      <c r="I81" s="1039" t="s">
        <v>1782</v>
      </c>
      <c r="J81" s="1040" t="s">
        <v>1783</v>
      </c>
      <c r="K81" s="1024" t="s">
        <v>678</v>
      </c>
      <c r="L81" s="1026" t="s">
        <v>679</v>
      </c>
      <c r="M81" s="1027">
        <v>31625000</v>
      </c>
      <c r="N81" s="1041" t="s">
        <v>729</v>
      </c>
      <c r="O81" s="1041" t="s">
        <v>1784</v>
      </c>
      <c r="P81" s="1041"/>
      <c r="Q81" s="1024"/>
      <c r="R81" s="1019"/>
      <c r="S81" s="1127">
        <v>324</v>
      </c>
      <c r="T81" s="1153">
        <v>31625000</v>
      </c>
    </row>
    <row r="82" spans="1:20" s="992" customFormat="1" ht="63.75" x14ac:dyDescent="0.25">
      <c r="A82" s="1020">
        <v>2022076</v>
      </c>
      <c r="B82" s="1020">
        <v>7655</v>
      </c>
      <c r="C82" s="1020" t="s">
        <v>648</v>
      </c>
      <c r="D82" s="1036" t="s">
        <v>690</v>
      </c>
      <c r="E82" s="1037" t="s">
        <v>781</v>
      </c>
      <c r="F82" s="1023" t="s">
        <v>811</v>
      </c>
      <c r="G82" s="1038">
        <v>44575</v>
      </c>
      <c r="H82" s="1038">
        <v>44575</v>
      </c>
      <c r="I82" s="1039" t="s">
        <v>1782</v>
      </c>
      <c r="J82" s="1040" t="s">
        <v>1783</v>
      </c>
      <c r="K82" s="1024" t="s">
        <v>678</v>
      </c>
      <c r="L82" s="1026" t="s">
        <v>679</v>
      </c>
      <c r="M82" s="1027">
        <v>28175000</v>
      </c>
      <c r="N82" s="1041" t="s">
        <v>729</v>
      </c>
      <c r="O82" s="1041" t="s">
        <v>1784</v>
      </c>
      <c r="P82" s="1041"/>
      <c r="Q82" s="1024"/>
      <c r="R82" s="1019"/>
      <c r="S82" s="1127">
        <v>268</v>
      </c>
      <c r="T82" s="1153">
        <v>28175000</v>
      </c>
    </row>
    <row r="83" spans="1:20" s="992" customFormat="1" ht="63.75" x14ac:dyDescent="0.25">
      <c r="A83" s="1020">
        <v>2022077</v>
      </c>
      <c r="B83" s="1020">
        <v>7655</v>
      </c>
      <c r="C83" s="1020" t="s">
        <v>648</v>
      </c>
      <c r="D83" s="1036" t="s">
        <v>690</v>
      </c>
      <c r="E83" s="1037" t="s">
        <v>781</v>
      </c>
      <c r="F83" s="1023" t="s">
        <v>811</v>
      </c>
      <c r="G83" s="1038">
        <v>44575</v>
      </c>
      <c r="H83" s="1038">
        <v>44575</v>
      </c>
      <c r="I83" s="1039" t="s">
        <v>1782</v>
      </c>
      <c r="J83" s="1040" t="s">
        <v>1783</v>
      </c>
      <c r="K83" s="1024" t="s">
        <v>678</v>
      </c>
      <c r="L83" s="1026" t="s">
        <v>679</v>
      </c>
      <c r="M83" s="1027">
        <v>28175000</v>
      </c>
      <c r="N83" s="1041" t="s">
        <v>729</v>
      </c>
      <c r="O83" s="1041" t="s">
        <v>1784</v>
      </c>
      <c r="P83" s="1041"/>
      <c r="Q83" s="1024"/>
      <c r="R83" s="1019"/>
      <c r="S83" s="1127">
        <v>240</v>
      </c>
      <c r="T83" s="1153">
        <v>28175000</v>
      </c>
    </row>
    <row r="84" spans="1:20" s="992" customFormat="1" ht="63.75" x14ac:dyDescent="0.25">
      <c r="A84" s="1020">
        <v>2022078</v>
      </c>
      <c r="B84" s="1020">
        <v>7655</v>
      </c>
      <c r="C84" s="1020" t="s">
        <v>648</v>
      </c>
      <c r="D84" s="1036" t="s">
        <v>690</v>
      </c>
      <c r="E84" s="1037" t="s">
        <v>781</v>
      </c>
      <c r="F84" s="1023" t="s">
        <v>812</v>
      </c>
      <c r="G84" s="1038">
        <v>44575</v>
      </c>
      <c r="H84" s="1038">
        <v>44575</v>
      </c>
      <c r="I84" s="1039" t="s">
        <v>1782</v>
      </c>
      <c r="J84" s="1040" t="s">
        <v>1783</v>
      </c>
      <c r="K84" s="1024" t="s">
        <v>678</v>
      </c>
      <c r="L84" s="1026" t="s">
        <v>679</v>
      </c>
      <c r="M84" s="1027">
        <v>24150000</v>
      </c>
      <c r="N84" s="1041" t="s">
        <v>729</v>
      </c>
      <c r="O84" s="1041" t="s">
        <v>1784</v>
      </c>
      <c r="P84" s="1041"/>
      <c r="Q84" s="1024"/>
      <c r="R84" s="1019"/>
      <c r="S84" s="1127">
        <v>236</v>
      </c>
      <c r="T84" s="1153">
        <v>24150000</v>
      </c>
    </row>
    <row r="85" spans="1:20" s="992" customFormat="1" ht="63.75" x14ac:dyDescent="0.25">
      <c r="A85" s="1020">
        <v>2022079</v>
      </c>
      <c r="B85" s="1020">
        <v>7655</v>
      </c>
      <c r="C85" s="1020" t="s">
        <v>648</v>
      </c>
      <c r="D85" s="1036" t="s">
        <v>690</v>
      </c>
      <c r="E85" s="1037" t="s">
        <v>781</v>
      </c>
      <c r="F85" s="1023" t="s">
        <v>813</v>
      </c>
      <c r="G85" s="1038">
        <v>44575</v>
      </c>
      <c r="H85" s="1038">
        <v>44575</v>
      </c>
      <c r="I85" s="1039" t="s">
        <v>1782</v>
      </c>
      <c r="J85" s="1040" t="s">
        <v>1783</v>
      </c>
      <c r="K85" s="1024" t="s">
        <v>678</v>
      </c>
      <c r="L85" s="1026" t="s">
        <v>679</v>
      </c>
      <c r="M85" s="1027">
        <v>57500000</v>
      </c>
      <c r="N85" s="1041" t="s">
        <v>729</v>
      </c>
      <c r="O85" s="1041" t="s">
        <v>1784</v>
      </c>
      <c r="P85" s="1041"/>
      <c r="Q85" s="1024"/>
      <c r="R85" s="1019"/>
      <c r="S85" s="1127">
        <v>90</v>
      </c>
      <c r="T85" s="1153">
        <v>57500000</v>
      </c>
    </row>
    <row r="86" spans="1:20" s="992" customFormat="1" ht="63.75" x14ac:dyDescent="0.25">
      <c r="A86" s="1020">
        <v>2022080</v>
      </c>
      <c r="B86" s="1020">
        <v>7655</v>
      </c>
      <c r="C86" s="1020" t="s">
        <v>648</v>
      </c>
      <c r="D86" s="1036" t="s">
        <v>690</v>
      </c>
      <c r="E86" s="1037" t="s">
        <v>781</v>
      </c>
      <c r="F86" s="1023" t="s">
        <v>814</v>
      </c>
      <c r="G86" s="1038">
        <v>44575</v>
      </c>
      <c r="H86" s="1038">
        <v>44575</v>
      </c>
      <c r="I86" s="1039" t="s">
        <v>1782</v>
      </c>
      <c r="J86" s="1040" t="s">
        <v>1783</v>
      </c>
      <c r="K86" s="1024" t="s">
        <v>678</v>
      </c>
      <c r="L86" s="1026" t="s">
        <v>679</v>
      </c>
      <c r="M86" s="1027">
        <v>83950000</v>
      </c>
      <c r="N86" s="1041" t="s">
        <v>729</v>
      </c>
      <c r="O86" s="1041" t="s">
        <v>1784</v>
      </c>
      <c r="P86" s="1041"/>
      <c r="Q86" s="1024"/>
      <c r="R86" s="1019"/>
      <c r="S86" s="1127">
        <v>124</v>
      </c>
      <c r="T86" s="1153">
        <v>83950000</v>
      </c>
    </row>
    <row r="87" spans="1:20" s="992" customFormat="1" ht="63.75" x14ac:dyDescent="0.25">
      <c r="A87" s="1020">
        <v>2022081</v>
      </c>
      <c r="B87" s="1020">
        <v>7655</v>
      </c>
      <c r="C87" s="1020" t="s">
        <v>648</v>
      </c>
      <c r="D87" s="1036" t="s">
        <v>690</v>
      </c>
      <c r="E87" s="1037" t="s">
        <v>781</v>
      </c>
      <c r="F87" s="1023" t="s">
        <v>815</v>
      </c>
      <c r="G87" s="1038">
        <v>44575</v>
      </c>
      <c r="H87" s="1038">
        <v>44575</v>
      </c>
      <c r="I87" s="1039" t="s">
        <v>1782</v>
      </c>
      <c r="J87" s="1040" t="s">
        <v>1783</v>
      </c>
      <c r="K87" s="1024" t="s">
        <v>678</v>
      </c>
      <c r="L87" s="1026" t="s">
        <v>679</v>
      </c>
      <c r="M87" s="1027">
        <v>28175000</v>
      </c>
      <c r="N87" s="1041" t="s">
        <v>729</v>
      </c>
      <c r="O87" s="1041" t="s">
        <v>1784</v>
      </c>
      <c r="P87" s="1041"/>
      <c r="Q87" s="1024"/>
      <c r="R87" s="1019"/>
      <c r="S87" s="1127">
        <v>318</v>
      </c>
      <c r="T87" s="1153">
        <v>28175000</v>
      </c>
    </row>
    <row r="88" spans="1:20" s="992" customFormat="1" ht="63.75" x14ac:dyDescent="0.25">
      <c r="A88" s="1020">
        <v>2022082</v>
      </c>
      <c r="B88" s="1020">
        <v>7655</v>
      </c>
      <c r="C88" s="1020" t="s">
        <v>648</v>
      </c>
      <c r="D88" s="1036" t="s">
        <v>690</v>
      </c>
      <c r="E88" s="1037" t="s">
        <v>781</v>
      </c>
      <c r="F88" s="1023" t="s">
        <v>811</v>
      </c>
      <c r="G88" s="1038">
        <v>44575</v>
      </c>
      <c r="H88" s="1038">
        <v>44575</v>
      </c>
      <c r="I88" s="1039" t="s">
        <v>1782</v>
      </c>
      <c r="J88" s="1040" t="s">
        <v>1783</v>
      </c>
      <c r="K88" s="1024" t="s">
        <v>678</v>
      </c>
      <c r="L88" s="1026" t="s">
        <v>679</v>
      </c>
      <c r="M88" s="1027">
        <v>28175000</v>
      </c>
      <c r="N88" s="1041" t="s">
        <v>729</v>
      </c>
      <c r="O88" s="1041" t="s">
        <v>1784</v>
      </c>
      <c r="P88" s="1041"/>
      <c r="Q88" s="1024"/>
      <c r="R88" s="1019"/>
      <c r="S88" s="1127">
        <v>237</v>
      </c>
      <c r="T88" s="1153">
        <v>28175000</v>
      </c>
    </row>
    <row r="89" spans="1:20" s="992" customFormat="1" ht="63.75" x14ac:dyDescent="0.25">
      <c r="A89" s="1020">
        <v>2022083</v>
      </c>
      <c r="B89" s="1020">
        <v>7655</v>
      </c>
      <c r="C89" s="1020" t="s">
        <v>648</v>
      </c>
      <c r="D89" s="1036" t="s">
        <v>690</v>
      </c>
      <c r="E89" s="1037" t="s">
        <v>781</v>
      </c>
      <c r="F89" s="1023" t="s">
        <v>811</v>
      </c>
      <c r="G89" s="1038">
        <v>44575</v>
      </c>
      <c r="H89" s="1038">
        <v>44575</v>
      </c>
      <c r="I89" s="1039" t="s">
        <v>1782</v>
      </c>
      <c r="J89" s="1040" t="s">
        <v>1783</v>
      </c>
      <c r="K89" s="1024" t="s">
        <v>678</v>
      </c>
      <c r="L89" s="1026" t="s">
        <v>679</v>
      </c>
      <c r="M89" s="1027">
        <v>28175000</v>
      </c>
      <c r="N89" s="1041" t="s">
        <v>729</v>
      </c>
      <c r="O89" s="1041" t="s">
        <v>1784</v>
      </c>
      <c r="P89" s="1041"/>
      <c r="Q89" s="1024"/>
      <c r="R89" s="1019"/>
      <c r="S89" s="1127">
        <v>275</v>
      </c>
      <c r="T89" s="1153">
        <v>28175000</v>
      </c>
    </row>
    <row r="90" spans="1:20" s="992" customFormat="1" ht="63.75" x14ac:dyDescent="0.25">
      <c r="A90" s="1020">
        <v>2022084</v>
      </c>
      <c r="B90" s="1020">
        <v>7655</v>
      </c>
      <c r="C90" s="1020" t="s">
        <v>648</v>
      </c>
      <c r="D90" s="1036" t="s">
        <v>690</v>
      </c>
      <c r="E90" s="1037" t="s">
        <v>781</v>
      </c>
      <c r="F90" s="1023" t="s">
        <v>811</v>
      </c>
      <c r="G90" s="1038">
        <v>44575</v>
      </c>
      <c r="H90" s="1038">
        <v>44575</v>
      </c>
      <c r="I90" s="1039" t="s">
        <v>1782</v>
      </c>
      <c r="J90" s="1040" t="s">
        <v>1783</v>
      </c>
      <c r="K90" s="1024" t="s">
        <v>678</v>
      </c>
      <c r="L90" s="1026" t="s">
        <v>679</v>
      </c>
      <c r="M90" s="1027">
        <v>28175000</v>
      </c>
      <c r="N90" s="1041" t="s">
        <v>729</v>
      </c>
      <c r="O90" s="1041" t="s">
        <v>1784</v>
      </c>
      <c r="P90" s="1041"/>
      <c r="Q90" s="1024"/>
      <c r="R90" s="1019"/>
      <c r="S90" s="1127">
        <v>341</v>
      </c>
      <c r="T90" s="1153">
        <v>28175000</v>
      </c>
    </row>
    <row r="91" spans="1:20" s="992" customFormat="1" ht="63.75" x14ac:dyDescent="0.25">
      <c r="A91" s="1020">
        <v>2022085</v>
      </c>
      <c r="B91" s="1020">
        <v>7655</v>
      </c>
      <c r="C91" s="1020" t="s">
        <v>648</v>
      </c>
      <c r="D91" s="1036" t="s">
        <v>690</v>
      </c>
      <c r="E91" s="1037" t="s">
        <v>781</v>
      </c>
      <c r="F91" s="1023" t="s">
        <v>816</v>
      </c>
      <c r="G91" s="1038">
        <v>44575</v>
      </c>
      <c r="H91" s="1038">
        <v>44575</v>
      </c>
      <c r="I91" s="1039" t="s">
        <v>1782</v>
      </c>
      <c r="J91" s="1040" t="s">
        <v>1783</v>
      </c>
      <c r="K91" s="1024" t="s">
        <v>678</v>
      </c>
      <c r="L91" s="1026" t="s">
        <v>679</v>
      </c>
      <c r="M91" s="1027">
        <v>78200000</v>
      </c>
      <c r="N91" s="1041" t="s">
        <v>729</v>
      </c>
      <c r="O91" s="1041" t="s">
        <v>1784</v>
      </c>
      <c r="P91" s="1041"/>
      <c r="Q91" s="1024"/>
      <c r="R91" s="1019"/>
      <c r="S91" s="1127">
        <v>104</v>
      </c>
      <c r="T91" s="1153">
        <v>78200000</v>
      </c>
    </row>
    <row r="92" spans="1:20" s="992" customFormat="1" ht="63.75" x14ac:dyDescent="0.25">
      <c r="A92" s="1020">
        <v>2022086</v>
      </c>
      <c r="B92" s="1020">
        <v>7655</v>
      </c>
      <c r="C92" s="1020" t="s">
        <v>648</v>
      </c>
      <c r="D92" s="1036" t="s">
        <v>690</v>
      </c>
      <c r="E92" s="1037" t="s">
        <v>781</v>
      </c>
      <c r="F92" s="1023" t="s">
        <v>817</v>
      </c>
      <c r="G92" s="1038">
        <v>44575</v>
      </c>
      <c r="H92" s="1038">
        <v>44575</v>
      </c>
      <c r="I92" s="1039" t="s">
        <v>1782</v>
      </c>
      <c r="J92" s="1040" t="s">
        <v>1783</v>
      </c>
      <c r="K92" s="1024" t="s">
        <v>678</v>
      </c>
      <c r="L92" s="1026" t="s">
        <v>679</v>
      </c>
      <c r="M92" s="1027">
        <v>36800000</v>
      </c>
      <c r="N92" s="1041" t="s">
        <v>729</v>
      </c>
      <c r="O92" s="1041" t="s">
        <v>1784</v>
      </c>
      <c r="P92" s="1041"/>
      <c r="Q92" s="1024"/>
      <c r="R92" s="1019"/>
      <c r="S92" s="1127">
        <v>123</v>
      </c>
      <c r="T92" s="1153">
        <v>36800000</v>
      </c>
    </row>
    <row r="93" spans="1:20" s="992" customFormat="1" ht="76.5" x14ac:dyDescent="0.25">
      <c r="A93" s="1020">
        <v>2022087</v>
      </c>
      <c r="B93" s="1020">
        <v>7655</v>
      </c>
      <c r="C93" s="1020" t="s">
        <v>648</v>
      </c>
      <c r="D93" s="1036" t="s">
        <v>690</v>
      </c>
      <c r="E93" s="1037" t="s">
        <v>781</v>
      </c>
      <c r="F93" s="1023" t="s">
        <v>818</v>
      </c>
      <c r="G93" s="1038">
        <v>44575</v>
      </c>
      <c r="H93" s="1038">
        <v>44575</v>
      </c>
      <c r="I93" s="1039" t="s">
        <v>1782</v>
      </c>
      <c r="J93" s="1040" t="s">
        <v>1783</v>
      </c>
      <c r="K93" s="1024" t="s">
        <v>678</v>
      </c>
      <c r="L93" s="1026" t="s">
        <v>679</v>
      </c>
      <c r="M93" s="1027">
        <v>58650000</v>
      </c>
      <c r="N93" s="1041" t="s">
        <v>729</v>
      </c>
      <c r="O93" s="1041" t="s">
        <v>1784</v>
      </c>
      <c r="P93" s="1041"/>
      <c r="Q93" s="1024"/>
      <c r="R93" s="1019"/>
      <c r="S93" s="1127">
        <v>132</v>
      </c>
      <c r="T93" s="1153">
        <v>58650000</v>
      </c>
    </row>
    <row r="94" spans="1:20" s="992" customFormat="1" ht="63.75" x14ac:dyDescent="0.25">
      <c r="A94" s="1020">
        <v>2022088</v>
      </c>
      <c r="B94" s="1020">
        <v>7655</v>
      </c>
      <c r="C94" s="1020" t="s">
        <v>648</v>
      </c>
      <c r="D94" s="1036" t="s">
        <v>690</v>
      </c>
      <c r="E94" s="1037" t="s">
        <v>781</v>
      </c>
      <c r="F94" s="1023" t="s">
        <v>819</v>
      </c>
      <c r="G94" s="1038">
        <v>44575</v>
      </c>
      <c r="H94" s="1038">
        <v>44575</v>
      </c>
      <c r="I94" s="1039" t="s">
        <v>1782</v>
      </c>
      <c r="J94" s="1040" t="s">
        <v>1783</v>
      </c>
      <c r="K94" s="1024" t="s">
        <v>678</v>
      </c>
      <c r="L94" s="1026" t="s">
        <v>679</v>
      </c>
      <c r="M94" s="1027">
        <v>38525000</v>
      </c>
      <c r="N94" s="1041" t="s">
        <v>729</v>
      </c>
      <c r="O94" s="1041" t="s">
        <v>1784</v>
      </c>
      <c r="P94" s="1041"/>
      <c r="Q94" s="1024"/>
      <c r="R94" s="1019"/>
      <c r="S94" s="1127">
        <v>72</v>
      </c>
      <c r="T94" s="1153">
        <v>38525000</v>
      </c>
    </row>
    <row r="95" spans="1:20" s="992" customFormat="1" ht="76.5" x14ac:dyDescent="0.25">
      <c r="A95" s="1020">
        <v>2022089</v>
      </c>
      <c r="B95" s="1020">
        <v>7655</v>
      </c>
      <c r="C95" s="1020" t="s">
        <v>648</v>
      </c>
      <c r="D95" s="1036" t="s">
        <v>690</v>
      </c>
      <c r="E95" s="1037" t="s">
        <v>781</v>
      </c>
      <c r="F95" s="1023" t="s">
        <v>820</v>
      </c>
      <c r="G95" s="1038">
        <v>44575</v>
      </c>
      <c r="H95" s="1038">
        <v>44575</v>
      </c>
      <c r="I95" s="1039" t="s">
        <v>1782</v>
      </c>
      <c r="J95" s="1040" t="s">
        <v>1783</v>
      </c>
      <c r="K95" s="1024" t="s">
        <v>678</v>
      </c>
      <c r="L95" s="1026" t="s">
        <v>679</v>
      </c>
      <c r="M95" s="1027">
        <v>48300000</v>
      </c>
      <c r="N95" s="1041" t="s">
        <v>729</v>
      </c>
      <c r="O95" s="1041" t="s">
        <v>1784</v>
      </c>
      <c r="P95" s="1041"/>
      <c r="Q95" s="1024"/>
      <c r="R95" s="1019"/>
      <c r="S95" s="1127">
        <v>71</v>
      </c>
      <c r="T95" s="1153">
        <v>48300000</v>
      </c>
    </row>
    <row r="96" spans="1:20" s="992" customFormat="1" ht="63.75" x14ac:dyDescent="0.25">
      <c r="A96" s="1010">
        <v>2022090</v>
      </c>
      <c r="B96" s="1010">
        <v>7655</v>
      </c>
      <c r="C96" s="1010" t="s">
        <v>648</v>
      </c>
      <c r="D96" s="1042" t="s">
        <v>690</v>
      </c>
      <c r="E96" s="1043" t="s">
        <v>781</v>
      </c>
      <c r="F96" s="1013" t="s">
        <v>1797</v>
      </c>
      <c r="G96" s="1044">
        <v>44575</v>
      </c>
      <c r="H96" s="1044">
        <v>44575</v>
      </c>
      <c r="I96" s="1045" t="s">
        <v>1785</v>
      </c>
      <c r="J96" s="1046" t="s">
        <v>1783</v>
      </c>
      <c r="K96" s="1014" t="s">
        <v>678</v>
      </c>
      <c r="L96" s="1016" t="s">
        <v>679</v>
      </c>
      <c r="M96" s="1017">
        <v>36000000</v>
      </c>
      <c r="N96" s="1047" t="s">
        <v>729</v>
      </c>
      <c r="O96" s="1047" t="s">
        <v>1784</v>
      </c>
      <c r="P96" s="1047"/>
      <c r="Q96" s="1014"/>
      <c r="R96" s="1019"/>
      <c r="S96" s="1127"/>
      <c r="T96" s="1153"/>
    </row>
    <row r="97" spans="1:20" s="992" customFormat="1" ht="76.5" x14ac:dyDescent="0.25">
      <c r="A97" s="1020">
        <v>2022091</v>
      </c>
      <c r="B97" s="1020">
        <v>7655</v>
      </c>
      <c r="C97" s="1020" t="s">
        <v>648</v>
      </c>
      <c r="D97" s="1036" t="s">
        <v>690</v>
      </c>
      <c r="E97" s="1037" t="s">
        <v>781</v>
      </c>
      <c r="F97" s="1023" t="s">
        <v>821</v>
      </c>
      <c r="G97" s="1038">
        <v>44575</v>
      </c>
      <c r="H97" s="1038">
        <v>44575</v>
      </c>
      <c r="I97" s="1039" t="s">
        <v>1782</v>
      </c>
      <c r="J97" s="1040" t="s">
        <v>1783</v>
      </c>
      <c r="K97" s="1024" t="s">
        <v>678</v>
      </c>
      <c r="L97" s="1026" t="s">
        <v>679</v>
      </c>
      <c r="M97" s="1027">
        <v>80500000</v>
      </c>
      <c r="N97" s="1041" t="s">
        <v>729</v>
      </c>
      <c r="O97" s="1041" t="s">
        <v>1784</v>
      </c>
      <c r="P97" s="1041"/>
      <c r="Q97" s="1024"/>
      <c r="R97" s="1019"/>
      <c r="S97" s="1127">
        <v>434</v>
      </c>
      <c r="T97" s="1153">
        <v>80500000</v>
      </c>
    </row>
    <row r="98" spans="1:20" s="992" customFormat="1" ht="63.75" x14ac:dyDescent="0.25">
      <c r="A98" s="1020">
        <v>2022092</v>
      </c>
      <c r="B98" s="1020">
        <v>7655</v>
      </c>
      <c r="C98" s="1020" t="s">
        <v>648</v>
      </c>
      <c r="D98" s="1036" t="s">
        <v>690</v>
      </c>
      <c r="E98" s="1037" t="s">
        <v>781</v>
      </c>
      <c r="F98" s="1023" t="s">
        <v>822</v>
      </c>
      <c r="G98" s="1038">
        <v>44575</v>
      </c>
      <c r="H98" s="1038">
        <v>44575</v>
      </c>
      <c r="I98" s="1039" t="s">
        <v>1782</v>
      </c>
      <c r="J98" s="1040" t="s">
        <v>1783</v>
      </c>
      <c r="K98" s="1024" t="s">
        <v>678</v>
      </c>
      <c r="L98" s="1026" t="s">
        <v>679</v>
      </c>
      <c r="M98" s="1027">
        <v>28175000</v>
      </c>
      <c r="N98" s="1041" t="s">
        <v>729</v>
      </c>
      <c r="O98" s="1041" t="s">
        <v>1784</v>
      </c>
      <c r="P98" s="1041"/>
      <c r="Q98" s="1024"/>
      <c r="R98" s="1019"/>
      <c r="S98" s="1127">
        <v>213</v>
      </c>
      <c r="T98" s="1153">
        <v>28175000</v>
      </c>
    </row>
    <row r="99" spans="1:20" s="992" customFormat="1" ht="63.75" x14ac:dyDescent="0.25">
      <c r="A99" s="1020">
        <v>2022093</v>
      </c>
      <c r="B99" s="1020">
        <v>7655</v>
      </c>
      <c r="C99" s="1020" t="s">
        <v>648</v>
      </c>
      <c r="D99" s="1036" t="s">
        <v>690</v>
      </c>
      <c r="E99" s="1037" t="s">
        <v>781</v>
      </c>
      <c r="F99" s="1023" t="s">
        <v>823</v>
      </c>
      <c r="G99" s="1038">
        <v>44575</v>
      </c>
      <c r="H99" s="1038">
        <v>44575</v>
      </c>
      <c r="I99" s="1039" t="s">
        <v>1782</v>
      </c>
      <c r="J99" s="1040" t="s">
        <v>1783</v>
      </c>
      <c r="K99" s="1024" t="s">
        <v>678</v>
      </c>
      <c r="L99" s="1026" t="s">
        <v>679</v>
      </c>
      <c r="M99" s="1027">
        <v>48300000</v>
      </c>
      <c r="N99" s="1041" t="s">
        <v>729</v>
      </c>
      <c r="O99" s="1041" t="s">
        <v>1784</v>
      </c>
      <c r="P99" s="1041"/>
      <c r="Q99" s="1024"/>
      <c r="R99" s="1019"/>
      <c r="S99" s="1127">
        <v>91</v>
      </c>
      <c r="T99" s="1153">
        <v>48300000</v>
      </c>
    </row>
    <row r="100" spans="1:20" s="992" customFormat="1" ht="63.75" x14ac:dyDescent="0.25">
      <c r="A100" s="1020">
        <v>2022094</v>
      </c>
      <c r="B100" s="1020">
        <v>7655</v>
      </c>
      <c r="C100" s="1020" t="s">
        <v>648</v>
      </c>
      <c r="D100" s="1036" t="s">
        <v>690</v>
      </c>
      <c r="E100" s="1037" t="s">
        <v>781</v>
      </c>
      <c r="F100" s="1023" t="s">
        <v>822</v>
      </c>
      <c r="G100" s="1038">
        <v>44575</v>
      </c>
      <c r="H100" s="1038">
        <v>44575</v>
      </c>
      <c r="I100" s="1039" t="s">
        <v>1782</v>
      </c>
      <c r="J100" s="1040" t="s">
        <v>1783</v>
      </c>
      <c r="K100" s="1024" t="s">
        <v>678</v>
      </c>
      <c r="L100" s="1026" t="s">
        <v>679</v>
      </c>
      <c r="M100" s="1027">
        <v>28175000</v>
      </c>
      <c r="N100" s="1041" t="s">
        <v>729</v>
      </c>
      <c r="O100" s="1041" t="s">
        <v>1784</v>
      </c>
      <c r="P100" s="1041"/>
      <c r="Q100" s="1024"/>
      <c r="R100" s="1019"/>
      <c r="S100" s="1127">
        <v>94</v>
      </c>
      <c r="T100" s="1153">
        <v>28175000</v>
      </c>
    </row>
    <row r="101" spans="1:20" s="992" customFormat="1" ht="63.75" x14ac:dyDescent="0.25">
      <c r="A101" s="1020">
        <v>2022095</v>
      </c>
      <c r="B101" s="1020">
        <v>7655</v>
      </c>
      <c r="C101" s="1020" t="s">
        <v>648</v>
      </c>
      <c r="D101" s="1036" t="s">
        <v>690</v>
      </c>
      <c r="E101" s="1037" t="s">
        <v>781</v>
      </c>
      <c r="F101" s="1023" t="s">
        <v>824</v>
      </c>
      <c r="G101" s="1038">
        <v>44575</v>
      </c>
      <c r="H101" s="1038">
        <v>44575</v>
      </c>
      <c r="I101" s="1039" t="s">
        <v>1782</v>
      </c>
      <c r="J101" s="1040" t="s">
        <v>1783</v>
      </c>
      <c r="K101" s="1024" t="s">
        <v>678</v>
      </c>
      <c r="L101" s="1026" t="s">
        <v>679</v>
      </c>
      <c r="M101" s="1027">
        <v>31625000</v>
      </c>
      <c r="N101" s="1041" t="s">
        <v>729</v>
      </c>
      <c r="O101" s="1041" t="s">
        <v>1784</v>
      </c>
      <c r="P101" s="1041"/>
      <c r="Q101" s="1024"/>
      <c r="R101" s="1019"/>
      <c r="S101" s="1127">
        <v>316</v>
      </c>
      <c r="T101" s="1153">
        <v>31625000</v>
      </c>
    </row>
    <row r="102" spans="1:20" s="992" customFormat="1" ht="63.75" x14ac:dyDescent="0.25">
      <c r="A102" s="1020">
        <v>2022096</v>
      </c>
      <c r="B102" s="1020">
        <v>7655</v>
      </c>
      <c r="C102" s="1020" t="s">
        <v>648</v>
      </c>
      <c r="D102" s="1036" t="s">
        <v>690</v>
      </c>
      <c r="E102" s="1037" t="s">
        <v>781</v>
      </c>
      <c r="F102" s="1023" t="s">
        <v>825</v>
      </c>
      <c r="G102" s="1038">
        <v>44575</v>
      </c>
      <c r="H102" s="1038">
        <v>44575</v>
      </c>
      <c r="I102" s="1039" t="s">
        <v>1782</v>
      </c>
      <c r="J102" s="1040" t="s">
        <v>1783</v>
      </c>
      <c r="K102" s="1024" t="s">
        <v>678</v>
      </c>
      <c r="L102" s="1026" t="s">
        <v>679</v>
      </c>
      <c r="M102" s="1027">
        <v>69000000</v>
      </c>
      <c r="N102" s="1041" t="s">
        <v>729</v>
      </c>
      <c r="O102" s="1041" t="s">
        <v>1784</v>
      </c>
      <c r="P102" s="1041"/>
      <c r="Q102" s="1024"/>
      <c r="R102" s="1019"/>
      <c r="S102" s="1127">
        <v>130</v>
      </c>
      <c r="T102" s="1153">
        <v>69000000</v>
      </c>
    </row>
    <row r="103" spans="1:20" s="992" customFormat="1" ht="63.75" x14ac:dyDescent="0.25">
      <c r="A103" s="1020">
        <v>2022097</v>
      </c>
      <c r="B103" s="1020">
        <v>7655</v>
      </c>
      <c r="C103" s="1020" t="s">
        <v>648</v>
      </c>
      <c r="D103" s="1036" t="s">
        <v>690</v>
      </c>
      <c r="E103" s="1037" t="s">
        <v>781</v>
      </c>
      <c r="F103" s="1023" t="s">
        <v>822</v>
      </c>
      <c r="G103" s="1038">
        <v>44575</v>
      </c>
      <c r="H103" s="1038">
        <v>44575</v>
      </c>
      <c r="I103" s="1039" t="s">
        <v>1782</v>
      </c>
      <c r="J103" s="1040" t="s">
        <v>1783</v>
      </c>
      <c r="K103" s="1024" t="s">
        <v>678</v>
      </c>
      <c r="L103" s="1026" t="s">
        <v>679</v>
      </c>
      <c r="M103" s="1027">
        <v>24150000</v>
      </c>
      <c r="N103" s="1041" t="s">
        <v>729</v>
      </c>
      <c r="O103" s="1041" t="s">
        <v>1784</v>
      </c>
      <c r="P103" s="1041"/>
      <c r="Q103" s="1024"/>
      <c r="R103" s="1019"/>
      <c r="S103" s="1127">
        <v>112</v>
      </c>
      <c r="T103" s="1153">
        <v>24150000</v>
      </c>
    </row>
    <row r="104" spans="1:20" s="992" customFormat="1" ht="63.75" x14ac:dyDescent="0.25">
      <c r="A104" s="1020">
        <v>2022098</v>
      </c>
      <c r="B104" s="1020">
        <v>7655</v>
      </c>
      <c r="C104" s="1020" t="s">
        <v>648</v>
      </c>
      <c r="D104" s="1036" t="s">
        <v>690</v>
      </c>
      <c r="E104" s="1037" t="s">
        <v>781</v>
      </c>
      <c r="F104" s="1023" t="s">
        <v>822</v>
      </c>
      <c r="G104" s="1038">
        <v>44575</v>
      </c>
      <c r="H104" s="1038">
        <v>44575</v>
      </c>
      <c r="I104" s="1039" t="s">
        <v>1782</v>
      </c>
      <c r="J104" s="1040" t="s">
        <v>1783</v>
      </c>
      <c r="K104" s="1024" t="s">
        <v>678</v>
      </c>
      <c r="L104" s="1026" t="s">
        <v>679</v>
      </c>
      <c r="M104" s="1027">
        <v>28175000</v>
      </c>
      <c r="N104" s="1041" t="s">
        <v>729</v>
      </c>
      <c r="O104" s="1041" t="s">
        <v>1784</v>
      </c>
      <c r="P104" s="1041"/>
      <c r="Q104" s="1024"/>
      <c r="R104" s="1019"/>
      <c r="S104" s="1127">
        <v>121</v>
      </c>
      <c r="T104" s="1153">
        <v>28175000</v>
      </c>
    </row>
    <row r="105" spans="1:20" s="992" customFormat="1" ht="63.75" x14ac:dyDescent="0.25">
      <c r="A105" s="1020">
        <v>2022099</v>
      </c>
      <c r="B105" s="1020">
        <v>7655</v>
      </c>
      <c r="C105" s="1020" t="s">
        <v>648</v>
      </c>
      <c r="D105" s="1036" t="s">
        <v>690</v>
      </c>
      <c r="E105" s="1037" t="s">
        <v>781</v>
      </c>
      <c r="F105" s="1023" t="s">
        <v>822</v>
      </c>
      <c r="G105" s="1038">
        <v>44575</v>
      </c>
      <c r="H105" s="1038">
        <v>44575</v>
      </c>
      <c r="I105" s="1039" t="s">
        <v>1782</v>
      </c>
      <c r="J105" s="1040" t="s">
        <v>1783</v>
      </c>
      <c r="K105" s="1024" t="s">
        <v>678</v>
      </c>
      <c r="L105" s="1026" t="s">
        <v>679</v>
      </c>
      <c r="M105" s="1027">
        <v>28175000</v>
      </c>
      <c r="N105" s="1041" t="s">
        <v>729</v>
      </c>
      <c r="O105" s="1041" t="s">
        <v>1784</v>
      </c>
      <c r="P105" s="1041"/>
      <c r="Q105" s="1024"/>
      <c r="R105" s="1019"/>
      <c r="S105" s="1127">
        <v>73</v>
      </c>
      <c r="T105" s="1153">
        <v>28175000</v>
      </c>
    </row>
    <row r="106" spans="1:20" s="992" customFormat="1" ht="89.25" x14ac:dyDescent="0.25">
      <c r="A106" s="1020">
        <v>2022100</v>
      </c>
      <c r="B106" s="1020">
        <v>7655</v>
      </c>
      <c r="C106" s="1020" t="s">
        <v>648</v>
      </c>
      <c r="D106" s="1036" t="s">
        <v>690</v>
      </c>
      <c r="E106" s="1037" t="s">
        <v>781</v>
      </c>
      <c r="F106" s="1023" t="s">
        <v>826</v>
      </c>
      <c r="G106" s="1038">
        <v>44575</v>
      </c>
      <c r="H106" s="1038">
        <v>44575</v>
      </c>
      <c r="I106" s="1039" t="s">
        <v>1782</v>
      </c>
      <c r="J106" s="1040" t="s">
        <v>1783</v>
      </c>
      <c r="K106" s="1024" t="s">
        <v>678</v>
      </c>
      <c r="L106" s="1026" t="s">
        <v>783</v>
      </c>
      <c r="M106" s="1027">
        <v>63250000</v>
      </c>
      <c r="N106" s="1041" t="s">
        <v>729</v>
      </c>
      <c r="O106" s="1041" t="s">
        <v>1784</v>
      </c>
      <c r="P106" s="1041"/>
      <c r="Q106" s="1024"/>
      <c r="R106" s="1019"/>
      <c r="S106" s="1127">
        <v>267</v>
      </c>
      <c r="T106" s="1153">
        <v>63250000</v>
      </c>
    </row>
    <row r="107" spans="1:20" s="992" customFormat="1" ht="89.25" x14ac:dyDescent="0.25">
      <c r="A107" s="1020">
        <v>2022101</v>
      </c>
      <c r="B107" s="1020">
        <v>7655</v>
      </c>
      <c r="C107" s="1020" t="s">
        <v>648</v>
      </c>
      <c r="D107" s="1036" t="s">
        <v>690</v>
      </c>
      <c r="E107" s="1037" t="s">
        <v>781</v>
      </c>
      <c r="F107" s="1023" t="s">
        <v>827</v>
      </c>
      <c r="G107" s="1038">
        <v>44575</v>
      </c>
      <c r="H107" s="1038">
        <v>44575</v>
      </c>
      <c r="I107" s="1039" t="s">
        <v>1782</v>
      </c>
      <c r="J107" s="1040" t="s">
        <v>1783</v>
      </c>
      <c r="K107" s="1024" t="s">
        <v>678</v>
      </c>
      <c r="L107" s="1026" t="s">
        <v>783</v>
      </c>
      <c r="M107" s="1027">
        <v>63250000</v>
      </c>
      <c r="N107" s="1041" t="s">
        <v>729</v>
      </c>
      <c r="O107" s="1041" t="s">
        <v>1784</v>
      </c>
      <c r="P107" s="1041"/>
      <c r="Q107" s="1024"/>
      <c r="R107" s="1019"/>
      <c r="S107" s="1127">
        <v>362</v>
      </c>
      <c r="T107" s="1153">
        <v>63250000</v>
      </c>
    </row>
    <row r="108" spans="1:20" s="992" customFormat="1" ht="63.75" x14ac:dyDescent="0.25">
      <c r="A108" s="1010">
        <v>2022102</v>
      </c>
      <c r="B108" s="1010">
        <v>7655</v>
      </c>
      <c r="C108" s="1010" t="s">
        <v>648</v>
      </c>
      <c r="D108" s="1042" t="s">
        <v>690</v>
      </c>
      <c r="E108" s="1043" t="s">
        <v>97</v>
      </c>
      <c r="F108" s="1049" t="s">
        <v>1798</v>
      </c>
      <c r="G108" s="1044" t="s">
        <v>97</v>
      </c>
      <c r="H108" s="1044" t="s">
        <v>97</v>
      </c>
      <c r="I108" s="1044" t="s">
        <v>97</v>
      </c>
      <c r="J108" s="1046" t="s">
        <v>1783</v>
      </c>
      <c r="K108" s="1014" t="s">
        <v>678</v>
      </c>
      <c r="L108" s="1016" t="s">
        <v>679</v>
      </c>
      <c r="M108" s="1017">
        <v>138627500</v>
      </c>
      <c r="N108" s="1047" t="s">
        <v>729</v>
      </c>
      <c r="O108" s="1047" t="s">
        <v>1784</v>
      </c>
      <c r="P108" s="1047"/>
      <c r="Q108" s="1014"/>
      <c r="R108" s="1019"/>
      <c r="S108" s="1127"/>
      <c r="T108" s="1153"/>
    </row>
    <row r="109" spans="1:20" s="992" customFormat="1" ht="63.75" x14ac:dyDescent="0.25">
      <c r="A109" s="1020">
        <v>2022103</v>
      </c>
      <c r="B109" s="1020">
        <v>7655</v>
      </c>
      <c r="C109" s="1020" t="s">
        <v>648</v>
      </c>
      <c r="D109" s="1036" t="s">
        <v>690</v>
      </c>
      <c r="E109" s="1037" t="s">
        <v>781</v>
      </c>
      <c r="F109" s="1023" t="s">
        <v>828</v>
      </c>
      <c r="G109" s="1038">
        <v>44575</v>
      </c>
      <c r="H109" s="1038">
        <v>44575</v>
      </c>
      <c r="I109" s="1039" t="s">
        <v>1786</v>
      </c>
      <c r="J109" s="1040" t="s">
        <v>1783</v>
      </c>
      <c r="K109" s="1024" t="s">
        <v>678</v>
      </c>
      <c r="L109" s="1026" t="s">
        <v>679</v>
      </c>
      <c r="M109" s="1027">
        <v>31500000</v>
      </c>
      <c r="N109" s="1041" t="s">
        <v>729</v>
      </c>
      <c r="O109" s="1041" t="s">
        <v>1784</v>
      </c>
      <c r="P109" s="1041"/>
      <c r="Q109" s="1024"/>
      <c r="R109" s="1019"/>
      <c r="S109" s="1127">
        <v>289</v>
      </c>
      <c r="T109" s="1153">
        <v>31500000</v>
      </c>
    </row>
    <row r="110" spans="1:20" s="992" customFormat="1" ht="63.75" x14ac:dyDescent="0.25">
      <c r="A110" s="1020">
        <v>2022104</v>
      </c>
      <c r="B110" s="1020">
        <v>7655</v>
      </c>
      <c r="C110" s="1020" t="s">
        <v>648</v>
      </c>
      <c r="D110" s="1036" t="s">
        <v>690</v>
      </c>
      <c r="E110" s="1037" t="s">
        <v>781</v>
      </c>
      <c r="F110" s="1023" t="s">
        <v>829</v>
      </c>
      <c r="G110" s="1038">
        <v>44575</v>
      </c>
      <c r="H110" s="1038">
        <v>44575</v>
      </c>
      <c r="I110" s="1039" t="s">
        <v>1782</v>
      </c>
      <c r="J110" s="1040" t="s">
        <v>1783</v>
      </c>
      <c r="K110" s="1024" t="s">
        <v>678</v>
      </c>
      <c r="L110" s="1026" t="s">
        <v>679</v>
      </c>
      <c r="M110" s="1027">
        <v>38525000</v>
      </c>
      <c r="N110" s="1041" t="s">
        <v>729</v>
      </c>
      <c r="O110" s="1041" t="s">
        <v>1784</v>
      </c>
      <c r="P110" s="1041"/>
      <c r="Q110" s="1024"/>
      <c r="R110" s="1019"/>
      <c r="S110" s="1127">
        <v>204</v>
      </c>
      <c r="T110" s="1153">
        <v>38525000</v>
      </c>
    </row>
    <row r="111" spans="1:20" s="992" customFormat="1" ht="63.75" x14ac:dyDescent="0.25">
      <c r="A111" s="1020">
        <v>2022105</v>
      </c>
      <c r="B111" s="1020">
        <v>7655</v>
      </c>
      <c r="C111" s="1020" t="s">
        <v>648</v>
      </c>
      <c r="D111" s="1036" t="s">
        <v>690</v>
      </c>
      <c r="E111" s="1037" t="s">
        <v>781</v>
      </c>
      <c r="F111" s="1023" t="s">
        <v>829</v>
      </c>
      <c r="G111" s="1038">
        <v>44575</v>
      </c>
      <c r="H111" s="1038">
        <v>44575</v>
      </c>
      <c r="I111" s="1039" t="s">
        <v>1782</v>
      </c>
      <c r="J111" s="1040" t="s">
        <v>1783</v>
      </c>
      <c r="K111" s="1024" t="s">
        <v>678</v>
      </c>
      <c r="L111" s="1026" t="s">
        <v>679</v>
      </c>
      <c r="M111" s="1027">
        <v>28175000</v>
      </c>
      <c r="N111" s="1041" t="s">
        <v>729</v>
      </c>
      <c r="O111" s="1041" t="s">
        <v>1784</v>
      </c>
      <c r="P111" s="1041"/>
      <c r="Q111" s="1024"/>
      <c r="R111" s="1019"/>
      <c r="S111" s="1127">
        <v>256</v>
      </c>
      <c r="T111" s="1153">
        <v>28175000</v>
      </c>
    </row>
    <row r="112" spans="1:20" s="992" customFormat="1" ht="63.75" x14ac:dyDescent="0.25">
      <c r="A112" s="1020">
        <v>2022106</v>
      </c>
      <c r="B112" s="1020">
        <v>7655</v>
      </c>
      <c r="C112" s="1020" t="s">
        <v>648</v>
      </c>
      <c r="D112" s="1036" t="s">
        <v>690</v>
      </c>
      <c r="E112" s="1037" t="s">
        <v>781</v>
      </c>
      <c r="F112" s="1023" t="s">
        <v>830</v>
      </c>
      <c r="G112" s="1038">
        <v>44575</v>
      </c>
      <c r="H112" s="1038">
        <v>44575</v>
      </c>
      <c r="I112" s="1039" t="s">
        <v>1782</v>
      </c>
      <c r="J112" s="1040" t="s">
        <v>1783</v>
      </c>
      <c r="K112" s="1024" t="s">
        <v>678</v>
      </c>
      <c r="L112" s="1026" t="s">
        <v>679</v>
      </c>
      <c r="M112" s="1027">
        <v>44275000</v>
      </c>
      <c r="N112" s="1041" t="s">
        <v>729</v>
      </c>
      <c r="O112" s="1041" t="s">
        <v>1784</v>
      </c>
      <c r="P112" s="1041"/>
      <c r="Q112" s="1024"/>
      <c r="R112" s="1019"/>
      <c r="S112" s="1127">
        <v>219</v>
      </c>
      <c r="T112" s="1153">
        <v>44275000</v>
      </c>
    </row>
    <row r="113" spans="1:20" s="992" customFormat="1" ht="76.5" x14ac:dyDescent="0.25">
      <c r="A113" s="1020">
        <v>2022107</v>
      </c>
      <c r="B113" s="1020">
        <v>7655</v>
      </c>
      <c r="C113" s="1020" t="s">
        <v>648</v>
      </c>
      <c r="D113" s="1036" t="s">
        <v>690</v>
      </c>
      <c r="E113" s="1037" t="s">
        <v>781</v>
      </c>
      <c r="F113" s="1023" t="s">
        <v>831</v>
      </c>
      <c r="G113" s="1038">
        <v>44575</v>
      </c>
      <c r="H113" s="1038">
        <v>44575</v>
      </c>
      <c r="I113" s="1039" t="s">
        <v>1786</v>
      </c>
      <c r="J113" s="1040" t="s">
        <v>1783</v>
      </c>
      <c r="K113" s="1024" t="s">
        <v>678</v>
      </c>
      <c r="L113" s="1026" t="s">
        <v>679</v>
      </c>
      <c r="M113" s="1027">
        <v>31500000</v>
      </c>
      <c r="N113" s="1041" t="s">
        <v>729</v>
      </c>
      <c r="O113" s="1041" t="s">
        <v>1784</v>
      </c>
      <c r="P113" s="1041"/>
      <c r="Q113" s="1024"/>
      <c r="R113" s="1019"/>
      <c r="S113" s="1127">
        <v>374</v>
      </c>
      <c r="T113" s="1153">
        <v>31500000</v>
      </c>
    </row>
    <row r="114" spans="1:20" s="992" customFormat="1" ht="63.75" x14ac:dyDescent="0.25">
      <c r="A114" s="1020">
        <v>2022108</v>
      </c>
      <c r="B114" s="1020">
        <v>7655</v>
      </c>
      <c r="C114" s="1020" t="s">
        <v>648</v>
      </c>
      <c r="D114" s="1036" t="s">
        <v>690</v>
      </c>
      <c r="E114" s="1037" t="s">
        <v>781</v>
      </c>
      <c r="F114" s="1023" t="s">
        <v>832</v>
      </c>
      <c r="G114" s="1038">
        <v>44575</v>
      </c>
      <c r="H114" s="1038">
        <v>44575</v>
      </c>
      <c r="I114" s="1039" t="s">
        <v>1793</v>
      </c>
      <c r="J114" s="1040" t="s">
        <v>1783</v>
      </c>
      <c r="K114" s="1024" t="s">
        <v>678</v>
      </c>
      <c r="L114" s="1026" t="s">
        <v>679</v>
      </c>
      <c r="M114" s="1027">
        <v>29400000</v>
      </c>
      <c r="N114" s="1041" t="s">
        <v>729</v>
      </c>
      <c r="O114" s="1041" t="s">
        <v>1784</v>
      </c>
      <c r="P114" s="1041"/>
      <c r="Q114" s="1024"/>
      <c r="R114" s="1019"/>
      <c r="S114" s="1127">
        <v>258</v>
      </c>
      <c r="T114" s="1153">
        <v>29400000</v>
      </c>
    </row>
    <row r="115" spans="1:20" s="992" customFormat="1" ht="63.75" x14ac:dyDescent="0.25">
      <c r="A115" s="1020">
        <v>2022109</v>
      </c>
      <c r="B115" s="1020">
        <v>7655</v>
      </c>
      <c r="C115" s="1020" t="s">
        <v>648</v>
      </c>
      <c r="D115" s="1036" t="s">
        <v>690</v>
      </c>
      <c r="E115" s="1037" t="s">
        <v>781</v>
      </c>
      <c r="F115" s="1023" t="s">
        <v>833</v>
      </c>
      <c r="G115" s="1038">
        <v>44575</v>
      </c>
      <c r="H115" s="1038">
        <v>44575</v>
      </c>
      <c r="I115" s="1039" t="s">
        <v>1793</v>
      </c>
      <c r="J115" s="1040" t="s">
        <v>1783</v>
      </c>
      <c r="K115" s="1024" t="s">
        <v>678</v>
      </c>
      <c r="L115" s="1026" t="s">
        <v>679</v>
      </c>
      <c r="M115" s="1027">
        <v>84000000</v>
      </c>
      <c r="N115" s="1041" t="s">
        <v>729</v>
      </c>
      <c r="O115" s="1041" t="s">
        <v>1784</v>
      </c>
      <c r="P115" s="1041"/>
      <c r="Q115" s="1024"/>
      <c r="R115" s="1019"/>
      <c r="S115" s="1127">
        <v>149</v>
      </c>
      <c r="T115" s="1153">
        <v>84000000</v>
      </c>
    </row>
    <row r="116" spans="1:20" s="992" customFormat="1" ht="63.75" x14ac:dyDescent="0.25">
      <c r="A116" s="1020">
        <v>2022110</v>
      </c>
      <c r="B116" s="1020">
        <v>7655</v>
      </c>
      <c r="C116" s="1020" t="s">
        <v>648</v>
      </c>
      <c r="D116" s="1036" t="s">
        <v>690</v>
      </c>
      <c r="E116" s="1037" t="s">
        <v>781</v>
      </c>
      <c r="F116" s="1023" t="s">
        <v>834</v>
      </c>
      <c r="G116" s="1038">
        <v>44575</v>
      </c>
      <c r="H116" s="1038">
        <v>44575</v>
      </c>
      <c r="I116" s="1039" t="s">
        <v>1793</v>
      </c>
      <c r="J116" s="1040" t="s">
        <v>1783</v>
      </c>
      <c r="K116" s="1024" t="s">
        <v>678</v>
      </c>
      <c r="L116" s="1026" t="s">
        <v>679</v>
      </c>
      <c r="M116" s="1027">
        <v>40200000</v>
      </c>
      <c r="N116" s="1041" t="s">
        <v>729</v>
      </c>
      <c r="O116" s="1041" t="s">
        <v>1784</v>
      </c>
      <c r="P116" s="1041"/>
      <c r="Q116" s="1024"/>
      <c r="R116" s="1019"/>
      <c r="S116" s="1127">
        <v>431</v>
      </c>
      <c r="T116" s="1153">
        <v>29400000</v>
      </c>
    </row>
    <row r="117" spans="1:20" s="992" customFormat="1" ht="63.75" x14ac:dyDescent="0.25">
      <c r="A117" s="1020">
        <v>2022111</v>
      </c>
      <c r="B117" s="1020">
        <v>7655</v>
      </c>
      <c r="C117" s="1020" t="s">
        <v>648</v>
      </c>
      <c r="D117" s="1036" t="s">
        <v>690</v>
      </c>
      <c r="E117" s="1037" t="s">
        <v>781</v>
      </c>
      <c r="F117" s="1023" t="s">
        <v>832</v>
      </c>
      <c r="G117" s="1038">
        <v>44575</v>
      </c>
      <c r="H117" s="1038">
        <v>44575</v>
      </c>
      <c r="I117" s="1039" t="s">
        <v>1793</v>
      </c>
      <c r="J117" s="1040" t="s">
        <v>1783</v>
      </c>
      <c r="K117" s="1024" t="s">
        <v>678</v>
      </c>
      <c r="L117" s="1026" t="s">
        <v>679</v>
      </c>
      <c r="M117" s="1027">
        <v>29400000</v>
      </c>
      <c r="N117" s="1041" t="s">
        <v>729</v>
      </c>
      <c r="O117" s="1041" t="s">
        <v>1784</v>
      </c>
      <c r="P117" s="1041"/>
      <c r="Q117" s="1024"/>
      <c r="R117" s="1019"/>
      <c r="S117" s="1127">
        <v>185</v>
      </c>
      <c r="T117" s="1153">
        <v>29400000</v>
      </c>
    </row>
    <row r="118" spans="1:20" s="992" customFormat="1" ht="63.75" x14ac:dyDescent="0.25">
      <c r="A118" s="1020">
        <v>2022112</v>
      </c>
      <c r="B118" s="1020">
        <v>7655</v>
      </c>
      <c r="C118" s="1020" t="s">
        <v>648</v>
      </c>
      <c r="D118" s="1036" t="s">
        <v>690</v>
      </c>
      <c r="E118" s="1037" t="s">
        <v>781</v>
      </c>
      <c r="F118" s="1023" t="s">
        <v>835</v>
      </c>
      <c r="G118" s="1038">
        <v>44575</v>
      </c>
      <c r="H118" s="1038">
        <v>44575</v>
      </c>
      <c r="I118" s="1039" t="s">
        <v>1793</v>
      </c>
      <c r="J118" s="1040" t="s">
        <v>1783</v>
      </c>
      <c r="K118" s="1024" t="s">
        <v>678</v>
      </c>
      <c r="L118" s="1026" t="s">
        <v>679</v>
      </c>
      <c r="M118" s="1027">
        <v>29400000</v>
      </c>
      <c r="N118" s="1041" t="s">
        <v>729</v>
      </c>
      <c r="O118" s="1041" t="s">
        <v>1784</v>
      </c>
      <c r="P118" s="1041"/>
      <c r="Q118" s="1024"/>
      <c r="R118" s="1019"/>
      <c r="S118" s="1127">
        <v>157</v>
      </c>
      <c r="T118" s="1153">
        <v>29400000</v>
      </c>
    </row>
    <row r="119" spans="1:20" s="992" customFormat="1" ht="63.75" x14ac:dyDescent="0.25">
      <c r="A119" s="1020">
        <v>2022113</v>
      </c>
      <c r="B119" s="1020">
        <v>7655</v>
      </c>
      <c r="C119" s="1020" t="s">
        <v>648</v>
      </c>
      <c r="D119" s="1036" t="s">
        <v>690</v>
      </c>
      <c r="E119" s="1037" t="s">
        <v>781</v>
      </c>
      <c r="F119" s="1023" t="s">
        <v>835</v>
      </c>
      <c r="G119" s="1038">
        <v>44575</v>
      </c>
      <c r="H119" s="1038">
        <v>44575</v>
      </c>
      <c r="I119" s="1039" t="s">
        <v>1793</v>
      </c>
      <c r="J119" s="1040" t="s">
        <v>1783</v>
      </c>
      <c r="K119" s="1024" t="s">
        <v>678</v>
      </c>
      <c r="L119" s="1026" t="s">
        <v>679</v>
      </c>
      <c r="M119" s="1027">
        <v>29400000</v>
      </c>
      <c r="N119" s="1041" t="s">
        <v>729</v>
      </c>
      <c r="O119" s="1041" t="s">
        <v>1784</v>
      </c>
      <c r="P119" s="1041"/>
      <c r="Q119" s="1024"/>
      <c r="R119" s="1019"/>
      <c r="S119" s="1127">
        <v>182</v>
      </c>
      <c r="T119" s="1153">
        <v>29400000</v>
      </c>
    </row>
    <row r="120" spans="1:20" s="992" customFormat="1" ht="63.75" x14ac:dyDescent="0.25">
      <c r="A120" s="1020">
        <v>2022114</v>
      </c>
      <c r="B120" s="1020">
        <v>7655</v>
      </c>
      <c r="C120" s="1020" t="s">
        <v>648</v>
      </c>
      <c r="D120" s="1036" t="s">
        <v>690</v>
      </c>
      <c r="E120" s="1037" t="s">
        <v>781</v>
      </c>
      <c r="F120" s="1023" t="s">
        <v>836</v>
      </c>
      <c r="G120" s="1038">
        <v>44575</v>
      </c>
      <c r="H120" s="1038">
        <v>44575</v>
      </c>
      <c r="I120" s="1039" t="s">
        <v>1793</v>
      </c>
      <c r="J120" s="1040" t="s">
        <v>1783</v>
      </c>
      <c r="K120" s="1024" t="s">
        <v>678</v>
      </c>
      <c r="L120" s="1026" t="s">
        <v>679</v>
      </c>
      <c r="M120" s="1027">
        <v>29400000</v>
      </c>
      <c r="N120" s="1041" t="s">
        <v>729</v>
      </c>
      <c r="O120" s="1041" t="s">
        <v>1784</v>
      </c>
      <c r="P120" s="1041"/>
      <c r="Q120" s="1024"/>
      <c r="R120" s="1019"/>
      <c r="S120" s="1127">
        <v>184</v>
      </c>
      <c r="T120" s="1153">
        <v>29400000</v>
      </c>
    </row>
    <row r="121" spans="1:20" s="992" customFormat="1" ht="63.75" x14ac:dyDescent="0.25">
      <c r="A121" s="1020">
        <v>2022115</v>
      </c>
      <c r="B121" s="1020">
        <v>7655</v>
      </c>
      <c r="C121" s="1020" t="s">
        <v>648</v>
      </c>
      <c r="D121" s="1036" t="s">
        <v>690</v>
      </c>
      <c r="E121" s="1037" t="s">
        <v>781</v>
      </c>
      <c r="F121" s="1023" t="s">
        <v>835</v>
      </c>
      <c r="G121" s="1038">
        <v>44575</v>
      </c>
      <c r="H121" s="1038">
        <v>44575</v>
      </c>
      <c r="I121" s="1039" t="s">
        <v>1793</v>
      </c>
      <c r="J121" s="1040" t="s">
        <v>1783</v>
      </c>
      <c r="K121" s="1024" t="s">
        <v>678</v>
      </c>
      <c r="L121" s="1026" t="s">
        <v>679</v>
      </c>
      <c r="M121" s="1027">
        <v>29400000</v>
      </c>
      <c r="N121" s="1041" t="s">
        <v>729</v>
      </c>
      <c r="O121" s="1041" t="s">
        <v>1784</v>
      </c>
      <c r="P121" s="1041"/>
      <c r="Q121" s="1024"/>
      <c r="R121" s="1019"/>
      <c r="S121" s="1127">
        <v>432</v>
      </c>
      <c r="T121" s="1153">
        <v>29400000</v>
      </c>
    </row>
    <row r="122" spans="1:20" s="992" customFormat="1" ht="63.75" x14ac:dyDescent="0.25">
      <c r="A122" s="1020">
        <v>2022116</v>
      </c>
      <c r="B122" s="1020">
        <v>7655</v>
      </c>
      <c r="C122" s="1020" t="s">
        <v>648</v>
      </c>
      <c r="D122" s="1036" t="s">
        <v>690</v>
      </c>
      <c r="E122" s="1037" t="s">
        <v>781</v>
      </c>
      <c r="F122" s="1023" t="s">
        <v>835</v>
      </c>
      <c r="G122" s="1038">
        <v>44575</v>
      </c>
      <c r="H122" s="1038">
        <v>44575</v>
      </c>
      <c r="I122" s="1039" t="s">
        <v>1793</v>
      </c>
      <c r="J122" s="1040" t="s">
        <v>1783</v>
      </c>
      <c r="K122" s="1024" t="s">
        <v>678</v>
      </c>
      <c r="L122" s="1026" t="s">
        <v>679</v>
      </c>
      <c r="M122" s="1027">
        <v>29400000</v>
      </c>
      <c r="N122" s="1041" t="s">
        <v>729</v>
      </c>
      <c r="O122" s="1041" t="s">
        <v>1784</v>
      </c>
      <c r="P122" s="1041"/>
      <c r="Q122" s="1024"/>
      <c r="R122" s="1019"/>
      <c r="S122" s="1127">
        <v>175</v>
      </c>
      <c r="T122" s="1153">
        <v>29400000</v>
      </c>
    </row>
    <row r="123" spans="1:20" s="992" customFormat="1" ht="63.75" x14ac:dyDescent="0.25">
      <c r="A123" s="1020">
        <v>2022117</v>
      </c>
      <c r="B123" s="1020">
        <v>7655</v>
      </c>
      <c r="C123" s="1020" t="s">
        <v>648</v>
      </c>
      <c r="D123" s="1036" t="s">
        <v>690</v>
      </c>
      <c r="E123" s="1037" t="s">
        <v>781</v>
      </c>
      <c r="F123" s="1023" t="s">
        <v>835</v>
      </c>
      <c r="G123" s="1038">
        <v>44575</v>
      </c>
      <c r="H123" s="1038">
        <v>44575</v>
      </c>
      <c r="I123" s="1039" t="s">
        <v>1793</v>
      </c>
      <c r="J123" s="1040" t="s">
        <v>1783</v>
      </c>
      <c r="K123" s="1024" t="s">
        <v>678</v>
      </c>
      <c r="L123" s="1026" t="s">
        <v>679</v>
      </c>
      <c r="M123" s="1027">
        <v>29400000</v>
      </c>
      <c r="N123" s="1041" t="s">
        <v>729</v>
      </c>
      <c r="O123" s="1041" t="s">
        <v>1784</v>
      </c>
      <c r="P123" s="1041"/>
      <c r="Q123" s="1024"/>
      <c r="R123" s="1019"/>
      <c r="S123" s="1127">
        <v>151</v>
      </c>
      <c r="T123" s="1153">
        <v>29400000</v>
      </c>
    </row>
    <row r="124" spans="1:20" s="992" customFormat="1" ht="63.75" x14ac:dyDescent="0.25">
      <c r="A124" s="1020">
        <v>2022118</v>
      </c>
      <c r="B124" s="1020">
        <v>7655</v>
      </c>
      <c r="C124" s="1020" t="s">
        <v>648</v>
      </c>
      <c r="D124" s="1036" t="s">
        <v>690</v>
      </c>
      <c r="E124" s="1037" t="s">
        <v>781</v>
      </c>
      <c r="F124" s="1023" t="s">
        <v>835</v>
      </c>
      <c r="G124" s="1038">
        <v>44575</v>
      </c>
      <c r="H124" s="1038">
        <v>44575</v>
      </c>
      <c r="I124" s="1039" t="s">
        <v>1793</v>
      </c>
      <c r="J124" s="1040" t="s">
        <v>1783</v>
      </c>
      <c r="K124" s="1024" t="s">
        <v>678</v>
      </c>
      <c r="L124" s="1026" t="s">
        <v>679</v>
      </c>
      <c r="M124" s="1027">
        <v>29400000</v>
      </c>
      <c r="N124" s="1041" t="s">
        <v>729</v>
      </c>
      <c r="O124" s="1041" t="s">
        <v>1784</v>
      </c>
      <c r="P124" s="1041"/>
      <c r="Q124" s="1024"/>
      <c r="R124" s="1019"/>
      <c r="S124" s="1127">
        <v>171</v>
      </c>
      <c r="T124" s="1153">
        <v>29400000</v>
      </c>
    </row>
    <row r="125" spans="1:20" s="992" customFormat="1" ht="63.75" x14ac:dyDescent="0.25">
      <c r="A125" s="1020">
        <v>2022119</v>
      </c>
      <c r="B125" s="1020">
        <v>7655</v>
      </c>
      <c r="C125" s="1020" t="s">
        <v>648</v>
      </c>
      <c r="D125" s="1036" t="s">
        <v>690</v>
      </c>
      <c r="E125" s="1037" t="s">
        <v>781</v>
      </c>
      <c r="F125" s="1023" t="s">
        <v>835</v>
      </c>
      <c r="G125" s="1038">
        <v>44575</v>
      </c>
      <c r="H125" s="1038">
        <v>44575</v>
      </c>
      <c r="I125" s="1039" t="s">
        <v>1793</v>
      </c>
      <c r="J125" s="1040" t="s">
        <v>1783</v>
      </c>
      <c r="K125" s="1024" t="s">
        <v>678</v>
      </c>
      <c r="L125" s="1026" t="s">
        <v>679</v>
      </c>
      <c r="M125" s="1027">
        <v>29400000</v>
      </c>
      <c r="N125" s="1041" t="s">
        <v>729</v>
      </c>
      <c r="O125" s="1041" t="s">
        <v>1784</v>
      </c>
      <c r="P125" s="1041"/>
      <c r="Q125" s="1024"/>
      <c r="R125" s="1019"/>
      <c r="S125" s="1127">
        <v>210</v>
      </c>
      <c r="T125" s="1153">
        <v>29400000</v>
      </c>
    </row>
    <row r="126" spans="1:20" s="992" customFormat="1" ht="63.75" x14ac:dyDescent="0.25">
      <c r="A126" s="1020">
        <v>2022120</v>
      </c>
      <c r="B126" s="1020">
        <v>7655</v>
      </c>
      <c r="C126" s="1020" t="s">
        <v>648</v>
      </c>
      <c r="D126" s="1036" t="s">
        <v>690</v>
      </c>
      <c r="E126" s="1037" t="s">
        <v>781</v>
      </c>
      <c r="F126" s="1023" t="s">
        <v>832</v>
      </c>
      <c r="G126" s="1038">
        <v>44575</v>
      </c>
      <c r="H126" s="1038">
        <v>44575</v>
      </c>
      <c r="I126" s="1039" t="s">
        <v>1793</v>
      </c>
      <c r="J126" s="1040" t="s">
        <v>1783</v>
      </c>
      <c r="K126" s="1024" t="s">
        <v>678</v>
      </c>
      <c r="L126" s="1026" t="s">
        <v>679</v>
      </c>
      <c r="M126" s="1027">
        <v>29400000</v>
      </c>
      <c r="N126" s="1041" t="s">
        <v>729</v>
      </c>
      <c r="O126" s="1041" t="s">
        <v>1784</v>
      </c>
      <c r="P126" s="1041"/>
      <c r="Q126" s="1024"/>
      <c r="R126" s="1019"/>
      <c r="S126" s="1127">
        <v>156</v>
      </c>
      <c r="T126" s="1153">
        <v>29400000</v>
      </c>
    </row>
    <row r="127" spans="1:20" s="992" customFormat="1" ht="63.75" x14ac:dyDescent="0.25">
      <c r="A127" s="1020">
        <v>2022121</v>
      </c>
      <c r="B127" s="1020">
        <v>7655</v>
      </c>
      <c r="C127" s="1020" t="s">
        <v>648</v>
      </c>
      <c r="D127" s="1036" t="s">
        <v>690</v>
      </c>
      <c r="E127" s="1037" t="s">
        <v>781</v>
      </c>
      <c r="F127" s="1023" t="s">
        <v>832</v>
      </c>
      <c r="G127" s="1038">
        <v>44575</v>
      </c>
      <c r="H127" s="1038">
        <v>44575</v>
      </c>
      <c r="I127" s="1039" t="s">
        <v>1793</v>
      </c>
      <c r="J127" s="1040" t="s">
        <v>1783</v>
      </c>
      <c r="K127" s="1024" t="s">
        <v>678</v>
      </c>
      <c r="L127" s="1026" t="s">
        <v>679</v>
      </c>
      <c r="M127" s="1027">
        <v>29400000</v>
      </c>
      <c r="N127" s="1041" t="s">
        <v>729</v>
      </c>
      <c r="O127" s="1041" t="s">
        <v>1784</v>
      </c>
      <c r="P127" s="1041"/>
      <c r="Q127" s="1024"/>
      <c r="R127" s="1019"/>
      <c r="S127" s="1127">
        <v>174</v>
      </c>
      <c r="T127" s="1153">
        <v>29400000</v>
      </c>
    </row>
    <row r="128" spans="1:20" s="992" customFormat="1" ht="63.75" x14ac:dyDescent="0.25">
      <c r="A128" s="1020">
        <v>2022122</v>
      </c>
      <c r="B128" s="1020">
        <v>7655</v>
      </c>
      <c r="C128" s="1020" t="s">
        <v>648</v>
      </c>
      <c r="D128" s="1036" t="s">
        <v>690</v>
      </c>
      <c r="E128" s="1037" t="s">
        <v>781</v>
      </c>
      <c r="F128" s="1023" t="s">
        <v>832</v>
      </c>
      <c r="G128" s="1038">
        <v>44575</v>
      </c>
      <c r="H128" s="1038">
        <v>44575</v>
      </c>
      <c r="I128" s="1039" t="s">
        <v>1793</v>
      </c>
      <c r="J128" s="1040" t="s">
        <v>1783</v>
      </c>
      <c r="K128" s="1024" t="s">
        <v>678</v>
      </c>
      <c r="L128" s="1026" t="s">
        <v>679</v>
      </c>
      <c r="M128" s="1027">
        <v>29400000</v>
      </c>
      <c r="N128" s="1041" t="s">
        <v>729</v>
      </c>
      <c r="O128" s="1041" t="s">
        <v>1784</v>
      </c>
      <c r="P128" s="1041"/>
      <c r="Q128" s="1024"/>
      <c r="R128" s="1019"/>
      <c r="S128" s="1127">
        <v>172</v>
      </c>
      <c r="T128" s="1153">
        <v>29400000</v>
      </c>
    </row>
    <row r="129" spans="1:103" s="992" customFormat="1" ht="63.75" x14ac:dyDescent="0.25">
      <c r="A129" s="1020">
        <v>2022123</v>
      </c>
      <c r="B129" s="1020">
        <v>7655</v>
      </c>
      <c r="C129" s="1020" t="s">
        <v>648</v>
      </c>
      <c r="D129" s="1036" t="s">
        <v>690</v>
      </c>
      <c r="E129" s="1037" t="s">
        <v>781</v>
      </c>
      <c r="F129" s="1023" t="s">
        <v>832</v>
      </c>
      <c r="G129" s="1038">
        <v>44575</v>
      </c>
      <c r="H129" s="1038">
        <v>44575</v>
      </c>
      <c r="I129" s="1039" t="s">
        <v>1793</v>
      </c>
      <c r="J129" s="1040" t="s">
        <v>1783</v>
      </c>
      <c r="K129" s="1024" t="s">
        <v>678</v>
      </c>
      <c r="L129" s="1026" t="s">
        <v>679</v>
      </c>
      <c r="M129" s="1027">
        <v>29400000</v>
      </c>
      <c r="N129" s="1041" t="s">
        <v>729</v>
      </c>
      <c r="O129" s="1041" t="s">
        <v>1784</v>
      </c>
      <c r="P129" s="1041"/>
      <c r="Q129" s="1024"/>
      <c r="R129" s="1019"/>
      <c r="S129" s="1127">
        <v>147</v>
      </c>
      <c r="T129" s="1153">
        <v>29400000</v>
      </c>
    </row>
    <row r="130" spans="1:103" s="992" customFormat="1" ht="63.75" x14ac:dyDescent="0.25">
      <c r="A130" s="1020">
        <v>2022124</v>
      </c>
      <c r="B130" s="1020">
        <v>7655</v>
      </c>
      <c r="C130" s="1020" t="s">
        <v>648</v>
      </c>
      <c r="D130" s="1036" t="s">
        <v>690</v>
      </c>
      <c r="E130" s="1037" t="s">
        <v>781</v>
      </c>
      <c r="F130" s="1023" t="s">
        <v>835</v>
      </c>
      <c r="G130" s="1038">
        <v>44575</v>
      </c>
      <c r="H130" s="1038">
        <v>44575</v>
      </c>
      <c r="I130" s="1039" t="s">
        <v>1793</v>
      </c>
      <c r="J130" s="1040" t="s">
        <v>1783</v>
      </c>
      <c r="K130" s="1024" t="s">
        <v>678</v>
      </c>
      <c r="L130" s="1026" t="s">
        <v>679</v>
      </c>
      <c r="M130" s="1027">
        <v>29400000</v>
      </c>
      <c r="N130" s="1041" t="s">
        <v>729</v>
      </c>
      <c r="O130" s="1041" t="s">
        <v>1784</v>
      </c>
      <c r="P130" s="1041"/>
      <c r="Q130" s="1024"/>
      <c r="R130" s="1019"/>
      <c r="S130" s="1127">
        <v>173</v>
      </c>
      <c r="T130" s="1153">
        <v>29400000</v>
      </c>
    </row>
    <row r="131" spans="1:103" s="992" customFormat="1" ht="63.75" x14ac:dyDescent="0.25">
      <c r="A131" s="1020">
        <v>2022125</v>
      </c>
      <c r="B131" s="1020">
        <v>7655</v>
      </c>
      <c r="C131" s="1020" t="s">
        <v>648</v>
      </c>
      <c r="D131" s="1036" t="s">
        <v>690</v>
      </c>
      <c r="E131" s="1037" t="s">
        <v>781</v>
      </c>
      <c r="F131" s="1023" t="s">
        <v>832</v>
      </c>
      <c r="G131" s="1038">
        <v>44575</v>
      </c>
      <c r="H131" s="1038">
        <v>44575</v>
      </c>
      <c r="I131" s="1039" t="s">
        <v>1793</v>
      </c>
      <c r="J131" s="1040" t="s">
        <v>1783</v>
      </c>
      <c r="K131" s="1024" t="s">
        <v>678</v>
      </c>
      <c r="L131" s="1026" t="s">
        <v>679</v>
      </c>
      <c r="M131" s="1027">
        <v>29400000</v>
      </c>
      <c r="N131" s="1041" t="s">
        <v>729</v>
      </c>
      <c r="O131" s="1041" t="s">
        <v>1784</v>
      </c>
      <c r="P131" s="1041"/>
      <c r="Q131" s="1024"/>
      <c r="R131" s="1019"/>
      <c r="S131" s="1127">
        <v>331</v>
      </c>
      <c r="T131" s="1153">
        <v>29400000</v>
      </c>
    </row>
    <row r="132" spans="1:103" s="992" customFormat="1" ht="63.75" x14ac:dyDescent="0.25">
      <c r="A132" s="1020">
        <v>2022126</v>
      </c>
      <c r="B132" s="1020">
        <v>7655</v>
      </c>
      <c r="C132" s="1020" t="s">
        <v>648</v>
      </c>
      <c r="D132" s="1036" t="s">
        <v>690</v>
      </c>
      <c r="E132" s="1037" t="s">
        <v>781</v>
      </c>
      <c r="F132" s="1023" t="s">
        <v>835</v>
      </c>
      <c r="G132" s="1038">
        <v>44575</v>
      </c>
      <c r="H132" s="1038">
        <v>44575</v>
      </c>
      <c r="I132" s="1039" t="s">
        <v>1793</v>
      </c>
      <c r="J132" s="1040" t="s">
        <v>1783</v>
      </c>
      <c r="K132" s="1024" t="s">
        <v>678</v>
      </c>
      <c r="L132" s="1026" t="s">
        <v>679</v>
      </c>
      <c r="M132" s="1027">
        <v>29400000</v>
      </c>
      <c r="N132" s="1041" t="s">
        <v>729</v>
      </c>
      <c r="O132" s="1041" t="s">
        <v>1784</v>
      </c>
      <c r="P132" s="1041"/>
      <c r="Q132" s="1024"/>
      <c r="R132" s="1019"/>
      <c r="S132" s="1127">
        <v>430</v>
      </c>
      <c r="T132" s="1153">
        <v>29400000</v>
      </c>
    </row>
    <row r="133" spans="1:103" s="992" customFormat="1" ht="63.75" x14ac:dyDescent="0.25">
      <c r="A133" s="1020">
        <v>2022127</v>
      </c>
      <c r="B133" s="1020">
        <v>7655</v>
      </c>
      <c r="C133" s="1020" t="s">
        <v>648</v>
      </c>
      <c r="D133" s="1036" t="s">
        <v>690</v>
      </c>
      <c r="E133" s="1037" t="s">
        <v>781</v>
      </c>
      <c r="F133" s="1023" t="s">
        <v>832</v>
      </c>
      <c r="G133" s="1038">
        <v>44575</v>
      </c>
      <c r="H133" s="1038">
        <v>44575</v>
      </c>
      <c r="I133" s="1039" t="s">
        <v>1793</v>
      </c>
      <c r="J133" s="1040" t="s">
        <v>1783</v>
      </c>
      <c r="K133" s="1024" t="s">
        <v>678</v>
      </c>
      <c r="L133" s="1026" t="s">
        <v>679</v>
      </c>
      <c r="M133" s="1027">
        <v>29400000</v>
      </c>
      <c r="N133" s="1041" t="s">
        <v>729</v>
      </c>
      <c r="O133" s="1041" t="s">
        <v>1784</v>
      </c>
      <c r="P133" s="1041"/>
      <c r="Q133" s="1024"/>
      <c r="R133" s="1019"/>
      <c r="S133" s="1127">
        <v>183</v>
      </c>
      <c r="T133" s="1153">
        <v>29400000</v>
      </c>
    </row>
    <row r="134" spans="1:103" s="992" customFormat="1" ht="63.75" x14ac:dyDescent="0.25">
      <c r="A134" s="1020">
        <v>2022128</v>
      </c>
      <c r="B134" s="1020">
        <v>7655</v>
      </c>
      <c r="C134" s="1020" t="s">
        <v>648</v>
      </c>
      <c r="D134" s="1036" t="s">
        <v>690</v>
      </c>
      <c r="E134" s="1037" t="s">
        <v>781</v>
      </c>
      <c r="F134" s="1023" t="s">
        <v>832</v>
      </c>
      <c r="G134" s="1038">
        <v>44575</v>
      </c>
      <c r="H134" s="1038">
        <v>44575</v>
      </c>
      <c r="I134" s="1039" t="s">
        <v>1793</v>
      </c>
      <c r="J134" s="1040" t="s">
        <v>1783</v>
      </c>
      <c r="K134" s="1024" t="s">
        <v>678</v>
      </c>
      <c r="L134" s="1026" t="s">
        <v>679</v>
      </c>
      <c r="M134" s="1027">
        <v>29400000</v>
      </c>
      <c r="N134" s="1041" t="s">
        <v>729</v>
      </c>
      <c r="O134" s="1041" t="s">
        <v>1784</v>
      </c>
      <c r="P134" s="1041"/>
      <c r="Q134" s="1024"/>
      <c r="R134" s="1019"/>
      <c r="S134" s="1127">
        <v>429</v>
      </c>
      <c r="T134" s="1153">
        <v>29400000</v>
      </c>
    </row>
    <row r="135" spans="1:103" s="992" customFormat="1" ht="63.75" x14ac:dyDescent="0.25">
      <c r="A135" s="1020">
        <v>2022129</v>
      </c>
      <c r="B135" s="1020">
        <v>7655</v>
      </c>
      <c r="C135" s="1020" t="s">
        <v>648</v>
      </c>
      <c r="D135" s="1036" t="s">
        <v>690</v>
      </c>
      <c r="E135" s="1037" t="s">
        <v>781</v>
      </c>
      <c r="F135" s="1023" t="s">
        <v>832</v>
      </c>
      <c r="G135" s="1038">
        <v>44575</v>
      </c>
      <c r="H135" s="1038">
        <v>44575</v>
      </c>
      <c r="I135" s="1039" t="s">
        <v>1793</v>
      </c>
      <c r="J135" s="1040" t="s">
        <v>1783</v>
      </c>
      <c r="K135" s="1024" t="s">
        <v>678</v>
      </c>
      <c r="L135" s="1026" t="s">
        <v>679</v>
      </c>
      <c r="M135" s="1027">
        <v>29400000</v>
      </c>
      <c r="N135" s="1041" t="s">
        <v>729</v>
      </c>
      <c r="O135" s="1041" t="s">
        <v>1784</v>
      </c>
      <c r="P135" s="1041"/>
      <c r="Q135" s="1024"/>
      <c r="R135" s="1019"/>
      <c r="S135" s="1127">
        <v>363</v>
      </c>
      <c r="T135" s="1153">
        <v>29400000</v>
      </c>
    </row>
    <row r="136" spans="1:103" s="992" customFormat="1" ht="63.75" x14ac:dyDescent="0.25">
      <c r="A136" s="1020">
        <v>2022130</v>
      </c>
      <c r="B136" s="1020">
        <v>7655</v>
      </c>
      <c r="C136" s="1020" t="s">
        <v>648</v>
      </c>
      <c r="D136" s="1036" t="s">
        <v>690</v>
      </c>
      <c r="E136" s="1037" t="s">
        <v>781</v>
      </c>
      <c r="F136" s="1023" t="s">
        <v>832</v>
      </c>
      <c r="G136" s="1038">
        <v>44575</v>
      </c>
      <c r="H136" s="1038">
        <v>44575</v>
      </c>
      <c r="I136" s="1039" t="s">
        <v>1793</v>
      </c>
      <c r="J136" s="1040" t="s">
        <v>1783</v>
      </c>
      <c r="K136" s="1024" t="s">
        <v>678</v>
      </c>
      <c r="L136" s="1026" t="s">
        <v>679</v>
      </c>
      <c r="M136" s="1027">
        <v>29400000</v>
      </c>
      <c r="N136" s="1041" t="s">
        <v>729</v>
      </c>
      <c r="O136" s="1041" t="s">
        <v>1784</v>
      </c>
      <c r="P136" s="1041"/>
      <c r="Q136" s="1024"/>
      <c r="R136" s="1019"/>
      <c r="S136" s="1127">
        <v>416</v>
      </c>
      <c r="T136" s="1153">
        <v>29400000</v>
      </c>
    </row>
    <row r="137" spans="1:103" s="992" customFormat="1" ht="63.75" x14ac:dyDescent="0.25">
      <c r="A137" s="1020">
        <v>2022131</v>
      </c>
      <c r="B137" s="1020">
        <v>7655</v>
      </c>
      <c r="C137" s="1020" t="s">
        <v>648</v>
      </c>
      <c r="D137" s="1036" t="s">
        <v>690</v>
      </c>
      <c r="E137" s="1037" t="s">
        <v>781</v>
      </c>
      <c r="F137" s="1023" t="s">
        <v>832</v>
      </c>
      <c r="G137" s="1038">
        <v>44575</v>
      </c>
      <c r="H137" s="1038">
        <v>44575</v>
      </c>
      <c r="I137" s="1039" t="s">
        <v>1793</v>
      </c>
      <c r="J137" s="1040" t="s">
        <v>1783</v>
      </c>
      <c r="K137" s="1024" t="s">
        <v>678</v>
      </c>
      <c r="L137" s="1026" t="s">
        <v>679</v>
      </c>
      <c r="M137" s="1027">
        <v>29400000</v>
      </c>
      <c r="N137" s="1041" t="s">
        <v>729</v>
      </c>
      <c r="O137" s="1041" t="s">
        <v>1784</v>
      </c>
      <c r="P137" s="1041"/>
      <c r="Q137" s="1024"/>
      <c r="R137" s="1019"/>
      <c r="S137" s="1127">
        <v>355</v>
      </c>
      <c r="T137" s="1153">
        <v>29400000</v>
      </c>
    </row>
    <row r="138" spans="1:103" s="992" customFormat="1" ht="63.75" x14ac:dyDescent="0.25">
      <c r="A138" s="1020">
        <v>2022132</v>
      </c>
      <c r="B138" s="1020">
        <v>7655</v>
      </c>
      <c r="C138" s="1020" t="s">
        <v>648</v>
      </c>
      <c r="D138" s="1036" t="s">
        <v>690</v>
      </c>
      <c r="E138" s="1037" t="s">
        <v>781</v>
      </c>
      <c r="F138" s="1023" t="s">
        <v>837</v>
      </c>
      <c r="G138" s="1038">
        <v>44575</v>
      </c>
      <c r="H138" s="1038">
        <v>44575</v>
      </c>
      <c r="I138" s="1039" t="s">
        <v>1793</v>
      </c>
      <c r="J138" s="1040" t="s">
        <v>1783</v>
      </c>
      <c r="K138" s="1024" t="s">
        <v>678</v>
      </c>
      <c r="L138" s="1026" t="s">
        <v>679</v>
      </c>
      <c r="M138" s="1027">
        <v>87600000</v>
      </c>
      <c r="N138" s="1041" t="s">
        <v>729</v>
      </c>
      <c r="O138" s="1041" t="s">
        <v>1784</v>
      </c>
      <c r="P138" s="1041"/>
      <c r="Q138" s="1024"/>
      <c r="R138" s="1019"/>
      <c r="S138" s="1127">
        <v>152</v>
      </c>
      <c r="T138" s="1153">
        <v>87600000</v>
      </c>
    </row>
    <row r="139" spans="1:103" s="992" customFormat="1" ht="89.25" x14ac:dyDescent="0.25">
      <c r="A139" s="1020">
        <v>2022133</v>
      </c>
      <c r="B139" s="1020">
        <v>7655</v>
      </c>
      <c r="C139" s="1020" t="s">
        <v>648</v>
      </c>
      <c r="D139" s="1036" t="s">
        <v>690</v>
      </c>
      <c r="E139" s="1037" t="s">
        <v>781</v>
      </c>
      <c r="F139" s="1023" t="s">
        <v>838</v>
      </c>
      <c r="G139" s="1038">
        <v>44575</v>
      </c>
      <c r="H139" s="1038">
        <v>44575</v>
      </c>
      <c r="I139" s="1039" t="s">
        <v>1786</v>
      </c>
      <c r="J139" s="1040" t="s">
        <v>1783</v>
      </c>
      <c r="K139" s="1024" t="s">
        <v>678</v>
      </c>
      <c r="L139" s="1026" t="s">
        <v>679</v>
      </c>
      <c r="M139" s="1027">
        <v>42000000</v>
      </c>
      <c r="N139" s="1041" t="s">
        <v>729</v>
      </c>
      <c r="O139" s="1041" t="s">
        <v>1784</v>
      </c>
      <c r="P139" s="1041"/>
      <c r="Q139" s="1024"/>
      <c r="R139" s="1019"/>
      <c r="S139" s="1127">
        <v>418</v>
      </c>
      <c r="T139" s="1153">
        <v>42000000</v>
      </c>
    </row>
    <row r="140" spans="1:103" s="992" customFormat="1" ht="63.75" x14ac:dyDescent="0.25">
      <c r="A140" s="1020">
        <v>2022134</v>
      </c>
      <c r="B140" s="1020">
        <v>7655</v>
      </c>
      <c r="C140" s="1020" t="s">
        <v>648</v>
      </c>
      <c r="D140" s="1036" t="s">
        <v>690</v>
      </c>
      <c r="E140" s="1037" t="s">
        <v>781</v>
      </c>
      <c r="F140" s="1023" t="s">
        <v>839</v>
      </c>
      <c r="G140" s="1038">
        <v>44575</v>
      </c>
      <c r="H140" s="1038">
        <v>44575</v>
      </c>
      <c r="I140" s="1039" t="s">
        <v>1782</v>
      </c>
      <c r="J140" s="1040" t="s">
        <v>1783</v>
      </c>
      <c r="K140" s="1024" t="s">
        <v>678</v>
      </c>
      <c r="L140" s="1026" t="s">
        <v>679</v>
      </c>
      <c r="M140" s="1027">
        <v>64802500</v>
      </c>
      <c r="N140" s="1041" t="s">
        <v>729</v>
      </c>
      <c r="O140" s="1041" t="s">
        <v>1784</v>
      </c>
      <c r="P140" s="1041"/>
      <c r="Q140" s="1024"/>
      <c r="R140" s="1019"/>
      <c r="S140" s="1127">
        <v>433</v>
      </c>
      <c r="T140" s="1153">
        <v>64802500</v>
      </c>
    </row>
    <row r="141" spans="1:103" s="1031" customFormat="1" ht="63.75" x14ac:dyDescent="0.25">
      <c r="A141" s="1128">
        <v>2022135</v>
      </c>
      <c r="B141" s="1128">
        <v>7655</v>
      </c>
      <c r="C141" s="1128" t="s">
        <v>648</v>
      </c>
      <c r="D141" s="1136" t="s">
        <v>690</v>
      </c>
      <c r="E141" s="1142" t="s">
        <v>781</v>
      </c>
      <c r="F141" s="1131" t="s">
        <v>839</v>
      </c>
      <c r="G141" s="1138">
        <v>44575</v>
      </c>
      <c r="H141" s="1138">
        <v>44575</v>
      </c>
      <c r="I141" s="1045" t="s">
        <v>1786</v>
      </c>
      <c r="J141" s="1140" t="s">
        <v>1783</v>
      </c>
      <c r="K141" s="1132" t="s">
        <v>678</v>
      </c>
      <c r="L141" s="1129" t="s">
        <v>679</v>
      </c>
      <c r="M141" s="1133">
        <v>31500000</v>
      </c>
      <c r="N141" s="1141" t="s">
        <v>729</v>
      </c>
      <c r="O141" s="1141" t="s">
        <v>1784</v>
      </c>
      <c r="P141" s="1141"/>
      <c r="Q141" s="1132"/>
      <c r="R141" s="1127">
        <v>340</v>
      </c>
      <c r="S141" s="1127"/>
      <c r="T141" s="1153"/>
      <c r="U141" s="992"/>
      <c r="V141" s="992"/>
      <c r="W141" s="992"/>
      <c r="X141" s="992"/>
      <c r="Y141" s="992"/>
      <c r="Z141" s="992"/>
      <c r="AA141" s="992"/>
      <c r="AB141" s="992"/>
      <c r="AC141" s="992"/>
      <c r="AD141" s="992"/>
      <c r="AE141" s="992"/>
      <c r="AF141" s="992"/>
      <c r="AG141" s="992"/>
      <c r="AH141" s="992"/>
      <c r="AI141" s="992"/>
      <c r="AJ141" s="992"/>
      <c r="AK141" s="992"/>
      <c r="AL141" s="992"/>
      <c r="AM141" s="992"/>
      <c r="AN141" s="992"/>
      <c r="AO141" s="992"/>
      <c r="AP141" s="992"/>
      <c r="AQ141" s="992"/>
      <c r="AR141" s="992"/>
      <c r="AS141" s="992"/>
      <c r="AT141" s="992"/>
      <c r="AU141" s="992"/>
      <c r="AV141" s="992"/>
      <c r="AW141" s="992"/>
      <c r="AX141" s="992"/>
      <c r="AY141" s="992"/>
      <c r="AZ141" s="992"/>
      <c r="BA141" s="992"/>
      <c r="BB141" s="992"/>
      <c r="BC141" s="992"/>
      <c r="BD141" s="992"/>
      <c r="BE141" s="992"/>
      <c r="BF141" s="992"/>
      <c r="BG141" s="992"/>
      <c r="BH141" s="992"/>
      <c r="BI141" s="992"/>
      <c r="BJ141" s="992"/>
      <c r="BK141" s="992"/>
      <c r="BL141" s="992"/>
      <c r="BM141" s="992"/>
      <c r="BN141" s="992"/>
      <c r="BO141" s="992"/>
      <c r="BP141" s="992"/>
      <c r="BQ141" s="992"/>
      <c r="BR141" s="992"/>
      <c r="BS141" s="992"/>
      <c r="BT141" s="992"/>
      <c r="BU141" s="992"/>
      <c r="BV141" s="992"/>
      <c r="BW141" s="992"/>
      <c r="BX141" s="992"/>
      <c r="BY141" s="992"/>
      <c r="BZ141" s="992"/>
      <c r="CA141" s="992"/>
      <c r="CB141" s="992"/>
      <c r="CC141" s="992"/>
      <c r="CD141" s="992"/>
      <c r="CE141" s="992"/>
      <c r="CF141" s="992"/>
      <c r="CG141" s="992"/>
      <c r="CH141" s="992"/>
      <c r="CI141" s="992"/>
      <c r="CJ141" s="992"/>
      <c r="CK141" s="992"/>
      <c r="CL141" s="992"/>
      <c r="CM141" s="992"/>
      <c r="CN141" s="992"/>
      <c r="CO141" s="992"/>
      <c r="CP141" s="992"/>
      <c r="CQ141" s="992"/>
      <c r="CR141" s="992"/>
      <c r="CS141" s="992"/>
      <c r="CT141" s="992"/>
      <c r="CU141" s="992"/>
      <c r="CV141" s="992"/>
      <c r="CW141" s="992"/>
      <c r="CX141" s="992"/>
      <c r="CY141" s="992"/>
    </row>
    <row r="142" spans="1:103" s="1031" customFormat="1" ht="63.75" x14ac:dyDescent="0.25">
      <c r="A142" s="1128">
        <v>2022136</v>
      </c>
      <c r="B142" s="1128">
        <v>7655</v>
      </c>
      <c r="C142" s="1128" t="s">
        <v>648</v>
      </c>
      <c r="D142" s="1136" t="s">
        <v>690</v>
      </c>
      <c r="E142" s="1142" t="s">
        <v>781</v>
      </c>
      <c r="F142" s="1131" t="s">
        <v>840</v>
      </c>
      <c r="G142" s="1138">
        <v>44575</v>
      </c>
      <c r="H142" s="1138">
        <v>44575</v>
      </c>
      <c r="I142" s="1045" t="s">
        <v>1782</v>
      </c>
      <c r="J142" s="1140" t="s">
        <v>1783</v>
      </c>
      <c r="K142" s="1132" t="s">
        <v>678</v>
      </c>
      <c r="L142" s="1129" t="s">
        <v>679</v>
      </c>
      <c r="M142" s="1133">
        <v>28175000</v>
      </c>
      <c r="N142" s="1141" t="s">
        <v>729</v>
      </c>
      <c r="O142" s="1141" t="s">
        <v>1784</v>
      </c>
      <c r="P142" s="1141"/>
      <c r="Q142" s="1132"/>
      <c r="R142" s="1127">
        <v>162</v>
      </c>
      <c r="S142" s="1127"/>
      <c r="T142" s="1153"/>
      <c r="U142" s="992"/>
      <c r="V142" s="992"/>
      <c r="W142" s="992"/>
      <c r="X142" s="992"/>
      <c r="Y142" s="992"/>
      <c r="Z142" s="992"/>
      <c r="AA142" s="992"/>
      <c r="AB142" s="992"/>
      <c r="AC142" s="992"/>
      <c r="AD142" s="992"/>
      <c r="AE142" s="992"/>
      <c r="AF142" s="992"/>
      <c r="AG142" s="992"/>
      <c r="AH142" s="992"/>
      <c r="AI142" s="992"/>
      <c r="AJ142" s="992"/>
      <c r="AK142" s="992"/>
      <c r="AL142" s="992"/>
      <c r="AM142" s="992"/>
      <c r="AN142" s="992"/>
      <c r="AO142" s="992"/>
      <c r="AP142" s="992"/>
      <c r="AQ142" s="992"/>
      <c r="AR142" s="992"/>
      <c r="AS142" s="992"/>
      <c r="AT142" s="992"/>
      <c r="AU142" s="992"/>
      <c r="AV142" s="992"/>
      <c r="AW142" s="992"/>
      <c r="AX142" s="992"/>
      <c r="AY142" s="992"/>
      <c r="AZ142" s="992"/>
      <c r="BA142" s="992"/>
      <c r="BB142" s="992"/>
      <c r="BC142" s="992"/>
      <c r="BD142" s="992"/>
      <c r="BE142" s="992"/>
      <c r="BF142" s="992"/>
      <c r="BG142" s="992"/>
      <c r="BH142" s="992"/>
      <c r="BI142" s="992"/>
      <c r="BJ142" s="992"/>
      <c r="BK142" s="992"/>
      <c r="BL142" s="992"/>
      <c r="BM142" s="992"/>
      <c r="BN142" s="992"/>
      <c r="BO142" s="992"/>
      <c r="BP142" s="992"/>
      <c r="BQ142" s="992"/>
      <c r="BR142" s="992"/>
      <c r="BS142" s="992"/>
      <c r="BT142" s="992"/>
      <c r="BU142" s="992"/>
      <c r="BV142" s="992"/>
      <c r="BW142" s="992"/>
      <c r="BX142" s="992"/>
      <c r="BY142" s="992"/>
      <c r="BZ142" s="992"/>
      <c r="CA142" s="992"/>
      <c r="CB142" s="992"/>
      <c r="CC142" s="992"/>
      <c r="CD142" s="992"/>
      <c r="CE142" s="992"/>
      <c r="CF142" s="992"/>
      <c r="CG142" s="992"/>
      <c r="CH142" s="992"/>
      <c r="CI142" s="992"/>
      <c r="CJ142" s="992"/>
      <c r="CK142" s="992"/>
      <c r="CL142" s="992"/>
      <c r="CM142" s="992"/>
      <c r="CN142" s="992"/>
      <c r="CO142" s="992"/>
      <c r="CP142" s="992"/>
      <c r="CQ142" s="992"/>
      <c r="CR142" s="992"/>
      <c r="CS142" s="992"/>
      <c r="CT142" s="992"/>
      <c r="CU142" s="992"/>
      <c r="CV142" s="992"/>
      <c r="CW142" s="992"/>
      <c r="CX142" s="992"/>
      <c r="CY142" s="992"/>
    </row>
    <row r="143" spans="1:103" s="992" customFormat="1" ht="63.75" x14ac:dyDescent="0.25">
      <c r="A143" s="1020">
        <v>2022137</v>
      </c>
      <c r="B143" s="1020">
        <v>7655</v>
      </c>
      <c r="C143" s="1020" t="s">
        <v>648</v>
      </c>
      <c r="D143" s="1036" t="s">
        <v>690</v>
      </c>
      <c r="E143" s="1037" t="s">
        <v>781</v>
      </c>
      <c r="F143" s="1023" t="s">
        <v>841</v>
      </c>
      <c r="G143" s="1038">
        <v>44575</v>
      </c>
      <c r="H143" s="1038">
        <v>44575</v>
      </c>
      <c r="I143" s="1039" t="s">
        <v>1782</v>
      </c>
      <c r="J143" s="1040" t="s">
        <v>1783</v>
      </c>
      <c r="K143" s="1024" t="s">
        <v>678</v>
      </c>
      <c r="L143" s="1026" t="s">
        <v>679</v>
      </c>
      <c r="M143" s="1027">
        <v>83950000</v>
      </c>
      <c r="N143" s="1041" t="s">
        <v>729</v>
      </c>
      <c r="O143" s="1041" t="s">
        <v>1784</v>
      </c>
      <c r="P143" s="1041"/>
      <c r="Q143" s="1024"/>
      <c r="R143" s="1019"/>
      <c r="S143" s="1127">
        <v>394</v>
      </c>
      <c r="T143" s="1153">
        <v>83950000</v>
      </c>
    </row>
    <row r="144" spans="1:103" s="992" customFormat="1" ht="102" x14ac:dyDescent="0.25">
      <c r="A144" s="1020">
        <v>2022138</v>
      </c>
      <c r="B144" s="1020">
        <v>7655</v>
      </c>
      <c r="C144" s="1020" t="s">
        <v>648</v>
      </c>
      <c r="D144" s="1036" t="s">
        <v>690</v>
      </c>
      <c r="E144" s="1037" t="s">
        <v>781</v>
      </c>
      <c r="F144" s="1023" t="s">
        <v>842</v>
      </c>
      <c r="G144" s="1038">
        <v>44575</v>
      </c>
      <c r="H144" s="1038">
        <v>44575</v>
      </c>
      <c r="I144" s="1039" t="s">
        <v>1782</v>
      </c>
      <c r="J144" s="1040" t="s">
        <v>1783</v>
      </c>
      <c r="K144" s="1024" t="s">
        <v>678</v>
      </c>
      <c r="L144" s="1026" t="s">
        <v>679</v>
      </c>
      <c r="M144" s="1027">
        <v>44275000</v>
      </c>
      <c r="N144" s="1041" t="s">
        <v>729</v>
      </c>
      <c r="O144" s="1041" t="s">
        <v>1784</v>
      </c>
      <c r="P144" s="1041"/>
      <c r="Q144" s="1024"/>
      <c r="R144" s="1019"/>
      <c r="S144" s="1127">
        <v>371</v>
      </c>
      <c r="T144" s="1153">
        <v>44275000</v>
      </c>
    </row>
    <row r="145" spans="1:20" s="992" customFormat="1" ht="102" x14ac:dyDescent="0.25">
      <c r="A145" s="1020">
        <v>2022139</v>
      </c>
      <c r="B145" s="1020">
        <v>7655</v>
      </c>
      <c r="C145" s="1020" t="s">
        <v>648</v>
      </c>
      <c r="D145" s="1036" t="s">
        <v>690</v>
      </c>
      <c r="E145" s="1037" t="s">
        <v>781</v>
      </c>
      <c r="F145" s="1023" t="s">
        <v>842</v>
      </c>
      <c r="G145" s="1038">
        <v>44575</v>
      </c>
      <c r="H145" s="1038">
        <v>44575</v>
      </c>
      <c r="I145" s="1039" t="s">
        <v>1782</v>
      </c>
      <c r="J145" s="1040" t="s">
        <v>1783</v>
      </c>
      <c r="K145" s="1024" t="s">
        <v>678</v>
      </c>
      <c r="L145" s="1026" t="s">
        <v>679</v>
      </c>
      <c r="M145" s="1027">
        <v>58650000</v>
      </c>
      <c r="N145" s="1041" t="s">
        <v>729</v>
      </c>
      <c r="O145" s="1041" t="s">
        <v>1784</v>
      </c>
      <c r="P145" s="1041"/>
      <c r="Q145" s="1024"/>
      <c r="R145" s="1019"/>
      <c r="S145" s="1127">
        <v>287</v>
      </c>
      <c r="T145" s="1153">
        <v>58650000</v>
      </c>
    </row>
    <row r="146" spans="1:20" s="992" customFormat="1" ht="63.75" x14ac:dyDescent="0.25">
      <c r="A146" s="1020">
        <v>2022140</v>
      </c>
      <c r="B146" s="1020">
        <v>7655</v>
      </c>
      <c r="C146" s="1020" t="s">
        <v>648</v>
      </c>
      <c r="D146" s="1036" t="s">
        <v>696</v>
      </c>
      <c r="E146" s="1022">
        <v>80111600</v>
      </c>
      <c r="F146" s="1050" t="s">
        <v>843</v>
      </c>
      <c r="G146" s="1051" t="s">
        <v>1743</v>
      </c>
      <c r="H146" s="1051" t="s">
        <v>1743</v>
      </c>
      <c r="I146" s="1051" t="s">
        <v>1799</v>
      </c>
      <c r="J146" s="1040" t="s">
        <v>1783</v>
      </c>
      <c r="K146" s="1024" t="s">
        <v>678</v>
      </c>
      <c r="L146" s="1052" t="s">
        <v>679</v>
      </c>
      <c r="M146" s="1027">
        <v>26496000</v>
      </c>
      <c r="N146" s="1053" t="s">
        <v>729</v>
      </c>
      <c r="O146" s="1053" t="s">
        <v>1784</v>
      </c>
      <c r="P146" s="1053"/>
      <c r="Q146" s="1024"/>
      <c r="R146" s="1019"/>
      <c r="S146" s="1127">
        <v>53</v>
      </c>
      <c r="T146" s="1153">
        <v>26496000</v>
      </c>
    </row>
    <row r="147" spans="1:20" s="992" customFormat="1" ht="63.75" x14ac:dyDescent="0.25">
      <c r="A147" s="1020">
        <v>2022141</v>
      </c>
      <c r="B147" s="1020">
        <v>7655</v>
      </c>
      <c r="C147" s="1020" t="s">
        <v>648</v>
      </c>
      <c r="D147" s="1036" t="s">
        <v>696</v>
      </c>
      <c r="E147" s="1022">
        <v>80111600</v>
      </c>
      <c r="F147" s="1050" t="s">
        <v>844</v>
      </c>
      <c r="G147" s="1051" t="s">
        <v>1743</v>
      </c>
      <c r="H147" s="1051" t="s">
        <v>1743</v>
      </c>
      <c r="I147" s="1051" t="s">
        <v>1799</v>
      </c>
      <c r="J147" s="1040" t="s">
        <v>1783</v>
      </c>
      <c r="K147" s="1024" t="s">
        <v>678</v>
      </c>
      <c r="L147" s="1052" t="s">
        <v>679</v>
      </c>
      <c r="M147" s="1027">
        <v>34776000</v>
      </c>
      <c r="N147" s="1053" t="s">
        <v>729</v>
      </c>
      <c r="O147" s="1053" t="s">
        <v>1784</v>
      </c>
      <c r="P147" s="1053"/>
      <c r="Q147" s="1024"/>
      <c r="R147" s="1019"/>
      <c r="S147" s="1127">
        <v>59</v>
      </c>
      <c r="T147" s="1153">
        <v>34776000</v>
      </c>
    </row>
    <row r="148" spans="1:20" s="992" customFormat="1" ht="63.75" x14ac:dyDescent="0.25">
      <c r="A148" s="1020">
        <v>2022142</v>
      </c>
      <c r="B148" s="1020">
        <v>7655</v>
      </c>
      <c r="C148" s="1020" t="s">
        <v>648</v>
      </c>
      <c r="D148" s="1036" t="s">
        <v>696</v>
      </c>
      <c r="E148" s="1022">
        <v>80111600</v>
      </c>
      <c r="F148" s="1050" t="s">
        <v>845</v>
      </c>
      <c r="G148" s="1051" t="s">
        <v>1743</v>
      </c>
      <c r="H148" s="1051" t="s">
        <v>1743</v>
      </c>
      <c r="I148" s="1051" t="s">
        <v>1746</v>
      </c>
      <c r="J148" s="1040" t="s">
        <v>1783</v>
      </c>
      <c r="K148" s="1024" t="s">
        <v>678</v>
      </c>
      <c r="L148" s="1052" t="s">
        <v>679</v>
      </c>
      <c r="M148" s="1027">
        <v>56100000</v>
      </c>
      <c r="N148" s="1053" t="s">
        <v>729</v>
      </c>
      <c r="O148" s="1053" t="s">
        <v>1784</v>
      </c>
      <c r="P148" s="1053"/>
      <c r="Q148" s="1024"/>
      <c r="R148" s="1019"/>
      <c r="S148" s="1127">
        <v>54</v>
      </c>
      <c r="T148" s="1153">
        <v>45900000</v>
      </c>
    </row>
    <row r="149" spans="1:20" s="992" customFormat="1" ht="63.75" x14ac:dyDescent="0.25">
      <c r="A149" s="1020">
        <v>2022143</v>
      </c>
      <c r="B149" s="1020">
        <v>7655</v>
      </c>
      <c r="C149" s="1020" t="s">
        <v>648</v>
      </c>
      <c r="D149" s="1036" t="s">
        <v>696</v>
      </c>
      <c r="E149" s="1022">
        <v>80111600</v>
      </c>
      <c r="F149" s="1050" t="s">
        <v>846</v>
      </c>
      <c r="G149" s="1051" t="s">
        <v>1743</v>
      </c>
      <c r="H149" s="1051" t="s">
        <v>1743</v>
      </c>
      <c r="I149" s="1051" t="s">
        <v>1746</v>
      </c>
      <c r="J149" s="1040" t="s">
        <v>1783</v>
      </c>
      <c r="K149" s="1024" t="s">
        <v>678</v>
      </c>
      <c r="L149" s="1052" t="s">
        <v>679</v>
      </c>
      <c r="M149" s="1027">
        <v>47817000</v>
      </c>
      <c r="N149" s="1053" t="s">
        <v>729</v>
      </c>
      <c r="O149" s="1053" t="s">
        <v>1784</v>
      </c>
      <c r="P149" s="1053"/>
      <c r="Q149" s="1024"/>
      <c r="R149" s="1019"/>
      <c r="S149" s="1127">
        <v>55</v>
      </c>
      <c r="T149" s="1153">
        <v>34776000</v>
      </c>
    </row>
    <row r="150" spans="1:20" s="992" customFormat="1" ht="63.75" x14ac:dyDescent="0.25">
      <c r="A150" s="1020">
        <v>2022144</v>
      </c>
      <c r="B150" s="1020">
        <v>7655</v>
      </c>
      <c r="C150" s="1020" t="s">
        <v>648</v>
      </c>
      <c r="D150" s="1036" t="s">
        <v>696</v>
      </c>
      <c r="E150" s="1022">
        <v>80111600</v>
      </c>
      <c r="F150" s="1050" t="s">
        <v>844</v>
      </c>
      <c r="G150" s="1051" t="s">
        <v>1743</v>
      </c>
      <c r="H150" s="1051" t="s">
        <v>1743</v>
      </c>
      <c r="I150" s="1051" t="s">
        <v>1746</v>
      </c>
      <c r="J150" s="1040" t="s">
        <v>1783</v>
      </c>
      <c r="K150" s="1024" t="s">
        <v>678</v>
      </c>
      <c r="L150" s="1052" t="s">
        <v>679</v>
      </c>
      <c r="M150" s="1027">
        <v>56100000</v>
      </c>
      <c r="N150" s="1053" t="s">
        <v>729</v>
      </c>
      <c r="O150" s="1053" t="s">
        <v>1784</v>
      </c>
      <c r="P150" s="1053"/>
      <c r="Q150" s="1024"/>
      <c r="R150" s="1019"/>
      <c r="S150" s="1127">
        <v>409</v>
      </c>
      <c r="T150" s="1153">
        <v>34776000</v>
      </c>
    </row>
    <row r="151" spans="1:20" s="992" customFormat="1" ht="63.75" x14ac:dyDescent="0.25">
      <c r="A151" s="1020">
        <v>2022145</v>
      </c>
      <c r="B151" s="1020">
        <v>7655</v>
      </c>
      <c r="C151" s="1020" t="s">
        <v>648</v>
      </c>
      <c r="D151" s="1036" t="s">
        <v>696</v>
      </c>
      <c r="E151" s="1022">
        <v>80111600</v>
      </c>
      <c r="F151" s="1050" t="s">
        <v>846</v>
      </c>
      <c r="G151" s="1051" t="s">
        <v>1743</v>
      </c>
      <c r="H151" s="1051" t="s">
        <v>1743</v>
      </c>
      <c r="I151" s="1051" t="s">
        <v>1786</v>
      </c>
      <c r="J151" s="1040" t="s">
        <v>1783</v>
      </c>
      <c r="K151" s="1024" t="s">
        <v>678</v>
      </c>
      <c r="L151" s="1052" t="s">
        <v>679</v>
      </c>
      <c r="M151" s="1027">
        <v>27895000</v>
      </c>
      <c r="N151" s="1053" t="s">
        <v>729</v>
      </c>
      <c r="O151" s="1053" t="s">
        <v>1784</v>
      </c>
      <c r="P151" s="1053"/>
      <c r="Q151" s="1024"/>
      <c r="R151" s="1019"/>
      <c r="S151" s="1127">
        <v>63</v>
      </c>
      <c r="T151" s="1153">
        <v>27895000</v>
      </c>
    </row>
    <row r="152" spans="1:20" s="992" customFormat="1" ht="63.75" x14ac:dyDescent="0.25">
      <c r="A152" s="1020">
        <v>2022146</v>
      </c>
      <c r="B152" s="1020">
        <v>7655</v>
      </c>
      <c r="C152" s="1020" t="s">
        <v>648</v>
      </c>
      <c r="D152" s="1036" t="s">
        <v>696</v>
      </c>
      <c r="E152" s="1022">
        <v>80111600</v>
      </c>
      <c r="F152" s="1050" t="s">
        <v>846</v>
      </c>
      <c r="G152" s="1051" t="s">
        <v>1743</v>
      </c>
      <c r="H152" s="1051" t="s">
        <v>1743</v>
      </c>
      <c r="I152" s="1051" t="s">
        <v>1786</v>
      </c>
      <c r="J152" s="1040" t="s">
        <v>1783</v>
      </c>
      <c r="K152" s="1024" t="s">
        <v>678</v>
      </c>
      <c r="L152" s="1052" t="s">
        <v>679</v>
      </c>
      <c r="M152" s="1027">
        <v>26950000</v>
      </c>
      <c r="N152" s="1053" t="s">
        <v>729</v>
      </c>
      <c r="O152" s="1053" t="s">
        <v>1784</v>
      </c>
      <c r="P152" s="1053"/>
      <c r="Q152" s="1024"/>
      <c r="R152" s="1019"/>
      <c r="S152" s="1127">
        <v>188</v>
      </c>
      <c r="T152" s="1153">
        <v>26950000</v>
      </c>
    </row>
    <row r="153" spans="1:20" s="992" customFormat="1" ht="63.75" x14ac:dyDescent="0.25">
      <c r="A153" s="1020">
        <v>2022147</v>
      </c>
      <c r="B153" s="1020">
        <v>7655</v>
      </c>
      <c r="C153" s="1020" t="s">
        <v>648</v>
      </c>
      <c r="D153" s="1036" t="s">
        <v>696</v>
      </c>
      <c r="E153" s="1022">
        <v>80111600</v>
      </c>
      <c r="F153" s="1050" t="s">
        <v>847</v>
      </c>
      <c r="G153" s="1051" t="s">
        <v>1743</v>
      </c>
      <c r="H153" s="1051" t="s">
        <v>1743</v>
      </c>
      <c r="I153" s="1051" t="s">
        <v>1799</v>
      </c>
      <c r="J153" s="1040" t="s">
        <v>1783</v>
      </c>
      <c r="K153" s="1024" t="s">
        <v>678</v>
      </c>
      <c r="L153" s="1052" t="s">
        <v>679</v>
      </c>
      <c r="M153" s="1027">
        <v>19600000</v>
      </c>
      <c r="N153" s="1053" t="s">
        <v>729</v>
      </c>
      <c r="O153" s="1053" t="s">
        <v>1784</v>
      </c>
      <c r="P153" s="1053"/>
      <c r="Q153" s="1024"/>
      <c r="R153" s="1019"/>
      <c r="S153" s="1127">
        <v>56</v>
      </c>
      <c r="T153" s="1153">
        <v>17150000</v>
      </c>
    </row>
    <row r="154" spans="1:20" s="992" customFormat="1" ht="63.75" x14ac:dyDescent="0.25">
      <c r="A154" s="1020">
        <v>2022148</v>
      </c>
      <c r="B154" s="1020">
        <v>7655</v>
      </c>
      <c r="C154" s="1020" t="s">
        <v>648</v>
      </c>
      <c r="D154" s="1036" t="s">
        <v>696</v>
      </c>
      <c r="E154" s="1022">
        <v>80111600</v>
      </c>
      <c r="F154" s="1050" t="s">
        <v>848</v>
      </c>
      <c r="G154" s="1051" t="s">
        <v>1743</v>
      </c>
      <c r="H154" s="1051" t="s">
        <v>1743</v>
      </c>
      <c r="I154" s="1051" t="s">
        <v>1799</v>
      </c>
      <c r="J154" s="1040" t="s">
        <v>1783</v>
      </c>
      <c r="K154" s="1024" t="s">
        <v>678</v>
      </c>
      <c r="L154" s="1052" t="s">
        <v>679</v>
      </c>
      <c r="M154" s="1027">
        <v>40800000</v>
      </c>
      <c r="N154" s="1053" t="s">
        <v>729</v>
      </c>
      <c r="O154" s="1053" t="s">
        <v>1784</v>
      </c>
      <c r="P154" s="1053"/>
      <c r="Q154" s="1024"/>
      <c r="R154" s="1019"/>
      <c r="S154" s="1127">
        <v>78</v>
      </c>
      <c r="T154" s="1153">
        <v>35700000</v>
      </c>
    </row>
    <row r="155" spans="1:20" s="992" customFormat="1" ht="63.75" x14ac:dyDescent="0.25">
      <c r="A155" s="1020">
        <v>2022149</v>
      </c>
      <c r="B155" s="1020">
        <v>7655</v>
      </c>
      <c r="C155" s="1020" t="s">
        <v>648</v>
      </c>
      <c r="D155" s="1036" t="s">
        <v>696</v>
      </c>
      <c r="E155" s="1022">
        <v>80111600</v>
      </c>
      <c r="F155" s="1050" t="s">
        <v>849</v>
      </c>
      <c r="G155" s="1051" t="s">
        <v>1743</v>
      </c>
      <c r="H155" s="1051" t="s">
        <v>1743</v>
      </c>
      <c r="I155" s="1051" t="s">
        <v>1746</v>
      </c>
      <c r="J155" s="1040" t="s">
        <v>1783</v>
      </c>
      <c r="K155" s="1024" t="s">
        <v>678</v>
      </c>
      <c r="L155" s="1052" t="s">
        <v>679</v>
      </c>
      <c r="M155" s="1027">
        <v>56100000</v>
      </c>
      <c r="N155" s="1053" t="s">
        <v>729</v>
      </c>
      <c r="O155" s="1053" t="s">
        <v>1784</v>
      </c>
      <c r="P155" s="1053"/>
      <c r="Q155" s="1024"/>
      <c r="R155" s="1019"/>
      <c r="S155" s="1127">
        <v>166</v>
      </c>
      <c r="T155" s="1153">
        <v>45900000</v>
      </c>
    </row>
    <row r="156" spans="1:20" s="992" customFormat="1" ht="63.75" x14ac:dyDescent="0.25">
      <c r="A156" s="1020">
        <v>2022150</v>
      </c>
      <c r="B156" s="1020">
        <v>7655</v>
      </c>
      <c r="C156" s="1020" t="s">
        <v>648</v>
      </c>
      <c r="D156" s="1036" t="s">
        <v>696</v>
      </c>
      <c r="E156" s="1022">
        <v>80111600</v>
      </c>
      <c r="F156" s="1050" t="s">
        <v>848</v>
      </c>
      <c r="G156" s="1051" t="s">
        <v>1743</v>
      </c>
      <c r="H156" s="1051" t="s">
        <v>1743</v>
      </c>
      <c r="I156" s="1051" t="s">
        <v>1786</v>
      </c>
      <c r="J156" s="1040" t="s">
        <v>1783</v>
      </c>
      <c r="K156" s="1024" t="s">
        <v>678</v>
      </c>
      <c r="L156" s="1052" t="s">
        <v>679</v>
      </c>
      <c r="M156" s="1027">
        <v>35700000</v>
      </c>
      <c r="N156" s="1053" t="s">
        <v>729</v>
      </c>
      <c r="O156" s="1053" t="s">
        <v>1784</v>
      </c>
      <c r="P156" s="1053"/>
      <c r="Q156" s="1024"/>
      <c r="R156" s="1019"/>
      <c r="S156" s="1127">
        <v>189</v>
      </c>
      <c r="T156" s="1153">
        <v>35700000</v>
      </c>
    </row>
    <row r="157" spans="1:20" s="992" customFormat="1" ht="63.75" x14ac:dyDescent="0.25">
      <c r="A157" s="1020">
        <v>2022151</v>
      </c>
      <c r="B157" s="1020">
        <v>7655</v>
      </c>
      <c r="C157" s="1020" t="s">
        <v>648</v>
      </c>
      <c r="D157" s="1036" t="s">
        <v>696</v>
      </c>
      <c r="E157" s="1022">
        <v>80111600</v>
      </c>
      <c r="F157" s="1050" t="s">
        <v>850</v>
      </c>
      <c r="G157" s="1051" t="s">
        <v>1743</v>
      </c>
      <c r="H157" s="1051" t="s">
        <v>1743</v>
      </c>
      <c r="I157" s="1051" t="s">
        <v>1799</v>
      </c>
      <c r="J157" s="1040" t="s">
        <v>1783</v>
      </c>
      <c r="K157" s="1024" t="s">
        <v>678</v>
      </c>
      <c r="L157" s="1052" t="s">
        <v>679</v>
      </c>
      <c r="M157" s="1027">
        <v>41400000</v>
      </c>
      <c r="N157" s="1053" t="s">
        <v>729</v>
      </c>
      <c r="O157" s="1053" t="s">
        <v>1784</v>
      </c>
      <c r="P157" s="1053"/>
      <c r="Q157" s="1024"/>
      <c r="R157" s="1019"/>
      <c r="S157" s="1127">
        <v>80</v>
      </c>
      <c r="T157" s="1153">
        <v>41400000</v>
      </c>
    </row>
    <row r="158" spans="1:20" s="992" customFormat="1" ht="63.75" x14ac:dyDescent="0.25">
      <c r="A158" s="1020">
        <v>2022152</v>
      </c>
      <c r="B158" s="1020">
        <v>7655</v>
      </c>
      <c r="C158" s="1020" t="s">
        <v>648</v>
      </c>
      <c r="D158" s="1036" t="s">
        <v>696</v>
      </c>
      <c r="E158" s="1022">
        <v>80111600</v>
      </c>
      <c r="F158" s="1050" t="s">
        <v>851</v>
      </c>
      <c r="G158" s="1051" t="s">
        <v>1743</v>
      </c>
      <c r="H158" s="1051" t="s">
        <v>1743</v>
      </c>
      <c r="I158" s="1051" t="s">
        <v>1799</v>
      </c>
      <c r="J158" s="1040" t="s">
        <v>1783</v>
      </c>
      <c r="K158" s="1024" t="s">
        <v>678</v>
      </c>
      <c r="L158" s="1052" t="s">
        <v>679</v>
      </c>
      <c r="M158" s="1027">
        <v>45544000</v>
      </c>
      <c r="N158" s="1053" t="s">
        <v>729</v>
      </c>
      <c r="O158" s="1053" t="s">
        <v>1784</v>
      </c>
      <c r="P158" s="1053"/>
      <c r="Q158" s="1024"/>
      <c r="R158" s="1019"/>
      <c r="S158" s="1127">
        <v>107</v>
      </c>
      <c r="T158" s="1153">
        <v>45544000</v>
      </c>
    </row>
    <row r="159" spans="1:20" s="992" customFormat="1" ht="63.75" x14ac:dyDescent="0.25">
      <c r="A159" s="1020">
        <v>2022153</v>
      </c>
      <c r="B159" s="1020">
        <v>7655</v>
      </c>
      <c r="C159" s="1020" t="s">
        <v>648</v>
      </c>
      <c r="D159" s="1036" t="s">
        <v>696</v>
      </c>
      <c r="E159" s="1022">
        <v>80111600</v>
      </c>
      <c r="F159" s="1050" t="s">
        <v>852</v>
      </c>
      <c r="G159" s="1051" t="s">
        <v>1743</v>
      </c>
      <c r="H159" s="1051" t="s">
        <v>1743</v>
      </c>
      <c r="I159" s="1051" t="s">
        <v>1786</v>
      </c>
      <c r="J159" s="1040" t="s">
        <v>1783</v>
      </c>
      <c r="K159" s="1024" t="s">
        <v>678</v>
      </c>
      <c r="L159" s="1052" t="s">
        <v>679</v>
      </c>
      <c r="M159" s="1027">
        <v>23184000</v>
      </c>
      <c r="N159" s="1053" t="s">
        <v>729</v>
      </c>
      <c r="O159" s="1053" t="s">
        <v>1784</v>
      </c>
      <c r="P159" s="1053"/>
      <c r="Q159" s="1024"/>
      <c r="R159" s="1019"/>
      <c r="S159" s="1127">
        <v>167</v>
      </c>
      <c r="T159" s="1153">
        <v>23184000</v>
      </c>
    </row>
    <row r="160" spans="1:20" s="992" customFormat="1" ht="63.75" x14ac:dyDescent="0.25">
      <c r="A160" s="1020">
        <v>2022154</v>
      </c>
      <c r="B160" s="1020">
        <v>7655</v>
      </c>
      <c r="C160" s="1020" t="s">
        <v>648</v>
      </c>
      <c r="D160" s="1036" t="s">
        <v>696</v>
      </c>
      <c r="E160" s="1022">
        <v>80111600</v>
      </c>
      <c r="F160" s="1050" t="s">
        <v>853</v>
      </c>
      <c r="G160" s="1051" t="s">
        <v>1743</v>
      </c>
      <c r="H160" s="1051" t="s">
        <v>1743</v>
      </c>
      <c r="I160" s="1051" t="s">
        <v>1786</v>
      </c>
      <c r="J160" s="1040" t="s">
        <v>1783</v>
      </c>
      <c r="K160" s="1024" t="s">
        <v>678</v>
      </c>
      <c r="L160" s="1052" t="s">
        <v>679</v>
      </c>
      <c r="M160" s="1027">
        <v>30429000</v>
      </c>
      <c r="N160" s="1053" t="s">
        <v>729</v>
      </c>
      <c r="O160" s="1053" t="s">
        <v>1784</v>
      </c>
      <c r="P160" s="1053"/>
      <c r="Q160" s="1024"/>
      <c r="R160" s="1019"/>
      <c r="S160" s="1127">
        <v>85</v>
      </c>
      <c r="T160" s="1153">
        <v>30429000</v>
      </c>
    </row>
    <row r="161" spans="1:20" s="992" customFormat="1" ht="63.75" x14ac:dyDescent="0.25">
      <c r="A161" s="1020">
        <v>2022155</v>
      </c>
      <c r="B161" s="1020">
        <v>7655</v>
      </c>
      <c r="C161" s="1020" t="s">
        <v>648</v>
      </c>
      <c r="D161" s="1036" t="s">
        <v>696</v>
      </c>
      <c r="E161" s="1022">
        <v>80111600</v>
      </c>
      <c r="F161" s="1050" t="s">
        <v>854</v>
      </c>
      <c r="G161" s="1051" t="s">
        <v>1743</v>
      </c>
      <c r="H161" s="1051" t="s">
        <v>1743</v>
      </c>
      <c r="I161" s="1051" t="s">
        <v>1746</v>
      </c>
      <c r="J161" s="1040" t="s">
        <v>1783</v>
      </c>
      <c r="K161" s="1024" t="s">
        <v>678</v>
      </c>
      <c r="L161" s="1052" t="s">
        <v>679</v>
      </c>
      <c r="M161" s="1027">
        <v>83600000</v>
      </c>
      <c r="N161" s="1053" t="s">
        <v>729</v>
      </c>
      <c r="O161" s="1053" t="s">
        <v>1784</v>
      </c>
      <c r="P161" s="1053"/>
      <c r="Q161" s="1024"/>
      <c r="R161" s="1019"/>
      <c r="S161" s="1127">
        <v>190</v>
      </c>
      <c r="T161" s="1153">
        <v>68400000</v>
      </c>
    </row>
    <row r="162" spans="1:20" s="1054" customFormat="1" ht="63.75" x14ac:dyDescent="0.25">
      <c r="A162" s="1020">
        <v>2022156</v>
      </c>
      <c r="B162" s="1020">
        <v>7655</v>
      </c>
      <c r="C162" s="1020" t="s">
        <v>648</v>
      </c>
      <c r="D162" s="1036" t="s">
        <v>696</v>
      </c>
      <c r="E162" s="1022">
        <v>80111600</v>
      </c>
      <c r="F162" s="1050" t="s">
        <v>855</v>
      </c>
      <c r="G162" s="1051" t="s">
        <v>1743</v>
      </c>
      <c r="H162" s="1051" t="s">
        <v>1743</v>
      </c>
      <c r="I162" s="1051" t="s">
        <v>1786</v>
      </c>
      <c r="J162" s="1040" t="s">
        <v>1783</v>
      </c>
      <c r="K162" s="1024" t="s">
        <v>678</v>
      </c>
      <c r="L162" s="1052" t="s">
        <v>679</v>
      </c>
      <c r="M162" s="1027">
        <v>26950000</v>
      </c>
      <c r="N162" s="1053" t="s">
        <v>729</v>
      </c>
      <c r="O162" s="1053" t="s">
        <v>1784</v>
      </c>
      <c r="P162" s="1053"/>
      <c r="Q162" s="1024"/>
      <c r="R162" s="1019"/>
      <c r="S162" s="1127">
        <v>340</v>
      </c>
      <c r="T162" s="1153">
        <v>26950000</v>
      </c>
    </row>
    <row r="163" spans="1:20" s="992" customFormat="1" ht="63.75" x14ac:dyDescent="0.25">
      <c r="A163" s="1020">
        <v>2022157</v>
      </c>
      <c r="B163" s="1020">
        <v>7655</v>
      </c>
      <c r="C163" s="1020" t="s">
        <v>648</v>
      </c>
      <c r="D163" s="1036" t="s">
        <v>696</v>
      </c>
      <c r="E163" s="1022">
        <v>80111600</v>
      </c>
      <c r="F163" s="1050" t="s">
        <v>850</v>
      </c>
      <c r="G163" s="1051" t="s">
        <v>1743</v>
      </c>
      <c r="H163" s="1051" t="s">
        <v>1743</v>
      </c>
      <c r="I163" s="1051" t="s">
        <v>1786</v>
      </c>
      <c r="J163" s="1040" t="s">
        <v>1783</v>
      </c>
      <c r="K163" s="1024" t="s">
        <v>678</v>
      </c>
      <c r="L163" s="1052" t="s">
        <v>679</v>
      </c>
      <c r="M163" s="1027">
        <v>36225000</v>
      </c>
      <c r="N163" s="1053" t="s">
        <v>729</v>
      </c>
      <c r="O163" s="1053" t="s">
        <v>1784</v>
      </c>
      <c r="P163" s="1053"/>
      <c r="Q163" s="1024"/>
      <c r="R163" s="1019"/>
      <c r="S163" s="1127">
        <v>168</v>
      </c>
      <c r="T163" s="1153">
        <v>36225000</v>
      </c>
    </row>
    <row r="164" spans="1:20" s="992" customFormat="1" ht="63.75" x14ac:dyDescent="0.25">
      <c r="A164" s="1020">
        <v>2022158</v>
      </c>
      <c r="B164" s="1020">
        <v>7655</v>
      </c>
      <c r="C164" s="1020" t="s">
        <v>648</v>
      </c>
      <c r="D164" s="1036" t="s">
        <v>696</v>
      </c>
      <c r="E164" s="1022">
        <v>80111600</v>
      </c>
      <c r="F164" s="1050" t="s">
        <v>851</v>
      </c>
      <c r="G164" s="1051" t="s">
        <v>1743</v>
      </c>
      <c r="H164" s="1051" t="s">
        <v>1743</v>
      </c>
      <c r="I164" s="1051" t="s">
        <v>1799</v>
      </c>
      <c r="J164" s="1040" t="s">
        <v>1783</v>
      </c>
      <c r="K164" s="1024" t="s">
        <v>678</v>
      </c>
      <c r="L164" s="1052" t="s">
        <v>679</v>
      </c>
      <c r="M164" s="1027">
        <v>45544000</v>
      </c>
      <c r="N164" s="1053" t="s">
        <v>729</v>
      </c>
      <c r="O164" s="1053" t="s">
        <v>1784</v>
      </c>
      <c r="P164" s="1053"/>
      <c r="Q164" s="1024"/>
      <c r="R164" s="1019"/>
      <c r="S164" s="1127">
        <v>103</v>
      </c>
      <c r="T164" s="1153">
        <v>45544000</v>
      </c>
    </row>
    <row r="165" spans="1:20" s="992" customFormat="1" ht="63.75" x14ac:dyDescent="0.25">
      <c r="A165" s="1020">
        <v>2022159</v>
      </c>
      <c r="B165" s="1020">
        <v>7655</v>
      </c>
      <c r="C165" s="1020" t="s">
        <v>648</v>
      </c>
      <c r="D165" s="1036" t="s">
        <v>696</v>
      </c>
      <c r="E165" s="1022">
        <v>80111600</v>
      </c>
      <c r="F165" s="1050" t="s">
        <v>856</v>
      </c>
      <c r="G165" s="1051" t="s">
        <v>1743</v>
      </c>
      <c r="H165" s="1051" t="s">
        <v>1743</v>
      </c>
      <c r="I165" s="1051" t="s">
        <v>1799</v>
      </c>
      <c r="J165" s="1040" t="s">
        <v>1783</v>
      </c>
      <c r="K165" s="1024" t="s">
        <v>678</v>
      </c>
      <c r="L165" s="1052" t="s">
        <v>679</v>
      </c>
      <c r="M165" s="1027">
        <v>19600000</v>
      </c>
      <c r="N165" s="1053" t="s">
        <v>729</v>
      </c>
      <c r="O165" s="1053" t="s">
        <v>1784</v>
      </c>
      <c r="P165" s="1053"/>
      <c r="Q165" s="1024"/>
      <c r="R165" s="1019"/>
      <c r="S165" s="1127">
        <v>113</v>
      </c>
      <c r="T165" s="1153">
        <v>14700000</v>
      </c>
    </row>
    <row r="166" spans="1:20" s="992" customFormat="1" ht="63.75" x14ac:dyDescent="0.25">
      <c r="A166" s="1020">
        <v>2022160</v>
      </c>
      <c r="B166" s="1020">
        <v>7655</v>
      </c>
      <c r="C166" s="1020" t="s">
        <v>648</v>
      </c>
      <c r="D166" s="1036" t="s">
        <v>696</v>
      </c>
      <c r="E166" s="1022">
        <v>80111600</v>
      </c>
      <c r="F166" s="1050" t="s">
        <v>857</v>
      </c>
      <c r="G166" s="1051" t="s">
        <v>1743</v>
      </c>
      <c r="H166" s="1051" t="s">
        <v>1743</v>
      </c>
      <c r="I166" s="1051" t="s">
        <v>1746</v>
      </c>
      <c r="J166" s="1040" t="s">
        <v>1783</v>
      </c>
      <c r="K166" s="1024" t="s">
        <v>678</v>
      </c>
      <c r="L166" s="1052" t="s">
        <v>679</v>
      </c>
      <c r="M166" s="1027">
        <v>31306000</v>
      </c>
      <c r="N166" s="1053" t="s">
        <v>729</v>
      </c>
      <c r="O166" s="1053" t="s">
        <v>1784</v>
      </c>
      <c r="P166" s="1053"/>
      <c r="Q166" s="1024"/>
      <c r="R166" s="1019"/>
      <c r="S166" s="1127">
        <v>181</v>
      </c>
      <c r="T166" s="1153">
        <v>31306000</v>
      </c>
    </row>
    <row r="167" spans="1:20" s="992" customFormat="1" ht="102" x14ac:dyDescent="0.25">
      <c r="A167" s="1020">
        <v>2022161</v>
      </c>
      <c r="B167" s="1020">
        <v>7655</v>
      </c>
      <c r="C167" s="1020" t="s">
        <v>648</v>
      </c>
      <c r="D167" s="1036" t="s">
        <v>696</v>
      </c>
      <c r="E167" s="1022">
        <v>80111600</v>
      </c>
      <c r="F167" s="1050" t="s">
        <v>858</v>
      </c>
      <c r="G167" s="1051" t="s">
        <v>1743</v>
      </c>
      <c r="H167" s="1051" t="s">
        <v>1743</v>
      </c>
      <c r="I167" s="1051" t="s">
        <v>1799</v>
      </c>
      <c r="J167" s="1040" t="s">
        <v>1783</v>
      </c>
      <c r="K167" s="1024" t="s">
        <v>678</v>
      </c>
      <c r="L167" s="1052" t="s">
        <v>679</v>
      </c>
      <c r="M167" s="1027">
        <v>34776000</v>
      </c>
      <c r="N167" s="1053" t="s">
        <v>729</v>
      </c>
      <c r="O167" s="1053" t="s">
        <v>1784</v>
      </c>
      <c r="P167" s="1053"/>
      <c r="Q167" s="1024"/>
      <c r="R167" s="1019"/>
      <c r="S167" s="1127">
        <v>115</v>
      </c>
      <c r="T167" s="1153">
        <v>34776000</v>
      </c>
    </row>
    <row r="168" spans="1:20" s="992" customFormat="1" ht="63.75" x14ac:dyDescent="0.25">
      <c r="A168" s="1020">
        <v>2022162</v>
      </c>
      <c r="B168" s="1020">
        <v>7655</v>
      </c>
      <c r="C168" s="1020" t="s">
        <v>648</v>
      </c>
      <c r="D168" s="1036" t="s">
        <v>696</v>
      </c>
      <c r="E168" s="1022">
        <v>80111600</v>
      </c>
      <c r="F168" s="1050" t="s">
        <v>859</v>
      </c>
      <c r="G168" s="1051" t="s">
        <v>1743</v>
      </c>
      <c r="H168" s="1051" t="s">
        <v>1743</v>
      </c>
      <c r="I168" s="1051" t="s">
        <v>1799</v>
      </c>
      <c r="J168" s="1040" t="s">
        <v>1783</v>
      </c>
      <c r="K168" s="1024" t="s">
        <v>678</v>
      </c>
      <c r="L168" s="1052" t="s">
        <v>679</v>
      </c>
      <c r="M168" s="1027">
        <v>34776000</v>
      </c>
      <c r="N168" s="1053" t="s">
        <v>729</v>
      </c>
      <c r="O168" s="1053" t="s">
        <v>1784</v>
      </c>
      <c r="P168" s="1053"/>
      <c r="Q168" s="1024"/>
      <c r="R168" s="1019"/>
      <c r="S168" s="1127">
        <v>169</v>
      </c>
      <c r="T168" s="1153">
        <v>30429000</v>
      </c>
    </row>
    <row r="169" spans="1:20" s="992" customFormat="1" ht="102" x14ac:dyDescent="0.25">
      <c r="A169" s="1020">
        <v>2022163</v>
      </c>
      <c r="B169" s="1020">
        <v>7655</v>
      </c>
      <c r="C169" s="1020" t="s">
        <v>648</v>
      </c>
      <c r="D169" s="1036" t="s">
        <v>696</v>
      </c>
      <c r="E169" s="1022">
        <v>80111600</v>
      </c>
      <c r="F169" s="1050" t="s">
        <v>860</v>
      </c>
      <c r="G169" s="1051" t="s">
        <v>1743</v>
      </c>
      <c r="H169" s="1051" t="s">
        <v>1743</v>
      </c>
      <c r="I169" s="1051" t="s">
        <v>1746</v>
      </c>
      <c r="J169" s="1040" t="s">
        <v>1783</v>
      </c>
      <c r="K169" s="1024" t="s">
        <v>678</v>
      </c>
      <c r="L169" s="1052" t="s">
        <v>679</v>
      </c>
      <c r="M169" s="1027">
        <v>36850000</v>
      </c>
      <c r="N169" s="1053" t="s">
        <v>729</v>
      </c>
      <c r="O169" s="1053" t="s">
        <v>1784</v>
      </c>
      <c r="P169" s="1053"/>
      <c r="Q169" s="1024"/>
      <c r="R169" s="1019"/>
      <c r="S169" s="1127">
        <v>176</v>
      </c>
      <c r="T169" s="1153">
        <v>21735000</v>
      </c>
    </row>
    <row r="170" spans="1:20" s="992" customFormat="1" ht="63.75" x14ac:dyDescent="0.25">
      <c r="A170" s="1020">
        <v>2022164</v>
      </c>
      <c r="B170" s="1020">
        <v>7655</v>
      </c>
      <c r="C170" s="1020" t="s">
        <v>648</v>
      </c>
      <c r="D170" s="1036" t="s">
        <v>696</v>
      </c>
      <c r="E170" s="1022">
        <v>80111600</v>
      </c>
      <c r="F170" s="1050" t="s">
        <v>861</v>
      </c>
      <c r="G170" s="1051" t="s">
        <v>1743</v>
      </c>
      <c r="H170" s="1051" t="s">
        <v>1743</v>
      </c>
      <c r="I170" s="1051" t="s">
        <v>1786</v>
      </c>
      <c r="J170" s="1040" t="s">
        <v>1783</v>
      </c>
      <c r="K170" s="1024" t="s">
        <v>678</v>
      </c>
      <c r="L170" s="1052" t="s">
        <v>679</v>
      </c>
      <c r="M170" s="1027">
        <v>26950000</v>
      </c>
      <c r="N170" s="1053" t="s">
        <v>729</v>
      </c>
      <c r="O170" s="1053" t="s">
        <v>1784</v>
      </c>
      <c r="P170" s="1053"/>
      <c r="Q170" s="1024"/>
      <c r="R170" s="1019"/>
      <c r="S170" s="1127">
        <v>266</v>
      </c>
      <c r="T170" s="1153">
        <v>24850000</v>
      </c>
    </row>
    <row r="171" spans="1:20" s="992" customFormat="1" ht="63.75" x14ac:dyDescent="0.25">
      <c r="A171" s="1020">
        <v>2022165</v>
      </c>
      <c r="B171" s="1020">
        <v>7655</v>
      </c>
      <c r="C171" s="1020" t="s">
        <v>648</v>
      </c>
      <c r="D171" s="1036" t="s">
        <v>696</v>
      </c>
      <c r="E171" s="1022">
        <v>80111600</v>
      </c>
      <c r="F171" s="1050" t="s">
        <v>862</v>
      </c>
      <c r="G171" s="1051" t="s">
        <v>1743</v>
      </c>
      <c r="H171" s="1051" t="s">
        <v>1743</v>
      </c>
      <c r="I171" s="1051" t="s">
        <v>1799</v>
      </c>
      <c r="J171" s="1040" t="s">
        <v>1783</v>
      </c>
      <c r="K171" s="1024" t="s">
        <v>678</v>
      </c>
      <c r="L171" s="1052" t="s">
        <v>679</v>
      </c>
      <c r="M171" s="1027">
        <v>41400000</v>
      </c>
      <c r="N171" s="1053" t="s">
        <v>729</v>
      </c>
      <c r="O171" s="1053" t="s">
        <v>1784</v>
      </c>
      <c r="P171" s="1053"/>
      <c r="Q171" s="1024"/>
      <c r="R171" s="1019"/>
      <c r="S171" s="1127">
        <v>92</v>
      </c>
      <c r="T171" s="1153">
        <v>41400000</v>
      </c>
    </row>
    <row r="172" spans="1:20" s="992" customFormat="1" ht="63.75" x14ac:dyDescent="0.25">
      <c r="A172" s="1020">
        <v>2022166</v>
      </c>
      <c r="B172" s="1020">
        <v>7655</v>
      </c>
      <c r="C172" s="1020" t="s">
        <v>648</v>
      </c>
      <c r="D172" s="1036" t="s">
        <v>696</v>
      </c>
      <c r="E172" s="1022">
        <v>80111600</v>
      </c>
      <c r="F172" s="1050" t="s">
        <v>863</v>
      </c>
      <c r="G172" s="1051" t="s">
        <v>1743</v>
      </c>
      <c r="H172" s="1051" t="s">
        <v>1743</v>
      </c>
      <c r="I172" s="1051" t="s">
        <v>1799</v>
      </c>
      <c r="J172" s="1040" t="s">
        <v>1783</v>
      </c>
      <c r="K172" s="1024" t="s">
        <v>678</v>
      </c>
      <c r="L172" s="1052" t="s">
        <v>679</v>
      </c>
      <c r="M172" s="1027">
        <v>41400000</v>
      </c>
      <c r="N172" s="1053" t="s">
        <v>729</v>
      </c>
      <c r="O172" s="1053" t="s">
        <v>1784</v>
      </c>
      <c r="P172" s="1053"/>
      <c r="Q172" s="1024"/>
      <c r="R172" s="1019"/>
      <c r="S172" s="1127">
        <v>116</v>
      </c>
      <c r="T172" s="1153">
        <v>36225000</v>
      </c>
    </row>
    <row r="173" spans="1:20" s="992" customFormat="1" ht="63.75" x14ac:dyDescent="0.25">
      <c r="A173" s="1020">
        <v>2022167</v>
      </c>
      <c r="B173" s="1020">
        <v>7655</v>
      </c>
      <c r="C173" s="1020" t="s">
        <v>648</v>
      </c>
      <c r="D173" s="1036" t="s">
        <v>696</v>
      </c>
      <c r="E173" s="1022">
        <v>80111600</v>
      </c>
      <c r="F173" s="1050" t="s">
        <v>864</v>
      </c>
      <c r="G173" s="1051" t="s">
        <v>1743</v>
      </c>
      <c r="H173" s="1051" t="s">
        <v>1743</v>
      </c>
      <c r="I173" s="1051" t="s">
        <v>1746</v>
      </c>
      <c r="J173" s="1040" t="s">
        <v>1783</v>
      </c>
      <c r="K173" s="1024" t="s">
        <v>678</v>
      </c>
      <c r="L173" s="1052" t="s">
        <v>679</v>
      </c>
      <c r="M173" s="1027">
        <v>80036000</v>
      </c>
      <c r="N173" s="1053" t="s">
        <v>729</v>
      </c>
      <c r="O173" s="1053" t="s">
        <v>1784</v>
      </c>
      <c r="P173" s="1053"/>
      <c r="Q173" s="1024"/>
      <c r="R173" s="1019"/>
      <c r="S173" s="1127">
        <v>70</v>
      </c>
      <c r="T173" s="1153">
        <v>80036000</v>
      </c>
    </row>
    <row r="174" spans="1:20" s="992" customFormat="1" ht="63.75" x14ac:dyDescent="0.25">
      <c r="A174" s="1020">
        <v>2022168</v>
      </c>
      <c r="B174" s="1020">
        <v>7655</v>
      </c>
      <c r="C174" s="1020" t="s">
        <v>648</v>
      </c>
      <c r="D174" s="1036" t="s">
        <v>696</v>
      </c>
      <c r="E174" s="1022">
        <v>80111600</v>
      </c>
      <c r="F174" s="1050" t="s">
        <v>862</v>
      </c>
      <c r="G174" s="1051" t="s">
        <v>1743</v>
      </c>
      <c r="H174" s="1051" t="s">
        <v>1743</v>
      </c>
      <c r="I174" s="1051" t="s">
        <v>1791</v>
      </c>
      <c r="J174" s="1040" t="s">
        <v>1783</v>
      </c>
      <c r="K174" s="1024" t="s">
        <v>678</v>
      </c>
      <c r="L174" s="1052" t="s">
        <v>679</v>
      </c>
      <c r="M174" s="1027">
        <v>60000000</v>
      </c>
      <c r="N174" s="1053" t="s">
        <v>729</v>
      </c>
      <c r="O174" s="1053" t="s">
        <v>1784</v>
      </c>
      <c r="P174" s="1053"/>
      <c r="Q174" s="1024"/>
      <c r="R174" s="1019"/>
      <c r="S174" s="1127">
        <v>93</v>
      </c>
      <c r="T174" s="1153">
        <v>60000000</v>
      </c>
    </row>
    <row r="175" spans="1:20" s="992" customFormat="1" ht="102" x14ac:dyDescent="0.25">
      <c r="A175" s="1020">
        <v>2022169</v>
      </c>
      <c r="B175" s="1020">
        <v>7655</v>
      </c>
      <c r="C175" s="1020" t="s">
        <v>648</v>
      </c>
      <c r="D175" s="1036" t="s">
        <v>696</v>
      </c>
      <c r="E175" s="1022">
        <v>80111600</v>
      </c>
      <c r="F175" s="1050" t="s">
        <v>860</v>
      </c>
      <c r="G175" s="1051" t="s">
        <v>1743</v>
      </c>
      <c r="H175" s="1051" t="s">
        <v>1743</v>
      </c>
      <c r="I175" s="1051" t="s">
        <v>1746</v>
      </c>
      <c r="J175" s="1040" t="s">
        <v>1783</v>
      </c>
      <c r="K175" s="1024" t="s">
        <v>678</v>
      </c>
      <c r="L175" s="1052" t="s">
        <v>679</v>
      </c>
      <c r="M175" s="1027">
        <v>34155000</v>
      </c>
      <c r="N175" s="1053" t="s">
        <v>729</v>
      </c>
      <c r="O175" s="1053" t="s">
        <v>1784</v>
      </c>
      <c r="P175" s="1053"/>
      <c r="Q175" s="1024"/>
      <c r="R175" s="1019"/>
      <c r="S175" s="1127">
        <v>170</v>
      </c>
      <c r="T175" s="1153">
        <v>36850000</v>
      </c>
    </row>
    <row r="176" spans="1:20" s="992" customFormat="1" ht="63.75" x14ac:dyDescent="0.25">
      <c r="A176" s="1020">
        <v>2022170</v>
      </c>
      <c r="B176" s="1020">
        <v>7655</v>
      </c>
      <c r="C176" s="1020" t="s">
        <v>648</v>
      </c>
      <c r="D176" s="1036" t="s">
        <v>696</v>
      </c>
      <c r="E176" s="1022">
        <v>80111600</v>
      </c>
      <c r="F176" s="1050" t="s">
        <v>863</v>
      </c>
      <c r="G176" s="1051" t="s">
        <v>1743</v>
      </c>
      <c r="H176" s="1051" t="s">
        <v>1743</v>
      </c>
      <c r="I176" s="1051" t="s">
        <v>1785</v>
      </c>
      <c r="J176" s="1040" t="s">
        <v>1783</v>
      </c>
      <c r="K176" s="1024" t="s">
        <v>678</v>
      </c>
      <c r="L176" s="1052" t="s">
        <v>679</v>
      </c>
      <c r="M176" s="1027">
        <v>26082000</v>
      </c>
      <c r="N176" s="1053" t="s">
        <v>729</v>
      </c>
      <c r="O176" s="1053" t="s">
        <v>1784</v>
      </c>
      <c r="P176" s="1053"/>
      <c r="Q176" s="1024"/>
      <c r="R176" s="1019"/>
      <c r="S176" s="1127">
        <v>187</v>
      </c>
      <c r="T176" s="1153">
        <v>26082000</v>
      </c>
    </row>
    <row r="177" spans="1:20" s="992" customFormat="1" ht="63.75" x14ac:dyDescent="0.25">
      <c r="A177" s="1020">
        <v>2022171</v>
      </c>
      <c r="B177" s="1020">
        <v>7655</v>
      </c>
      <c r="C177" s="1020" t="s">
        <v>648</v>
      </c>
      <c r="D177" s="1036" t="s">
        <v>696</v>
      </c>
      <c r="E177" s="1022">
        <v>80111600</v>
      </c>
      <c r="F177" s="1050" t="s">
        <v>865</v>
      </c>
      <c r="G177" s="1051" t="s">
        <v>1743</v>
      </c>
      <c r="H177" s="1051" t="s">
        <v>1743</v>
      </c>
      <c r="I177" s="1051" t="s">
        <v>1786</v>
      </c>
      <c r="J177" s="1040" t="s">
        <v>1783</v>
      </c>
      <c r="K177" s="1024" t="s">
        <v>678</v>
      </c>
      <c r="L177" s="1052" t="s">
        <v>679</v>
      </c>
      <c r="M177" s="1027">
        <v>36225000</v>
      </c>
      <c r="N177" s="1053" t="s">
        <v>729</v>
      </c>
      <c r="O177" s="1053" t="s">
        <v>1784</v>
      </c>
      <c r="P177" s="1053"/>
      <c r="Q177" s="1024"/>
      <c r="R177" s="1019"/>
      <c r="S177" s="1127">
        <v>281</v>
      </c>
      <c r="T177" s="1153">
        <v>36225000</v>
      </c>
    </row>
    <row r="178" spans="1:20" s="992" customFormat="1" ht="63.75" x14ac:dyDescent="0.25">
      <c r="A178" s="1020">
        <v>2022172</v>
      </c>
      <c r="B178" s="1020">
        <v>7655</v>
      </c>
      <c r="C178" s="1020" t="s">
        <v>648</v>
      </c>
      <c r="D178" s="1036" t="s">
        <v>696</v>
      </c>
      <c r="E178" s="1022">
        <v>80111600</v>
      </c>
      <c r="F178" s="1050" t="s">
        <v>862</v>
      </c>
      <c r="G178" s="1051" t="s">
        <v>1743</v>
      </c>
      <c r="H178" s="1051" t="s">
        <v>1743</v>
      </c>
      <c r="I178" s="1051" t="s">
        <v>1786</v>
      </c>
      <c r="J178" s="1040" t="s">
        <v>1783</v>
      </c>
      <c r="K178" s="1024" t="s">
        <v>678</v>
      </c>
      <c r="L178" s="1052" t="s">
        <v>679</v>
      </c>
      <c r="M178" s="1027">
        <v>36225000</v>
      </c>
      <c r="N178" s="1053" t="s">
        <v>729</v>
      </c>
      <c r="O178" s="1053" t="s">
        <v>1784</v>
      </c>
      <c r="P178" s="1053"/>
      <c r="Q178" s="1024"/>
      <c r="R178" s="1019"/>
      <c r="S178" s="1127">
        <v>338</v>
      </c>
      <c r="T178" s="1153">
        <v>36225000</v>
      </c>
    </row>
    <row r="179" spans="1:20" s="992" customFormat="1" ht="63.75" x14ac:dyDescent="0.25">
      <c r="A179" s="1020">
        <v>2022173</v>
      </c>
      <c r="B179" s="1020">
        <v>7655</v>
      </c>
      <c r="C179" s="1020" t="s">
        <v>648</v>
      </c>
      <c r="D179" s="1036" t="s">
        <v>696</v>
      </c>
      <c r="E179" s="1022">
        <v>80111600</v>
      </c>
      <c r="F179" s="1050" t="s">
        <v>866</v>
      </c>
      <c r="G179" s="1051" t="s">
        <v>1743</v>
      </c>
      <c r="H179" s="1051" t="s">
        <v>1743</v>
      </c>
      <c r="I179" s="1051" t="s">
        <v>1785</v>
      </c>
      <c r="J179" s="1040" t="s">
        <v>1783</v>
      </c>
      <c r="K179" s="1024" t="s">
        <v>678</v>
      </c>
      <c r="L179" s="1052" t="s">
        <v>679</v>
      </c>
      <c r="M179" s="1027">
        <v>12000000</v>
      </c>
      <c r="N179" s="1053" t="s">
        <v>729</v>
      </c>
      <c r="O179" s="1053" t="s">
        <v>1784</v>
      </c>
      <c r="P179" s="1053"/>
      <c r="Q179" s="1024"/>
      <c r="R179" s="1019"/>
      <c r="S179" s="1127">
        <v>391</v>
      </c>
      <c r="T179" s="1153">
        <v>10200000</v>
      </c>
    </row>
    <row r="180" spans="1:20" s="992" customFormat="1" ht="63.75" x14ac:dyDescent="0.25">
      <c r="A180" s="1010">
        <v>2022174</v>
      </c>
      <c r="B180" s="1010">
        <v>7655</v>
      </c>
      <c r="C180" s="1010" t="s">
        <v>648</v>
      </c>
      <c r="D180" s="1042" t="s">
        <v>696</v>
      </c>
      <c r="E180" s="1012">
        <v>80111600</v>
      </c>
      <c r="F180" s="1055" t="s">
        <v>867</v>
      </c>
      <c r="G180" s="1056" t="s">
        <v>1743</v>
      </c>
      <c r="H180" s="1056" t="s">
        <v>1758</v>
      </c>
      <c r="I180" s="1056" t="s">
        <v>1800</v>
      </c>
      <c r="J180" s="1046" t="s">
        <v>1783</v>
      </c>
      <c r="K180" s="1014" t="s">
        <v>678</v>
      </c>
      <c r="L180" s="1057" t="s">
        <v>679</v>
      </c>
      <c r="M180" s="1017">
        <v>282051000</v>
      </c>
      <c r="N180" s="1058" t="s">
        <v>729</v>
      </c>
      <c r="O180" s="1058" t="s">
        <v>1784</v>
      </c>
      <c r="P180" s="1058"/>
      <c r="Q180" s="1014"/>
      <c r="R180" s="1019"/>
      <c r="S180" s="1127"/>
      <c r="T180" s="1153"/>
    </row>
    <row r="181" spans="1:20" s="992" customFormat="1" ht="89.25" x14ac:dyDescent="0.25">
      <c r="A181" s="1010">
        <v>2022175</v>
      </c>
      <c r="B181" s="1010">
        <v>7655</v>
      </c>
      <c r="C181" s="1010" t="s">
        <v>648</v>
      </c>
      <c r="D181" s="1042" t="s">
        <v>702</v>
      </c>
      <c r="E181" s="1059">
        <v>80111600</v>
      </c>
      <c r="F181" s="1060" t="s">
        <v>868</v>
      </c>
      <c r="G181" s="1044" t="s">
        <v>1743</v>
      </c>
      <c r="H181" s="1015" t="s">
        <v>1743</v>
      </c>
      <c r="I181" s="1014" t="s">
        <v>1785</v>
      </c>
      <c r="J181" s="1061" t="s">
        <v>1801</v>
      </c>
      <c r="K181" s="1014" t="s">
        <v>678</v>
      </c>
      <c r="L181" s="1062" t="s">
        <v>679</v>
      </c>
      <c r="M181" s="1017">
        <v>1000000000</v>
      </c>
      <c r="N181" s="1063" t="s">
        <v>727</v>
      </c>
      <c r="O181" s="1058" t="s">
        <v>1784</v>
      </c>
      <c r="P181" s="1058"/>
      <c r="Q181" s="1014"/>
      <c r="R181" s="1019"/>
      <c r="S181" s="1127"/>
      <c r="T181" s="1153"/>
    </row>
    <row r="182" spans="1:20" s="992" customFormat="1" ht="54.75" customHeight="1" x14ac:dyDescent="0.25">
      <c r="A182" s="1010">
        <v>2022176</v>
      </c>
      <c r="B182" s="1010">
        <v>7655</v>
      </c>
      <c r="C182" s="1010" t="s">
        <v>648</v>
      </c>
      <c r="D182" s="1042" t="s">
        <v>702</v>
      </c>
      <c r="E182" s="1043">
        <v>80111600</v>
      </c>
      <c r="F182" s="1013" t="s">
        <v>1802</v>
      </c>
      <c r="G182" s="1044" t="s">
        <v>1743</v>
      </c>
      <c r="H182" s="1015" t="s">
        <v>1743</v>
      </c>
      <c r="I182" s="1064" t="s">
        <v>1803</v>
      </c>
      <c r="J182" s="1046" t="s">
        <v>1783</v>
      </c>
      <c r="K182" s="1014" t="s">
        <v>678</v>
      </c>
      <c r="L182" s="1014" t="s">
        <v>679</v>
      </c>
      <c r="M182" s="1017">
        <f>80500000-42000000</f>
        <v>38500000</v>
      </c>
      <c r="N182" s="1063" t="s">
        <v>727</v>
      </c>
      <c r="O182" s="1058" t="s">
        <v>1784</v>
      </c>
      <c r="P182" s="1058"/>
      <c r="Q182" s="1014"/>
      <c r="R182" s="1019"/>
      <c r="S182" s="1127"/>
      <c r="T182" s="1153"/>
    </row>
    <row r="183" spans="1:20" s="992" customFormat="1" ht="76.5" x14ac:dyDescent="0.25">
      <c r="A183" s="1020">
        <v>2022177</v>
      </c>
      <c r="B183" s="1020">
        <v>7655</v>
      </c>
      <c r="C183" s="1020" t="s">
        <v>648</v>
      </c>
      <c r="D183" s="1036" t="s">
        <v>699</v>
      </c>
      <c r="E183" s="1037">
        <v>80111600</v>
      </c>
      <c r="F183" s="1065" t="s">
        <v>869</v>
      </c>
      <c r="G183" s="1051" t="s">
        <v>1743</v>
      </c>
      <c r="H183" s="1066" t="s">
        <v>1753</v>
      </c>
      <c r="I183" s="1051" t="s">
        <v>1746</v>
      </c>
      <c r="J183" s="1040" t="s">
        <v>1783</v>
      </c>
      <c r="K183" s="1024" t="s">
        <v>678</v>
      </c>
      <c r="L183" s="1067" t="s">
        <v>679</v>
      </c>
      <c r="M183" s="1027">
        <v>80000000</v>
      </c>
      <c r="N183" s="1053" t="s">
        <v>729</v>
      </c>
      <c r="O183" s="1053" t="s">
        <v>1784</v>
      </c>
      <c r="P183" s="1053"/>
      <c r="Q183" s="1024"/>
      <c r="R183" s="1019"/>
      <c r="S183" s="1127">
        <v>460</v>
      </c>
      <c r="T183" s="1153">
        <v>62700000</v>
      </c>
    </row>
    <row r="184" spans="1:20" s="992" customFormat="1" ht="63.75" x14ac:dyDescent="0.25">
      <c r="A184" s="1020">
        <v>2022178</v>
      </c>
      <c r="B184" s="1020">
        <v>7655</v>
      </c>
      <c r="C184" s="1020" t="s">
        <v>648</v>
      </c>
      <c r="D184" s="1036" t="s">
        <v>693</v>
      </c>
      <c r="E184" s="1037">
        <v>80111600</v>
      </c>
      <c r="F184" s="1065" t="s">
        <v>870</v>
      </c>
      <c r="G184" s="1051" t="s">
        <v>1743</v>
      </c>
      <c r="H184" s="1066" t="s">
        <v>1753</v>
      </c>
      <c r="I184" s="1051" t="s">
        <v>1791</v>
      </c>
      <c r="J184" s="1040" t="s">
        <v>1783</v>
      </c>
      <c r="K184" s="1024" t="s">
        <v>678</v>
      </c>
      <c r="L184" s="1067" t="s">
        <v>679</v>
      </c>
      <c r="M184" s="1027">
        <v>80000000</v>
      </c>
      <c r="N184" s="1053" t="s">
        <v>729</v>
      </c>
      <c r="O184" s="1053" t="s">
        <v>1784</v>
      </c>
      <c r="P184" s="1053"/>
      <c r="Q184" s="1024"/>
      <c r="R184" s="1019"/>
      <c r="S184" s="1127">
        <v>119</v>
      </c>
      <c r="T184" s="1153">
        <v>80000000</v>
      </c>
    </row>
    <row r="185" spans="1:20" s="992" customFormat="1" ht="63.75" x14ac:dyDescent="0.25">
      <c r="A185" s="1020">
        <v>2022179</v>
      </c>
      <c r="B185" s="1020">
        <v>7655</v>
      </c>
      <c r="C185" s="1020" t="s">
        <v>648</v>
      </c>
      <c r="D185" s="1036" t="s">
        <v>686</v>
      </c>
      <c r="E185" s="1068">
        <v>80111600</v>
      </c>
      <c r="F185" s="1065" t="s">
        <v>871</v>
      </c>
      <c r="G185" s="1051" t="s">
        <v>1743</v>
      </c>
      <c r="H185" s="1051" t="s">
        <v>1743</v>
      </c>
      <c r="I185" s="1051" t="s">
        <v>1793</v>
      </c>
      <c r="J185" s="1040" t="s">
        <v>1783</v>
      </c>
      <c r="K185" s="1024" t="s">
        <v>678</v>
      </c>
      <c r="L185" s="1067" t="s">
        <v>679</v>
      </c>
      <c r="M185" s="1027">
        <v>39371000</v>
      </c>
      <c r="N185" s="1041" t="s">
        <v>729</v>
      </c>
      <c r="O185" s="1053" t="s">
        <v>1784</v>
      </c>
      <c r="P185" s="1053"/>
      <c r="Q185" s="1024"/>
      <c r="R185" s="1019"/>
      <c r="S185" s="1127">
        <v>105</v>
      </c>
      <c r="T185" s="1153">
        <v>26247328</v>
      </c>
    </row>
    <row r="186" spans="1:20" s="992" customFormat="1" ht="63.75" x14ac:dyDescent="0.25">
      <c r="A186" s="1020">
        <v>2022180</v>
      </c>
      <c r="B186" s="1020">
        <v>7655</v>
      </c>
      <c r="C186" s="1020" t="s">
        <v>648</v>
      </c>
      <c r="D186" s="1036" t="s">
        <v>686</v>
      </c>
      <c r="E186" s="1068">
        <v>80111600</v>
      </c>
      <c r="F186" s="1065" t="s">
        <v>872</v>
      </c>
      <c r="G186" s="1051" t="s">
        <v>1743</v>
      </c>
      <c r="H186" s="1051" t="s">
        <v>1743</v>
      </c>
      <c r="I186" s="1051" t="s">
        <v>1793</v>
      </c>
      <c r="J186" s="1040" t="s">
        <v>1783</v>
      </c>
      <c r="K186" s="1024" t="s">
        <v>678</v>
      </c>
      <c r="L186" s="1067" t="s">
        <v>679</v>
      </c>
      <c r="M186" s="1027">
        <v>45697000</v>
      </c>
      <c r="N186" s="1041" t="s">
        <v>729</v>
      </c>
      <c r="O186" s="1053" t="s">
        <v>1784</v>
      </c>
      <c r="P186" s="1053"/>
      <c r="Q186" s="1024"/>
      <c r="R186" s="1019"/>
      <c r="S186" s="1127">
        <v>153</v>
      </c>
      <c r="T186" s="1153">
        <v>30464664</v>
      </c>
    </row>
    <row r="187" spans="1:20" s="992" customFormat="1" ht="63.75" x14ac:dyDescent="0.25">
      <c r="A187" s="1020">
        <v>2022181</v>
      </c>
      <c r="B187" s="1020">
        <v>7655</v>
      </c>
      <c r="C187" s="1020" t="s">
        <v>648</v>
      </c>
      <c r="D187" s="1036" t="s">
        <v>686</v>
      </c>
      <c r="E187" s="1068">
        <v>80111600</v>
      </c>
      <c r="F187" s="1065" t="s">
        <v>872</v>
      </c>
      <c r="G187" s="1051" t="s">
        <v>1743</v>
      </c>
      <c r="H187" s="1051" t="s">
        <v>1743</v>
      </c>
      <c r="I187" s="1051" t="s">
        <v>1793</v>
      </c>
      <c r="J187" s="1040" t="s">
        <v>1783</v>
      </c>
      <c r="K187" s="1024" t="s">
        <v>678</v>
      </c>
      <c r="L187" s="1067" t="s">
        <v>679</v>
      </c>
      <c r="M187" s="1027">
        <v>79351000</v>
      </c>
      <c r="N187" s="1041" t="s">
        <v>729</v>
      </c>
      <c r="O187" s="1053" t="s">
        <v>1784</v>
      </c>
      <c r="P187" s="1053"/>
      <c r="Q187" s="1024"/>
      <c r="R187" s="1019"/>
      <c r="S187" s="1127">
        <v>155</v>
      </c>
      <c r="T187" s="1153">
        <v>52900664</v>
      </c>
    </row>
    <row r="188" spans="1:20" s="992" customFormat="1" ht="63.75" x14ac:dyDescent="0.25">
      <c r="A188" s="1020">
        <v>2022182</v>
      </c>
      <c r="B188" s="1020">
        <v>7655</v>
      </c>
      <c r="C188" s="1020" t="s">
        <v>648</v>
      </c>
      <c r="D188" s="1036" t="s">
        <v>686</v>
      </c>
      <c r="E188" s="1068">
        <v>80111600</v>
      </c>
      <c r="F188" s="1065" t="s">
        <v>872</v>
      </c>
      <c r="G188" s="1051" t="s">
        <v>1743</v>
      </c>
      <c r="H188" s="1051" t="s">
        <v>1743</v>
      </c>
      <c r="I188" s="1051" t="s">
        <v>1793</v>
      </c>
      <c r="J188" s="1040" t="s">
        <v>1783</v>
      </c>
      <c r="K188" s="1024" t="s">
        <v>678</v>
      </c>
      <c r="L188" s="1067" t="s">
        <v>679</v>
      </c>
      <c r="M188" s="1027">
        <v>79351000</v>
      </c>
      <c r="N188" s="1041" t="s">
        <v>729</v>
      </c>
      <c r="O188" s="1053" t="s">
        <v>1784</v>
      </c>
      <c r="P188" s="1053"/>
      <c r="Q188" s="1024"/>
      <c r="R188" s="1019"/>
      <c r="S188" s="1127">
        <v>98</v>
      </c>
      <c r="T188" s="1153">
        <v>52900664</v>
      </c>
    </row>
    <row r="189" spans="1:20" s="992" customFormat="1" ht="63.75" x14ac:dyDescent="0.25">
      <c r="A189" s="1020">
        <v>2022183</v>
      </c>
      <c r="B189" s="1020">
        <v>7655</v>
      </c>
      <c r="C189" s="1020" t="s">
        <v>648</v>
      </c>
      <c r="D189" s="1036" t="s">
        <v>686</v>
      </c>
      <c r="E189" s="1068">
        <v>80111600</v>
      </c>
      <c r="F189" s="1065" t="s">
        <v>872</v>
      </c>
      <c r="G189" s="1051" t="s">
        <v>1743</v>
      </c>
      <c r="H189" s="1051" t="s">
        <v>1743</v>
      </c>
      <c r="I189" s="1051" t="s">
        <v>1793</v>
      </c>
      <c r="J189" s="1040" t="s">
        <v>1783</v>
      </c>
      <c r="K189" s="1024" t="s">
        <v>678</v>
      </c>
      <c r="L189" s="1067" t="s">
        <v>679</v>
      </c>
      <c r="M189" s="1027">
        <v>79351000</v>
      </c>
      <c r="N189" s="1041" t="s">
        <v>729</v>
      </c>
      <c r="O189" s="1053" t="s">
        <v>1784</v>
      </c>
      <c r="P189" s="1053"/>
      <c r="Q189" s="1024"/>
      <c r="R189" s="1019"/>
      <c r="S189" s="1127">
        <v>154</v>
      </c>
      <c r="T189" s="1153">
        <v>52900664</v>
      </c>
    </row>
    <row r="190" spans="1:20" s="992" customFormat="1" ht="63.75" x14ac:dyDescent="0.25">
      <c r="A190" s="1020">
        <v>2022184</v>
      </c>
      <c r="B190" s="1020">
        <v>7655</v>
      </c>
      <c r="C190" s="1020" t="s">
        <v>648</v>
      </c>
      <c r="D190" s="1036" t="s">
        <v>1804</v>
      </c>
      <c r="E190" s="1037">
        <v>80111600</v>
      </c>
      <c r="F190" s="1023" t="s">
        <v>873</v>
      </c>
      <c r="G190" s="1038">
        <v>44566</v>
      </c>
      <c r="H190" s="1038">
        <v>44568</v>
      </c>
      <c r="I190" s="1051" t="s">
        <v>1805</v>
      </c>
      <c r="J190" s="1040" t="s">
        <v>1783</v>
      </c>
      <c r="K190" s="1024" t="s">
        <v>678</v>
      </c>
      <c r="L190" s="1026" t="s">
        <v>783</v>
      </c>
      <c r="M190" s="1027">
        <v>106950000</v>
      </c>
      <c r="N190" s="1041" t="s">
        <v>729</v>
      </c>
      <c r="O190" s="1053" t="s">
        <v>1784</v>
      </c>
      <c r="P190" s="1053"/>
      <c r="Q190" s="1024"/>
      <c r="R190" s="1019"/>
      <c r="S190" s="1127">
        <v>18</v>
      </c>
      <c r="T190" s="1153">
        <v>106950000</v>
      </c>
    </row>
    <row r="191" spans="1:20" s="992" customFormat="1" ht="63.75" x14ac:dyDescent="0.25">
      <c r="A191" s="1020">
        <v>2022185</v>
      </c>
      <c r="B191" s="1020">
        <v>7655</v>
      </c>
      <c r="C191" s="1020" t="s">
        <v>648</v>
      </c>
      <c r="D191" s="1036" t="s">
        <v>1804</v>
      </c>
      <c r="E191" s="1037">
        <v>80111600</v>
      </c>
      <c r="F191" s="1023" t="s">
        <v>874</v>
      </c>
      <c r="G191" s="1038">
        <v>44566</v>
      </c>
      <c r="H191" s="1038">
        <v>44568</v>
      </c>
      <c r="I191" s="1051" t="s">
        <v>1805</v>
      </c>
      <c r="J191" s="1040" t="s">
        <v>1783</v>
      </c>
      <c r="K191" s="1024" t="s">
        <v>678</v>
      </c>
      <c r="L191" s="1026" t="s">
        <v>783</v>
      </c>
      <c r="M191" s="1027">
        <v>78200000</v>
      </c>
      <c r="N191" s="1041" t="s">
        <v>729</v>
      </c>
      <c r="O191" s="1053" t="s">
        <v>1784</v>
      </c>
      <c r="P191" s="1053"/>
      <c r="Q191" s="1024"/>
      <c r="R191" s="1019"/>
      <c r="S191" s="1127">
        <v>262</v>
      </c>
      <c r="T191" s="1153">
        <v>78200000</v>
      </c>
    </row>
    <row r="192" spans="1:20" s="992" customFormat="1" ht="63.75" x14ac:dyDescent="0.25">
      <c r="A192" s="1020">
        <v>2022186</v>
      </c>
      <c r="B192" s="1020">
        <v>7655</v>
      </c>
      <c r="C192" s="1020" t="s">
        <v>648</v>
      </c>
      <c r="D192" s="1036" t="s">
        <v>1804</v>
      </c>
      <c r="E192" s="1037">
        <v>80111600</v>
      </c>
      <c r="F192" s="1023" t="s">
        <v>875</v>
      </c>
      <c r="G192" s="1038">
        <v>44566</v>
      </c>
      <c r="H192" s="1038">
        <v>44568</v>
      </c>
      <c r="I192" s="1051" t="s">
        <v>1805</v>
      </c>
      <c r="J192" s="1040" t="s">
        <v>1783</v>
      </c>
      <c r="K192" s="1024" t="s">
        <v>678</v>
      </c>
      <c r="L192" s="1026" t="s">
        <v>783</v>
      </c>
      <c r="M192" s="1027">
        <v>92000000</v>
      </c>
      <c r="N192" s="1041" t="s">
        <v>729</v>
      </c>
      <c r="O192" s="1053" t="s">
        <v>1784</v>
      </c>
      <c r="P192" s="1053"/>
      <c r="Q192" s="1024"/>
      <c r="R192" s="1019"/>
      <c r="S192" s="1127">
        <v>17</v>
      </c>
      <c r="T192" s="1153">
        <v>92000000</v>
      </c>
    </row>
    <row r="193" spans="1:20" s="992" customFormat="1" ht="76.5" x14ac:dyDescent="0.25">
      <c r="A193" s="1020">
        <v>2022187</v>
      </c>
      <c r="B193" s="1020">
        <v>7655</v>
      </c>
      <c r="C193" s="1020" t="s">
        <v>648</v>
      </c>
      <c r="D193" s="1036" t="s">
        <v>1804</v>
      </c>
      <c r="E193" s="1037">
        <v>80111600</v>
      </c>
      <c r="F193" s="1023" t="s">
        <v>876</v>
      </c>
      <c r="G193" s="1038">
        <v>44566</v>
      </c>
      <c r="H193" s="1038">
        <v>44568</v>
      </c>
      <c r="I193" s="1051" t="s">
        <v>1805</v>
      </c>
      <c r="J193" s="1040" t="s">
        <v>1783</v>
      </c>
      <c r="K193" s="1024" t="s">
        <v>678</v>
      </c>
      <c r="L193" s="1026" t="s">
        <v>679</v>
      </c>
      <c r="M193" s="1027">
        <v>80500000</v>
      </c>
      <c r="N193" s="1041" t="s">
        <v>729</v>
      </c>
      <c r="O193" s="1053" t="s">
        <v>1784</v>
      </c>
      <c r="P193" s="1053"/>
      <c r="Q193" s="1024"/>
      <c r="R193" s="1019"/>
      <c r="S193" s="1127">
        <v>52</v>
      </c>
      <c r="T193" s="1153">
        <v>80500000</v>
      </c>
    </row>
    <row r="194" spans="1:20" s="992" customFormat="1" ht="63.75" x14ac:dyDescent="0.25">
      <c r="A194" s="1020">
        <v>2022188</v>
      </c>
      <c r="B194" s="1020">
        <v>7655</v>
      </c>
      <c r="C194" s="1020" t="s">
        <v>648</v>
      </c>
      <c r="D194" s="1036" t="s">
        <v>1804</v>
      </c>
      <c r="E194" s="1037">
        <v>80111600</v>
      </c>
      <c r="F194" s="1023" t="s">
        <v>877</v>
      </c>
      <c r="G194" s="1038">
        <v>44566</v>
      </c>
      <c r="H194" s="1038">
        <v>44568</v>
      </c>
      <c r="I194" s="1051" t="s">
        <v>1805</v>
      </c>
      <c r="J194" s="1040" t="s">
        <v>1783</v>
      </c>
      <c r="K194" s="1024" t="s">
        <v>678</v>
      </c>
      <c r="L194" s="1026" t="s">
        <v>783</v>
      </c>
      <c r="M194" s="1027">
        <v>87975000</v>
      </c>
      <c r="N194" s="1041" t="s">
        <v>729</v>
      </c>
      <c r="O194" s="1053" t="s">
        <v>1784</v>
      </c>
      <c r="P194" s="1053"/>
      <c r="Q194" s="1024"/>
      <c r="R194" s="1019"/>
      <c r="S194" s="1127">
        <v>13</v>
      </c>
      <c r="T194" s="1153">
        <v>87975000</v>
      </c>
    </row>
    <row r="195" spans="1:20" s="992" customFormat="1" ht="63.75" x14ac:dyDescent="0.25">
      <c r="A195" s="1020">
        <v>2022189</v>
      </c>
      <c r="B195" s="1020">
        <v>7655</v>
      </c>
      <c r="C195" s="1020" t="s">
        <v>648</v>
      </c>
      <c r="D195" s="1036" t="s">
        <v>1804</v>
      </c>
      <c r="E195" s="1037">
        <v>80111600</v>
      </c>
      <c r="F195" s="1023" t="s">
        <v>877</v>
      </c>
      <c r="G195" s="1038">
        <v>44566</v>
      </c>
      <c r="H195" s="1038">
        <v>44568</v>
      </c>
      <c r="I195" s="1051" t="s">
        <v>1805</v>
      </c>
      <c r="J195" s="1040" t="s">
        <v>1783</v>
      </c>
      <c r="K195" s="1024" t="s">
        <v>678</v>
      </c>
      <c r="L195" s="1026" t="s">
        <v>783</v>
      </c>
      <c r="M195" s="1027">
        <v>87975000</v>
      </c>
      <c r="N195" s="1041" t="s">
        <v>729</v>
      </c>
      <c r="O195" s="1053" t="s">
        <v>1784</v>
      </c>
      <c r="P195" s="1053"/>
      <c r="Q195" s="1024"/>
      <c r="R195" s="1019"/>
      <c r="S195" s="1127">
        <v>14</v>
      </c>
      <c r="T195" s="1153">
        <v>87975000</v>
      </c>
    </row>
    <row r="196" spans="1:20" s="992" customFormat="1" ht="63.75" x14ac:dyDescent="0.25">
      <c r="A196" s="1020">
        <v>2022190</v>
      </c>
      <c r="B196" s="1020">
        <v>7655</v>
      </c>
      <c r="C196" s="1020" t="s">
        <v>648</v>
      </c>
      <c r="D196" s="1036" t="s">
        <v>1804</v>
      </c>
      <c r="E196" s="1037">
        <v>80111600</v>
      </c>
      <c r="F196" s="1023" t="s">
        <v>877</v>
      </c>
      <c r="G196" s="1038">
        <v>44566</v>
      </c>
      <c r="H196" s="1038">
        <v>44568</v>
      </c>
      <c r="I196" s="1051" t="s">
        <v>1805</v>
      </c>
      <c r="J196" s="1040" t="s">
        <v>1783</v>
      </c>
      <c r="K196" s="1024" t="s">
        <v>678</v>
      </c>
      <c r="L196" s="1026" t="s">
        <v>783</v>
      </c>
      <c r="M196" s="1027">
        <v>87975000</v>
      </c>
      <c r="N196" s="1041" t="s">
        <v>729</v>
      </c>
      <c r="O196" s="1053" t="s">
        <v>1784</v>
      </c>
      <c r="P196" s="1053"/>
      <c r="Q196" s="1024"/>
      <c r="R196" s="1019"/>
      <c r="S196" s="1127">
        <v>16</v>
      </c>
      <c r="T196" s="1153">
        <v>87975000</v>
      </c>
    </row>
    <row r="197" spans="1:20" s="992" customFormat="1" ht="63.75" x14ac:dyDescent="0.25">
      <c r="A197" s="1020">
        <v>2022191</v>
      </c>
      <c r="B197" s="1020">
        <v>7655</v>
      </c>
      <c r="C197" s="1020" t="s">
        <v>648</v>
      </c>
      <c r="D197" s="1036" t="s">
        <v>1804</v>
      </c>
      <c r="E197" s="1037">
        <v>80111600</v>
      </c>
      <c r="F197" s="1023" t="s">
        <v>877</v>
      </c>
      <c r="G197" s="1038">
        <v>44566</v>
      </c>
      <c r="H197" s="1038">
        <v>44568</v>
      </c>
      <c r="I197" s="1051" t="s">
        <v>1805</v>
      </c>
      <c r="J197" s="1040" t="s">
        <v>1783</v>
      </c>
      <c r="K197" s="1024" t="s">
        <v>678</v>
      </c>
      <c r="L197" s="1026" t="s">
        <v>783</v>
      </c>
      <c r="M197" s="1027">
        <v>87975000</v>
      </c>
      <c r="N197" s="1041" t="s">
        <v>729</v>
      </c>
      <c r="O197" s="1053" t="s">
        <v>1784</v>
      </c>
      <c r="P197" s="1053"/>
      <c r="Q197" s="1024"/>
      <c r="R197" s="1019"/>
      <c r="S197" s="1127">
        <v>62</v>
      </c>
      <c r="T197" s="1153">
        <v>87975000</v>
      </c>
    </row>
    <row r="198" spans="1:20" s="992" customFormat="1" ht="63.75" x14ac:dyDescent="0.25">
      <c r="A198" s="1020">
        <v>2022192</v>
      </c>
      <c r="B198" s="1020">
        <v>7655</v>
      </c>
      <c r="C198" s="1020" t="s">
        <v>648</v>
      </c>
      <c r="D198" s="1036" t="s">
        <v>1804</v>
      </c>
      <c r="E198" s="1037">
        <v>80111600</v>
      </c>
      <c r="F198" s="1023" t="s">
        <v>877</v>
      </c>
      <c r="G198" s="1038">
        <v>44566</v>
      </c>
      <c r="H198" s="1038">
        <v>44568</v>
      </c>
      <c r="I198" s="1051" t="s">
        <v>1805</v>
      </c>
      <c r="J198" s="1040" t="s">
        <v>1783</v>
      </c>
      <c r="K198" s="1024" t="s">
        <v>678</v>
      </c>
      <c r="L198" s="1026" t="s">
        <v>783</v>
      </c>
      <c r="M198" s="1027">
        <v>87975000</v>
      </c>
      <c r="N198" s="1041" t="s">
        <v>729</v>
      </c>
      <c r="O198" s="1053" t="s">
        <v>1784</v>
      </c>
      <c r="P198" s="1053"/>
      <c r="Q198" s="1024"/>
      <c r="R198" s="1019"/>
      <c r="S198" s="1127">
        <v>131</v>
      </c>
      <c r="T198" s="1153">
        <v>87975000</v>
      </c>
    </row>
    <row r="199" spans="1:20" s="992" customFormat="1" ht="63.75" x14ac:dyDescent="0.25">
      <c r="A199" s="1020">
        <v>2022193</v>
      </c>
      <c r="B199" s="1020">
        <v>7655</v>
      </c>
      <c r="C199" s="1020" t="s">
        <v>648</v>
      </c>
      <c r="D199" s="1036" t="s">
        <v>1804</v>
      </c>
      <c r="E199" s="1037">
        <v>80111600</v>
      </c>
      <c r="F199" s="1023" t="s">
        <v>877</v>
      </c>
      <c r="G199" s="1038">
        <v>44566</v>
      </c>
      <c r="H199" s="1038">
        <v>44568</v>
      </c>
      <c r="I199" s="1051" t="s">
        <v>1805</v>
      </c>
      <c r="J199" s="1040" t="s">
        <v>1783</v>
      </c>
      <c r="K199" s="1024" t="s">
        <v>678</v>
      </c>
      <c r="L199" s="1026" t="s">
        <v>783</v>
      </c>
      <c r="M199" s="1027">
        <v>87975000</v>
      </c>
      <c r="N199" s="1041" t="s">
        <v>729</v>
      </c>
      <c r="O199" s="1053" t="s">
        <v>1784</v>
      </c>
      <c r="P199" s="1053"/>
      <c r="Q199" s="1024"/>
      <c r="R199" s="1019"/>
      <c r="S199" s="1127">
        <v>15</v>
      </c>
      <c r="T199" s="1153">
        <v>87975000</v>
      </c>
    </row>
    <row r="200" spans="1:20" s="992" customFormat="1" ht="63.75" x14ac:dyDescent="0.25">
      <c r="A200" s="1020">
        <v>2022194</v>
      </c>
      <c r="B200" s="1020">
        <v>7655</v>
      </c>
      <c r="C200" s="1020" t="s">
        <v>648</v>
      </c>
      <c r="D200" s="1036" t="s">
        <v>1804</v>
      </c>
      <c r="E200" s="1037">
        <v>80111600</v>
      </c>
      <c r="F200" s="1023" t="s">
        <v>878</v>
      </c>
      <c r="G200" s="1038">
        <v>44566</v>
      </c>
      <c r="H200" s="1038">
        <v>44568</v>
      </c>
      <c r="I200" s="1051" t="s">
        <v>1805</v>
      </c>
      <c r="J200" s="1040" t="s">
        <v>1783</v>
      </c>
      <c r="K200" s="1024" t="s">
        <v>678</v>
      </c>
      <c r="L200" s="1026" t="s">
        <v>783</v>
      </c>
      <c r="M200" s="1027">
        <v>42642000</v>
      </c>
      <c r="N200" s="1041" t="s">
        <v>729</v>
      </c>
      <c r="O200" s="1053" t="s">
        <v>1784</v>
      </c>
      <c r="P200" s="1053"/>
      <c r="Q200" s="1024"/>
      <c r="R200" s="1019"/>
      <c r="S200" s="1127">
        <v>47</v>
      </c>
      <c r="T200" s="1153">
        <v>42642000</v>
      </c>
    </row>
    <row r="201" spans="1:20" s="992" customFormat="1" ht="63.75" x14ac:dyDescent="0.25">
      <c r="A201" s="1020">
        <v>2022195</v>
      </c>
      <c r="B201" s="1020">
        <v>7655</v>
      </c>
      <c r="C201" s="1020" t="s">
        <v>648</v>
      </c>
      <c r="D201" s="1036" t="s">
        <v>1804</v>
      </c>
      <c r="E201" s="1037">
        <v>80111600</v>
      </c>
      <c r="F201" s="1023" t="s">
        <v>878</v>
      </c>
      <c r="G201" s="1038">
        <v>44566</v>
      </c>
      <c r="H201" s="1038">
        <v>44568</v>
      </c>
      <c r="I201" s="1051" t="s">
        <v>1805</v>
      </c>
      <c r="J201" s="1040" t="s">
        <v>1783</v>
      </c>
      <c r="K201" s="1024" t="s">
        <v>678</v>
      </c>
      <c r="L201" s="1026" t="s">
        <v>783</v>
      </c>
      <c r="M201" s="1027">
        <v>42642000</v>
      </c>
      <c r="N201" s="1041" t="s">
        <v>729</v>
      </c>
      <c r="O201" s="1053" t="s">
        <v>1784</v>
      </c>
      <c r="P201" s="1053"/>
      <c r="Q201" s="1024"/>
      <c r="R201" s="1019"/>
      <c r="S201" s="1127">
        <v>41</v>
      </c>
      <c r="T201" s="1153">
        <v>42642000</v>
      </c>
    </row>
    <row r="202" spans="1:20" s="992" customFormat="1" ht="63.75" x14ac:dyDescent="0.25">
      <c r="A202" s="1020">
        <v>2022196</v>
      </c>
      <c r="B202" s="1020">
        <v>7655</v>
      </c>
      <c r="C202" s="1020" t="s">
        <v>648</v>
      </c>
      <c r="D202" s="1036" t="s">
        <v>1804</v>
      </c>
      <c r="E202" s="1037">
        <v>80111600</v>
      </c>
      <c r="F202" s="1023" t="s">
        <v>877</v>
      </c>
      <c r="G202" s="1038">
        <v>44566</v>
      </c>
      <c r="H202" s="1038">
        <v>44568</v>
      </c>
      <c r="I202" s="1051" t="s">
        <v>1806</v>
      </c>
      <c r="J202" s="1040" t="s">
        <v>1783</v>
      </c>
      <c r="K202" s="1024" t="s">
        <v>678</v>
      </c>
      <c r="L202" s="1026" t="s">
        <v>783</v>
      </c>
      <c r="M202" s="1027">
        <v>71103000</v>
      </c>
      <c r="N202" s="1041" t="s">
        <v>729</v>
      </c>
      <c r="O202" s="1053" t="s">
        <v>1784</v>
      </c>
      <c r="P202" s="1053"/>
      <c r="Q202" s="1024"/>
      <c r="R202" s="1019"/>
      <c r="S202" s="1127">
        <v>86</v>
      </c>
      <c r="T202" s="1153">
        <v>70890000</v>
      </c>
    </row>
    <row r="203" spans="1:20" s="992" customFormat="1" ht="63.75" x14ac:dyDescent="0.25">
      <c r="A203" s="1020">
        <v>2022197</v>
      </c>
      <c r="B203" s="1020">
        <v>7655</v>
      </c>
      <c r="C203" s="1020" t="s">
        <v>648</v>
      </c>
      <c r="D203" s="1036" t="s">
        <v>1804</v>
      </c>
      <c r="E203" s="1037">
        <v>80111600</v>
      </c>
      <c r="F203" s="1023" t="s">
        <v>879</v>
      </c>
      <c r="G203" s="1038">
        <v>44566</v>
      </c>
      <c r="H203" s="1038">
        <v>44568</v>
      </c>
      <c r="I203" s="1051" t="s">
        <v>1805</v>
      </c>
      <c r="J203" s="1040" t="s">
        <v>1783</v>
      </c>
      <c r="K203" s="1024" t="s">
        <v>678</v>
      </c>
      <c r="L203" s="1026" t="s">
        <v>783</v>
      </c>
      <c r="M203" s="1027">
        <v>61295000</v>
      </c>
      <c r="N203" s="1041" t="s">
        <v>729</v>
      </c>
      <c r="O203" s="1053" t="s">
        <v>1784</v>
      </c>
      <c r="P203" s="1053"/>
      <c r="Q203" s="1024"/>
      <c r="R203" s="1019"/>
      <c r="S203" s="1127">
        <v>12</v>
      </c>
      <c r="T203" s="1153">
        <v>61295000</v>
      </c>
    </row>
    <row r="204" spans="1:20" s="992" customFormat="1" ht="63.75" x14ac:dyDescent="0.25">
      <c r="A204" s="1020">
        <v>2022198</v>
      </c>
      <c r="B204" s="1020">
        <v>7655</v>
      </c>
      <c r="C204" s="1020" t="s">
        <v>648</v>
      </c>
      <c r="D204" s="1036" t="s">
        <v>1804</v>
      </c>
      <c r="E204" s="1037">
        <v>80111600</v>
      </c>
      <c r="F204" s="1023" t="s">
        <v>880</v>
      </c>
      <c r="G204" s="1038">
        <v>44566</v>
      </c>
      <c r="H204" s="1038">
        <v>44568</v>
      </c>
      <c r="I204" s="1051" t="s">
        <v>1805</v>
      </c>
      <c r="J204" s="1040" t="s">
        <v>1783</v>
      </c>
      <c r="K204" s="1024" t="s">
        <v>678</v>
      </c>
      <c r="L204" s="1026" t="s">
        <v>783</v>
      </c>
      <c r="M204" s="1027">
        <v>358041000</v>
      </c>
      <c r="N204" s="1041" t="s">
        <v>729</v>
      </c>
      <c r="O204" s="1053" t="s">
        <v>1784</v>
      </c>
      <c r="P204" s="1053"/>
      <c r="Q204" s="1024"/>
      <c r="R204" s="1019"/>
      <c r="S204" s="1127">
        <v>299</v>
      </c>
      <c r="T204" s="1153">
        <v>358041000</v>
      </c>
    </row>
    <row r="205" spans="1:20" s="992" customFormat="1" ht="63.75" x14ac:dyDescent="0.25">
      <c r="A205" s="1020">
        <v>2022199</v>
      </c>
      <c r="B205" s="1020">
        <v>7655</v>
      </c>
      <c r="C205" s="1020" t="s">
        <v>648</v>
      </c>
      <c r="D205" s="1036" t="s">
        <v>1804</v>
      </c>
      <c r="E205" s="1037">
        <v>80111600</v>
      </c>
      <c r="F205" s="1023" t="s">
        <v>881</v>
      </c>
      <c r="G205" s="1038">
        <v>44566</v>
      </c>
      <c r="H205" s="1038">
        <v>44568</v>
      </c>
      <c r="I205" s="1051" t="s">
        <v>1805</v>
      </c>
      <c r="J205" s="1040" t="s">
        <v>1783</v>
      </c>
      <c r="K205" s="1024" t="s">
        <v>678</v>
      </c>
      <c r="L205" s="1026" t="s">
        <v>679</v>
      </c>
      <c r="M205" s="1027">
        <v>38525000</v>
      </c>
      <c r="N205" s="1041" t="s">
        <v>729</v>
      </c>
      <c r="O205" s="1053" t="s">
        <v>1784</v>
      </c>
      <c r="P205" s="1053"/>
      <c r="Q205" s="1024"/>
      <c r="R205" s="1019"/>
      <c r="S205" s="1127">
        <v>120</v>
      </c>
      <c r="T205" s="1153">
        <v>38525000</v>
      </c>
    </row>
    <row r="206" spans="1:20" s="992" customFormat="1" ht="63.75" x14ac:dyDescent="0.25">
      <c r="A206" s="1020">
        <v>2022200</v>
      </c>
      <c r="B206" s="1020">
        <v>7655</v>
      </c>
      <c r="C206" s="1020" t="s">
        <v>648</v>
      </c>
      <c r="D206" s="1036" t="s">
        <v>1804</v>
      </c>
      <c r="E206" s="1037">
        <v>80111600</v>
      </c>
      <c r="F206" s="1023" t="s">
        <v>882</v>
      </c>
      <c r="G206" s="1038">
        <v>44566</v>
      </c>
      <c r="H206" s="1038">
        <v>44568</v>
      </c>
      <c r="I206" s="1051" t="s">
        <v>1805</v>
      </c>
      <c r="J206" s="1040" t="s">
        <v>1783</v>
      </c>
      <c r="K206" s="1024" t="s">
        <v>678</v>
      </c>
      <c r="L206" s="1026" t="s">
        <v>679</v>
      </c>
      <c r="M206" s="1027">
        <v>32200000</v>
      </c>
      <c r="N206" s="1041" t="s">
        <v>729</v>
      </c>
      <c r="O206" s="1053" t="s">
        <v>1784</v>
      </c>
      <c r="P206" s="1053"/>
      <c r="Q206" s="1024"/>
      <c r="R206" s="1019"/>
      <c r="S206" s="1127">
        <v>40</v>
      </c>
      <c r="T206" s="1153">
        <v>32200000</v>
      </c>
    </row>
    <row r="207" spans="1:20" s="992" customFormat="1" ht="63.75" x14ac:dyDescent="0.25">
      <c r="A207" s="1020">
        <v>2022201</v>
      </c>
      <c r="B207" s="1020">
        <v>7655</v>
      </c>
      <c r="C207" s="1020" t="s">
        <v>648</v>
      </c>
      <c r="D207" s="1036" t="s">
        <v>1804</v>
      </c>
      <c r="E207" s="1037">
        <v>80111600</v>
      </c>
      <c r="F207" s="1023" t="s">
        <v>882</v>
      </c>
      <c r="G207" s="1038">
        <v>44566</v>
      </c>
      <c r="H207" s="1038">
        <v>44568</v>
      </c>
      <c r="I207" s="1051" t="s">
        <v>1805</v>
      </c>
      <c r="J207" s="1040" t="s">
        <v>1783</v>
      </c>
      <c r="K207" s="1024" t="s">
        <v>678</v>
      </c>
      <c r="L207" s="1026" t="s">
        <v>679</v>
      </c>
      <c r="M207" s="1027">
        <v>32200000</v>
      </c>
      <c r="N207" s="1041" t="s">
        <v>729</v>
      </c>
      <c r="O207" s="1053" t="s">
        <v>1784</v>
      </c>
      <c r="P207" s="1053"/>
      <c r="Q207" s="1024"/>
      <c r="R207" s="1019"/>
      <c r="S207" s="1127">
        <v>57</v>
      </c>
      <c r="T207" s="1153">
        <v>32200000</v>
      </c>
    </row>
    <row r="208" spans="1:20" s="992" customFormat="1" ht="63.75" x14ac:dyDescent="0.25">
      <c r="A208" s="1020">
        <v>2022202</v>
      </c>
      <c r="B208" s="1020">
        <v>7655</v>
      </c>
      <c r="C208" s="1020" t="s">
        <v>648</v>
      </c>
      <c r="D208" s="1036" t="s">
        <v>1804</v>
      </c>
      <c r="E208" s="1037">
        <v>80111600</v>
      </c>
      <c r="F208" s="1023" t="s">
        <v>882</v>
      </c>
      <c r="G208" s="1038">
        <v>44566</v>
      </c>
      <c r="H208" s="1038">
        <v>44568</v>
      </c>
      <c r="I208" s="1051" t="s">
        <v>1805</v>
      </c>
      <c r="J208" s="1040" t="s">
        <v>1783</v>
      </c>
      <c r="K208" s="1024" t="s">
        <v>678</v>
      </c>
      <c r="L208" s="1026" t="s">
        <v>679</v>
      </c>
      <c r="M208" s="1027">
        <v>32200000</v>
      </c>
      <c r="N208" s="1041" t="s">
        <v>729</v>
      </c>
      <c r="O208" s="1053" t="s">
        <v>1784</v>
      </c>
      <c r="P208" s="1053"/>
      <c r="Q208" s="1024"/>
      <c r="R208" s="1019"/>
      <c r="S208" s="1127">
        <v>125</v>
      </c>
      <c r="T208" s="1153">
        <v>32200000</v>
      </c>
    </row>
    <row r="209" spans="1:20" s="992" customFormat="1" ht="63.75" x14ac:dyDescent="0.25">
      <c r="A209" s="1020">
        <v>2022203</v>
      </c>
      <c r="B209" s="1020">
        <v>7655</v>
      </c>
      <c r="C209" s="1020" t="s">
        <v>648</v>
      </c>
      <c r="D209" s="1036" t="s">
        <v>1804</v>
      </c>
      <c r="E209" s="1037">
        <v>80111600</v>
      </c>
      <c r="F209" s="1023" t="s">
        <v>882</v>
      </c>
      <c r="G209" s="1038">
        <v>44566</v>
      </c>
      <c r="H209" s="1038">
        <v>44568</v>
      </c>
      <c r="I209" s="1051" t="s">
        <v>1805</v>
      </c>
      <c r="J209" s="1040" t="s">
        <v>1783</v>
      </c>
      <c r="K209" s="1024" t="s">
        <v>678</v>
      </c>
      <c r="L209" s="1026" t="s">
        <v>679</v>
      </c>
      <c r="M209" s="1027">
        <v>37950000</v>
      </c>
      <c r="N209" s="1041" t="s">
        <v>729</v>
      </c>
      <c r="O209" s="1053" t="s">
        <v>1784</v>
      </c>
      <c r="P209" s="1053"/>
      <c r="Q209" s="1024"/>
      <c r="R209" s="1019"/>
      <c r="S209" s="1127">
        <v>46</v>
      </c>
      <c r="T209" s="1153">
        <v>37950000</v>
      </c>
    </row>
    <row r="210" spans="1:20" s="992" customFormat="1" ht="63.75" x14ac:dyDescent="0.25">
      <c r="A210" s="1020">
        <v>2022204</v>
      </c>
      <c r="B210" s="1020">
        <v>7655</v>
      </c>
      <c r="C210" s="1020" t="s">
        <v>648</v>
      </c>
      <c r="D210" s="1036" t="s">
        <v>1804</v>
      </c>
      <c r="E210" s="1037">
        <v>80111600</v>
      </c>
      <c r="F210" s="1023" t="s">
        <v>883</v>
      </c>
      <c r="G210" s="1038">
        <v>44566</v>
      </c>
      <c r="H210" s="1038">
        <v>44568</v>
      </c>
      <c r="I210" s="1051" t="s">
        <v>1805</v>
      </c>
      <c r="J210" s="1040" t="s">
        <v>1783</v>
      </c>
      <c r="K210" s="1024" t="s">
        <v>678</v>
      </c>
      <c r="L210" s="1026" t="s">
        <v>679</v>
      </c>
      <c r="M210" s="1027">
        <v>52900000</v>
      </c>
      <c r="N210" s="1041" t="s">
        <v>729</v>
      </c>
      <c r="O210" s="1053" t="s">
        <v>1784</v>
      </c>
      <c r="P210" s="1053"/>
      <c r="Q210" s="1024"/>
      <c r="R210" s="1019"/>
      <c r="S210" s="1127">
        <v>42</v>
      </c>
      <c r="T210" s="1153">
        <v>51750000</v>
      </c>
    </row>
    <row r="211" spans="1:20" s="992" customFormat="1" ht="63.75" x14ac:dyDescent="0.25">
      <c r="A211" s="1020">
        <v>2022205</v>
      </c>
      <c r="B211" s="1020">
        <v>7655</v>
      </c>
      <c r="C211" s="1020" t="s">
        <v>648</v>
      </c>
      <c r="D211" s="1036" t="s">
        <v>1804</v>
      </c>
      <c r="E211" s="1037">
        <v>80111600</v>
      </c>
      <c r="F211" s="1023" t="s">
        <v>884</v>
      </c>
      <c r="G211" s="1038">
        <v>44566</v>
      </c>
      <c r="H211" s="1038">
        <v>44568</v>
      </c>
      <c r="I211" s="1051" t="s">
        <v>1785</v>
      </c>
      <c r="J211" s="1040" t="s">
        <v>1783</v>
      </c>
      <c r="K211" s="1024" t="s">
        <v>678</v>
      </c>
      <c r="L211" s="1026" t="s">
        <v>679</v>
      </c>
      <c r="M211" s="1027">
        <v>37080000</v>
      </c>
      <c r="N211" s="1041" t="s">
        <v>729</v>
      </c>
      <c r="O211" s="1053" t="s">
        <v>1784</v>
      </c>
      <c r="P211" s="1053"/>
      <c r="Q211" s="1024"/>
      <c r="R211" s="1019"/>
      <c r="S211" s="1127">
        <v>58</v>
      </c>
      <c r="T211" s="1153">
        <v>37080000</v>
      </c>
    </row>
    <row r="212" spans="1:20" s="992" customFormat="1" ht="63.75" x14ac:dyDescent="0.25">
      <c r="A212" s="1020">
        <v>2022206</v>
      </c>
      <c r="B212" s="1020">
        <v>7655</v>
      </c>
      <c r="C212" s="1020" t="s">
        <v>648</v>
      </c>
      <c r="D212" s="1036" t="s">
        <v>1804</v>
      </c>
      <c r="E212" s="1037">
        <v>80111600</v>
      </c>
      <c r="F212" s="1023" t="s">
        <v>885</v>
      </c>
      <c r="G212" s="1038">
        <v>44566</v>
      </c>
      <c r="H212" s="1038">
        <v>44568</v>
      </c>
      <c r="I212" s="1051" t="s">
        <v>1785</v>
      </c>
      <c r="J212" s="1040" t="s">
        <v>1783</v>
      </c>
      <c r="K212" s="1024" t="s">
        <v>678</v>
      </c>
      <c r="L212" s="1026" t="s">
        <v>679</v>
      </c>
      <c r="M212" s="1027">
        <v>16800000</v>
      </c>
      <c r="N212" s="1041" t="s">
        <v>729</v>
      </c>
      <c r="O212" s="1053" t="s">
        <v>1784</v>
      </c>
      <c r="P212" s="1053"/>
      <c r="Q212" s="1024"/>
      <c r="R212" s="1019"/>
      <c r="S212" s="1127">
        <v>39</v>
      </c>
      <c r="T212" s="1153">
        <v>16800000</v>
      </c>
    </row>
    <row r="213" spans="1:20" s="992" customFormat="1" ht="63.75" x14ac:dyDescent="0.25">
      <c r="A213" s="1020">
        <v>2022207</v>
      </c>
      <c r="B213" s="1020">
        <v>7655</v>
      </c>
      <c r="C213" s="1020" t="s">
        <v>648</v>
      </c>
      <c r="D213" s="1036" t="s">
        <v>1804</v>
      </c>
      <c r="E213" s="1037">
        <v>80111600</v>
      </c>
      <c r="F213" s="1023" t="s">
        <v>886</v>
      </c>
      <c r="G213" s="1038">
        <v>44566</v>
      </c>
      <c r="H213" s="1038">
        <v>44568</v>
      </c>
      <c r="I213" s="1051" t="s">
        <v>1807</v>
      </c>
      <c r="J213" s="1040" t="s">
        <v>1783</v>
      </c>
      <c r="K213" s="1024" t="s">
        <v>678</v>
      </c>
      <c r="L213" s="1026" t="s">
        <v>679</v>
      </c>
      <c r="M213" s="1027">
        <v>17500000</v>
      </c>
      <c r="N213" s="1041" t="s">
        <v>729</v>
      </c>
      <c r="O213" s="1053" t="s">
        <v>1784</v>
      </c>
      <c r="P213" s="1053"/>
      <c r="Q213" s="1024"/>
      <c r="R213" s="1019"/>
      <c r="S213" s="1127">
        <v>64</v>
      </c>
      <c r="T213" s="1153">
        <v>17500000</v>
      </c>
    </row>
    <row r="214" spans="1:20" s="992" customFormat="1" ht="76.5" x14ac:dyDescent="0.25">
      <c r="A214" s="1020">
        <v>2022208</v>
      </c>
      <c r="B214" s="1020">
        <v>7655</v>
      </c>
      <c r="C214" s="1020" t="s">
        <v>648</v>
      </c>
      <c r="D214" s="1036" t="s">
        <v>674</v>
      </c>
      <c r="E214" s="1037">
        <v>80111600</v>
      </c>
      <c r="F214" s="1023" t="s">
        <v>887</v>
      </c>
      <c r="G214" s="1038" t="s">
        <v>1743</v>
      </c>
      <c r="H214" s="1025" t="s">
        <v>1743</v>
      </c>
      <c r="I214" s="1069" t="s">
        <v>1808</v>
      </c>
      <c r="J214" s="1040" t="s">
        <v>1783</v>
      </c>
      <c r="K214" s="1024" t="s">
        <v>678</v>
      </c>
      <c r="L214" s="1070" t="s">
        <v>679</v>
      </c>
      <c r="M214" s="1027">
        <v>106950000</v>
      </c>
      <c r="N214" s="1041" t="s">
        <v>729</v>
      </c>
      <c r="O214" s="1053" t="s">
        <v>1784</v>
      </c>
      <c r="P214" s="1053"/>
      <c r="Q214" s="1024"/>
      <c r="R214" s="1019"/>
      <c r="S214" s="1127">
        <v>351</v>
      </c>
      <c r="T214" s="1153">
        <v>102300000</v>
      </c>
    </row>
    <row r="215" spans="1:20" s="992" customFormat="1" ht="63.75" x14ac:dyDescent="0.25">
      <c r="A215" s="1020">
        <v>2022209</v>
      </c>
      <c r="B215" s="1020">
        <v>7655</v>
      </c>
      <c r="C215" s="1020" t="s">
        <v>648</v>
      </c>
      <c r="D215" s="1036" t="s">
        <v>674</v>
      </c>
      <c r="E215" s="1037">
        <v>80111600</v>
      </c>
      <c r="F215" s="1023" t="s">
        <v>888</v>
      </c>
      <c r="G215" s="1038" t="s">
        <v>1743</v>
      </c>
      <c r="H215" s="1025" t="s">
        <v>1743</v>
      </c>
      <c r="I215" s="1069" t="s">
        <v>1808</v>
      </c>
      <c r="J215" s="1040" t="s">
        <v>1783</v>
      </c>
      <c r="K215" s="1024" t="s">
        <v>678</v>
      </c>
      <c r="L215" s="1070" t="s">
        <v>679</v>
      </c>
      <c r="M215" s="1027">
        <v>97750000</v>
      </c>
      <c r="N215" s="1041" t="s">
        <v>729</v>
      </c>
      <c r="O215" s="1053" t="s">
        <v>1784</v>
      </c>
      <c r="P215" s="1053"/>
      <c r="Q215" s="1024"/>
      <c r="R215" s="1019"/>
      <c r="S215" s="1127">
        <v>443</v>
      </c>
      <c r="T215" s="1153">
        <v>93500000</v>
      </c>
    </row>
    <row r="216" spans="1:20" s="992" customFormat="1" ht="63.75" x14ac:dyDescent="0.25">
      <c r="A216" s="1020">
        <v>2022210</v>
      </c>
      <c r="B216" s="1020">
        <v>7655</v>
      </c>
      <c r="C216" s="1020" t="s">
        <v>648</v>
      </c>
      <c r="D216" s="1036" t="s">
        <v>674</v>
      </c>
      <c r="E216" s="1037">
        <v>80111600</v>
      </c>
      <c r="F216" s="1023" t="s">
        <v>889</v>
      </c>
      <c r="G216" s="1038" t="s">
        <v>1743</v>
      </c>
      <c r="H216" s="1025" t="s">
        <v>1743</v>
      </c>
      <c r="I216" s="1069" t="s">
        <v>1808</v>
      </c>
      <c r="J216" s="1040" t="s">
        <v>1783</v>
      </c>
      <c r="K216" s="1024" t="s">
        <v>678</v>
      </c>
      <c r="L216" s="1070" t="s">
        <v>679</v>
      </c>
      <c r="M216" s="1027">
        <v>92000000</v>
      </c>
      <c r="N216" s="1041" t="s">
        <v>729</v>
      </c>
      <c r="O216" s="1053" t="s">
        <v>1784</v>
      </c>
      <c r="P216" s="1053"/>
      <c r="Q216" s="1024"/>
      <c r="R216" s="1019"/>
      <c r="S216" s="1127">
        <v>126</v>
      </c>
      <c r="T216" s="1153">
        <v>68000000</v>
      </c>
    </row>
    <row r="217" spans="1:20" s="992" customFormat="1" ht="63.75" x14ac:dyDescent="0.25">
      <c r="A217" s="1020">
        <v>2022211</v>
      </c>
      <c r="B217" s="1020">
        <v>7655</v>
      </c>
      <c r="C217" s="1020" t="s">
        <v>648</v>
      </c>
      <c r="D217" s="1036" t="s">
        <v>674</v>
      </c>
      <c r="E217" s="1037">
        <v>80111600</v>
      </c>
      <c r="F217" s="1023" t="s">
        <v>890</v>
      </c>
      <c r="G217" s="1038" t="s">
        <v>1743</v>
      </c>
      <c r="H217" s="1025" t="s">
        <v>1743</v>
      </c>
      <c r="I217" s="1069" t="s">
        <v>1808</v>
      </c>
      <c r="J217" s="1040" t="s">
        <v>1783</v>
      </c>
      <c r="K217" s="1024" t="s">
        <v>678</v>
      </c>
      <c r="L217" s="1070" t="s">
        <v>679</v>
      </c>
      <c r="M217" s="1027">
        <v>80500000</v>
      </c>
      <c r="N217" s="1041" t="s">
        <v>729</v>
      </c>
      <c r="O217" s="1053" t="s">
        <v>1784</v>
      </c>
      <c r="P217" s="1053"/>
      <c r="Q217" s="1024"/>
      <c r="R217" s="1019"/>
      <c r="S217" s="1127">
        <v>454</v>
      </c>
      <c r="T217" s="1153">
        <v>77000000</v>
      </c>
    </row>
    <row r="218" spans="1:20" s="992" customFormat="1" ht="63.75" x14ac:dyDescent="0.25">
      <c r="A218" s="1020">
        <v>2022212</v>
      </c>
      <c r="B218" s="1020">
        <v>7655</v>
      </c>
      <c r="C218" s="1020" t="s">
        <v>648</v>
      </c>
      <c r="D218" s="1036" t="s">
        <v>674</v>
      </c>
      <c r="E218" s="1037">
        <v>80111600</v>
      </c>
      <c r="F218" s="1023" t="s">
        <v>891</v>
      </c>
      <c r="G218" s="1038" t="s">
        <v>1743</v>
      </c>
      <c r="H218" s="1025" t="s">
        <v>1743</v>
      </c>
      <c r="I218" s="1069" t="s">
        <v>1808</v>
      </c>
      <c r="J218" s="1040" t="s">
        <v>1783</v>
      </c>
      <c r="K218" s="1024" t="s">
        <v>678</v>
      </c>
      <c r="L218" s="1070" t="s">
        <v>783</v>
      </c>
      <c r="M218" s="1027">
        <v>92000000</v>
      </c>
      <c r="N218" s="1041" t="s">
        <v>729</v>
      </c>
      <c r="O218" s="1053" t="s">
        <v>1784</v>
      </c>
      <c r="P218" s="1053"/>
      <c r="Q218" s="1024"/>
      <c r="R218" s="1019"/>
      <c r="S218" s="1127">
        <v>396</v>
      </c>
      <c r="T218" s="1153">
        <v>64000000</v>
      </c>
    </row>
    <row r="219" spans="1:20" s="992" customFormat="1" ht="63.75" x14ac:dyDescent="0.25">
      <c r="A219" s="1020">
        <v>2022213</v>
      </c>
      <c r="B219" s="1020">
        <v>7655</v>
      </c>
      <c r="C219" s="1020" t="s">
        <v>648</v>
      </c>
      <c r="D219" s="1036" t="s">
        <v>674</v>
      </c>
      <c r="E219" s="1037">
        <v>80111600</v>
      </c>
      <c r="F219" s="1023" t="s">
        <v>892</v>
      </c>
      <c r="G219" s="1038" t="s">
        <v>1743</v>
      </c>
      <c r="H219" s="1025" t="s">
        <v>1743</v>
      </c>
      <c r="I219" s="1069" t="s">
        <v>1808</v>
      </c>
      <c r="J219" s="1040" t="s">
        <v>1783</v>
      </c>
      <c r="K219" s="1024" t="s">
        <v>678</v>
      </c>
      <c r="L219" s="1070" t="s">
        <v>783</v>
      </c>
      <c r="M219" s="1027">
        <v>51750000</v>
      </c>
      <c r="N219" s="1041" t="s">
        <v>729</v>
      </c>
      <c r="O219" s="1053" t="s">
        <v>1784</v>
      </c>
      <c r="P219" s="1053"/>
      <c r="Q219" s="1024"/>
      <c r="R219" s="1019"/>
      <c r="S219" s="1127">
        <v>354</v>
      </c>
      <c r="T219" s="1153">
        <v>49500000</v>
      </c>
    </row>
    <row r="220" spans="1:20" s="992" customFormat="1" ht="76.5" x14ac:dyDescent="0.25">
      <c r="A220" s="1020">
        <v>2022214</v>
      </c>
      <c r="B220" s="1020">
        <v>7655</v>
      </c>
      <c r="C220" s="1020" t="s">
        <v>648</v>
      </c>
      <c r="D220" s="1036" t="s">
        <v>674</v>
      </c>
      <c r="E220" s="1037">
        <v>80111600</v>
      </c>
      <c r="F220" s="1023" t="s">
        <v>893</v>
      </c>
      <c r="G220" s="1038" t="s">
        <v>1743</v>
      </c>
      <c r="H220" s="1025" t="s">
        <v>1743</v>
      </c>
      <c r="I220" s="1069" t="s">
        <v>1809</v>
      </c>
      <c r="J220" s="1040" t="s">
        <v>1783</v>
      </c>
      <c r="K220" s="1024" t="s">
        <v>678</v>
      </c>
      <c r="L220" s="1070" t="s">
        <v>679</v>
      </c>
      <c r="M220" s="1027">
        <f>4500000*10.6666666</f>
        <v>47999999.699999996</v>
      </c>
      <c r="N220" s="1041" t="s">
        <v>729</v>
      </c>
      <c r="O220" s="1053" t="s">
        <v>1784</v>
      </c>
      <c r="P220" s="1053"/>
      <c r="Q220" s="1024"/>
      <c r="R220" s="1019"/>
      <c r="S220" s="1127">
        <v>470</v>
      </c>
      <c r="T220" s="1153">
        <v>36000000</v>
      </c>
    </row>
    <row r="221" spans="1:20" s="992" customFormat="1" ht="63.75" x14ac:dyDescent="0.25">
      <c r="A221" s="1020">
        <v>2022215</v>
      </c>
      <c r="B221" s="1020">
        <v>7655</v>
      </c>
      <c r="C221" s="1020" t="s">
        <v>648</v>
      </c>
      <c r="D221" s="1036" t="s">
        <v>674</v>
      </c>
      <c r="E221" s="1037">
        <v>80111600</v>
      </c>
      <c r="F221" s="1023" t="s">
        <v>894</v>
      </c>
      <c r="G221" s="1038" t="s">
        <v>1743</v>
      </c>
      <c r="H221" s="1025" t="s">
        <v>1743</v>
      </c>
      <c r="I221" s="1069" t="s">
        <v>1808</v>
      </c>
      <c r="J221" s="1040" t="s">
        <v>1783</v>
      </c>
      <c r="K221" s="1024" t="s">
        <v>678</v>
      </c>
      <c r="L221" s="1070" t="s">
        <v>679</v>
      </c>
      <c r="M221" s="1027">
        <v>57500000</v>
      </c>
      <c r="N221" s="1041" t="s">
        <v>729</v>
      </c>
      <c r="O221" s="1053" t="s">
        <v>1784</v>
      </c>
      <c r="P221" s="1053"/>
      <c r="Q221" s="1024"/>
      <c r="R221" s="1019"/>
      <c r="S221" s="1127">
        <v>466</v>
      </c>
      <c r="T221" s="1153">
        <v>40000000</v>
      </c>
    </row>
    <row r="222" spans="1:20" s="992" customFormat="1" ht="89.25" x14ac:dyDescent="0.25">
      <c r="A222" s="1020">
        <v>2022216</v>
      </c>
      <c r="B222" s="1020">
        <v>7655</v>
      </c>
      <c r="C222" s="1020" t="s">
        <v>648</v>
      </c>
      <c r="D222" s="1036" t="s">
        <v>674</v>
      </c>
      <c r="E222" s="1037">
        <v>80111600</v>
      </c>
      <c r="F222" s="1023" t="s">
        <v>895</v>
      </c>
      <c r="G222" s="1038" t="s">
        <v>1743</v>
      </c>
      <c r="H222" s="1025" t="s">
        <v>1743</v>
      </c>
      <c r="I222" s="1069" t="s">
        <v>1808</v>
      </c>
      <c r="J222" s="1040" t="s">
        <v>1783</v>
      </c>
      <c r="K222" s="1024" t="s">
        <v>678</v>
      </c>
      <c r="L222" s="1070" t="s">
        <v>679</v>
      </c>
      <c r="M222" s="1027">
        <v>80500000</v>
      </c>
      <c r="N222" s="1041" t="s">
        <v>729</v>
      </c>
      <c r="O222" s="1053" t="s">
        <v>1784</v>
      </c>
      <c r="P222" s="1053"/>
      <c r="Q222" s="1024"/>
      <c r="R222" s="1019"/>
      <c r="S222" s="1127">
        <v>232</v>
      </c>
      <c r="T222" s="1153">
        <v>77000000</v>
      </c>
    </row>
    <row r="223" spans="1:20" s="992" customFormat="1" ht="76.5" x14ac:dyDescent="0.25">
      <c r="A223" s="1020">
        <v>2022217</v>
      </c>
      <c r="B223" s="1020">
        <v>7655</v>
      </c>
      <c r="C223" s="1020" t="s">
        <v>648</v>
      </c>
      <c r="D223" s="1036" t="s">
        <v>674</v>
      </c>
      <c r="E223" s="1037">
        <v>80111600</v>
      </c>
      <c r="F223" s="1023" t="s">
        <v>896</v>
      </c>
      <c r="G223" s="1038" t="s">
        <v>1743</v>
      </c>
      <c r="H223" s="1025" t="s">
        <v>1743</v>
      </c>
      <c r="I223" s="1069" t="s">
        <v>1808</v>
      </c>
      <c r="J223" s="1040" t="s">
        <v>1783</v>
      </c>
      <c r="K223" s="1024" t="s">
        <v>678</v>
      </c>
      <c r="L223" s="1070" t="s">
        <v>679</v>
      </c>
      <c r="M223" s="1027">
        <v>57500000</v>
      </c>
      <c r="N223" s="1041" t="s">
        <v>729</v>
      </c>
      <c r="O223" s="1053" t="s">
        <v>1784</v>
      </c>
      <c r="P223" s="1053"/>
      <c r="Q223" s="1024"/>
      <c r="R223" s="1019"/>
      <c r="S223" s="1127">
        <v>294</v>
      </c>
      <c r="T223" s="1153">
        <v>55000000</v>
      </c>
    </row>
    <row r="224" spans="1:20" s="992" customFormat="1" ht="89.25" x14ac:dyDescent="0.25">
      <c r="A224" s="1020">
        <v>2022218</v>
      </c>
      <c r="B224" s="1020">
        <v>7655</v>
      </c>
      <c r="C224" s="1020" t="s">
        <v>648</v>
      </c>
      <c r="D224" s="1036" t="s">
        <v>674</v>
      </c>
      <c r="E224" s="1037">
        <v>80111600</v>
      </c>
      <c r="F224" s="1023" t="s">
        <v>897</v>
      </c>
      <c r="G224" s="1038" t="s">
        <v>1743</v>
      </c>
      <c r="H224" s="1025" t="s">
        <v>1743</v>
      </c>
      <c r="I224" s="1069" t="s">
        <v>1808</v>
      </c>
      <c r="J224" s="1040" t="s">
        <v>1783</v>
      </c>
      <c r="K224" s="1024" t="s">
        <v>678</v>
      </c>
      <c r="L224" s="1070" t="s">
        <v>679</v>
      </c>
      <c r="M224" s="1027">
        <v>57500000</v>
      </c>
      <c r="N224" s="1041" t="s">
        <v>729</v>
      </c>
      <c r="O224" s="1053" t="s">
        <v>1784</v>
      </c>
      <c r="P224" s="1053"/>
      <c r="Q224" s="1024"/>
      <c r="R224" s="1019"/>
      <c r="S224" s="1127">
        <v>395</v>
      </c>
      <c r="T224" s="1153">
        <v>36000000</v>
      </c>
    </row>
    <row r="225" spans="1:103" s="992" customFormat="1" ht="76.5" x14ac:dyDescent="0.25">
      <c r="A225" s="1020">
        <v>2022219</v>
      </c>
      <c r="B225" s="1020">
        <v>7655</v>
      </c>
      <c r="C225" s="1020" t="s">
        <v>648</v>
      </c>
      <c r="D225" s="1036" t="s">
        <v>674</v>
      </c>
      <c r="E225" s="1037">
        <v>80111600</v>
      </c>
      <c r="F225" s="1023" t="s">
        <v>898</v>
      </c>
      <c r="G225" s="1038" t="s">
        <v>1743</v>
      </c>
      <c r="H225" s="1025" t="s">
        <v>1743</v>
      </c>
      <c r="I225" s="1069" t="s">
        <v>1808</v>
      </c>
      <c r="J225" s="1040" t="s">
        <v>1783</v>
      </c>
      <c r="K225" s="1024" t="s">
        <v>678</v>
      </c>
      <c r="L225" s="1070" t="s">
        <v>679</v>
      </c>
      <c r="M225" s="1027">
        <v>57500000</v>
      </c>
      <c r="N225" s="1041" t="s">
        <v>729</v>
      </c>
      <c r="O225" s="1053" t="s">
        <v>1784</v>
      </c>
      <c r="P225" s="1053"/>
      <c r="Q225" s="1024"/>
      <c r="R225" s="1019"/>
      <c r="S225" s="1127">
        <v>350</v>
      </c>
      <c r="T225" s="1153">
        <v>40000000</v>
      </c>
    </row>
    <row r="226" spans="1:103" s="992" customFormat="1" ht="63.75" x14ac:dyDescent="0.25">
      <c r="A226" s="1020">
        <v>2022220</v>
      </c>
      <c r="B226" s="1020">
        <v>7655</v>
      </c>
      <c r="C226" s="1020" t="s">
        <v>648</v>
      </c>
      <c r="D226" s="1036" t="s">
        <v>674</v>
      </c>
      <c r="E226" s="1037">
        <v>80111600</v>
      </c>
      <c r="F226" s="1023" t="s">
        <v>899</v>
      </c>
      <c r="G226" s="1038" t="s">
        <v>1743</v>
      </c>
      <c r="H226" s="1025" t="s">
        <v>1743</v>
      </c>
      <c r="I226" s="1069" t="s">
        <v>1791</v>
      </c>
      <c r="J226" s="1040" t="s">
        <v>1783</v>
      </c>
      <c r="K226" s="1024" t="s">
        <v>678</v>
      </c>
      <c r="L226" s="1070" t="s">
        <v>679</v>
      </c>
      <c r="M226" s="1027">
        <f>10*4500000</f>
        <v>45000000</v>
      </c>
      <c r="N226" s="1041" t="s">
        <v>729</v>
      </c>
      <c r="O226" s="1053" t="s">
        <v>1784</v>
      </c>
      <c r="P226" s="1053"/>
      <c r="Q226" s="1024"/>
      <c r="R226" s="1019"/>
      <c r="S226" s="1127">
        <v>457</v>
      </c>
      <c r="T226" s="1153">
        <v>27000000</v>
      </c>
    </row>
    <row r="227" spans="1:103" s="992" customFormat="1" ht="63.75" x14ac:dyDescent="0.25">
      <c r="A227" s="1020">
        <v>2022221</v>
      </c>
      <c r="B227" s="1020">
        <v>7655</v>
      </c>
      <c r="C227" s="1020" t="s">
        <v>648</v>
      </c>
      <c r="D227" s="1036" t="s">
        <v>674</v>
      </c>
      <c r="E227" s="1037">
        <v>80111600</v>
      </c>
      <c r="F227" s="1023" t="s">
        <v>900</v>
      </c>
      <c r="G227" s="1038" t="s">
        <v>1743</v>
      </c>
      <c r="H227" s="1025" t="s">
        <v>1743</v>
      </c>
      <c r="I227" s="1069" t="s">
        <v>1808</v>
      </c>
      <c r="J227" s="1040" t="s">
        <v>1783</v>
      </c>
      <c r="K227" s="1024" t="s">
        <v>678</v>
      </c>
      <c r="L227" s="1070" t="s">
        <v>679</v>
      </c>
      <c r="M227" s="1027">
        <v>57500000</v>
      </c>
      <c r="N227" s="1041" t="s">
        <v>729</v>
      </c>
      <c r="O227" s="1053" t="s">
        <v>1784</v>
      </c>
      <c r="P227" s="1053"/>
      <c r="Q227" s="1024"/>
      <c r="R227" s="1019"/>
      <c r="S227" s="1127">
        <v>261</v>
      </c>
      <c r="T227" s="1153">
        <v>55000000</v>
      </c>
    </row>
    <row r="228" spans="1:103" s="992" customFormat="1" ht="63.75" x14ac:dyDescent="0.25">
      <c r="A228" s="1020">
        <v>2022222</v>
      </c>
      <c r="B228" s="1020">
        <v>7655</v>
      </c>
      <c r="C228" s="1020" t="s">
        <v>648</v>
      </c>
      <c r="D228" s="1036" t="s">
        <v>674</v>
      </c>
      <c r="E228" s="1037">
        <v>80111600</v>
      </c>
      <c r="F228" s="1023" t="s">
        <v>901</v>
      </c>
      <c r="G228" s="1038" t="s">
        <v>1743</v>
      </c>
      <c r="H228" s="1025" t="s">
        <v>1743</v>
      </c>
      <c r="I228" s="1069" t="s">
        <v>1808</v>
      </c>
      <c r="J228" s="1040" t="s">
        <v>1783</v>
      </c>
      <c r="K228" s="1024" t="s">
        <v>678</v>
      </c>
      <c r="L228" s="1070" t="s">
        <v>679</v>
      </c>
      <c r="M228" s="1027">
        <v>57500000</v>
      </c>
      <c r="N228" s="1041" t="s">
        <v>729</v>
      </c>
      <c r="O228" s="1053" t="s">
        <v>1784</v>
      </c>
      <c r="P228" s="1053"/>
      <c r="Q228" s="1024"/>
      <c r="R228" s="1019"/>
      <c r="S228" s="1127">
        <v>473</v>
      </c>
      <c r="T228" s="1153">
        <v>36000000</v>
      </c>
    </row>
    <row r="229" spans="1:103" s="992" customFormat="1" ht="63.75" x14ac:dyDescent="0.25">
      <c r="A229" s="1020">
        <v>2022223</v>
      </c>
      <c r="B229" s="1020">
        <v>7655</v>
      </c>
      <c r="C229" s="1020" t="s">
        <v>648</v>
      </c>
      <c r="D229" s="1036" t="s">
        <v>674</v>
      </c>
      <c r="E229" s="1037">
        <v>80111600</v>
      </c>
      <c r="F229" s="1023" t="s">
        <v>902</v>
      </c>
      <c r="G229" s="1038" t="s">
        <v>1743</v>
      </c>
      <c r="H229" s="1025" t="s">
        <v>1743</v>
      </c>
      <c r="I229" s="1069" t="s">
        <v>1808</v>
      </c>
      <c r="J229" s="1040" t="s">
        <v>1783</v>
      </c>
      <c r="K229" s="1024" t="s">
        <v>678</v>
      </c>
      <c r="L229" s="1070" t="s">
        <v>679</v>
      </c>
      <c r="M229" s="1027">
        <v>72450000</v>
      </c>
      <c r="N229" s="1041" t="s">
        <v>729</v>
      </c>
      <c r="O229" s="1053" t="s">
        <v>1784</v>
      </c>
      <c r="P229" s="1053"/>
      <c r="Q229" s="1024"/>
      <c r="R229" s="1019"/>
      <c r="S229" s="1127">
        <v>458</v>
      </c>
      <c r="T229" s="1153">
        <v>69300000</v>
      </c>
    </row>
    <row r="230" spans="1:103" s="992" customFormat="1" ht="63.75" x14ac:dyDescent="0.25">
      <c r="A230" s="1020">
        <v>2022224</v>
      </c>
      <c r="B230" s="1020">
        <v>7655</v>
      </c>
      <c r="C230" s="1020" t="s">
        <v>648</v>
      </c>
      <c r="D230" s="1036" t="s">
        <v>674</v>
      </c>
      <c r="E230" s="1037">
        <v>80111600</v>
      </c>
      <c r="F230" s="1023" t="s">
        <v>903</v>
      </c>
      <c r="G230" s="1038" t="s">
        <v>1743</v>
      </c>
      <c r="H230" s="1025" t="s">
        <v>1743</v>
      </c>
      <c r="I230" s="1069" t="s">
        <v>1808</v>
      </c>
      <c r="J230" s="1040" t="s">
        <v>1783</v>
      </c>
      <c r="K230" s="1024" t="s">
        <v>678</v>
      </c>
      <c r="L230" s="1070" t="s">
        <v>679</v>
      </c>
      <c r="M230" s="1027">
        <v>59800000</v>
      </c>
      <c r="N230" s="1041" t="s">
        <v>729</v>
      </c>
      <c r="O230" s="1053" t="s">
        <v>1784</v>
      </c>
      <c r="P230" s="1053"/>
      <c r="Q230" s="1024"/>
      <c r="R230" s="1019"/>
      <c r="S230" s="1127">
        <v>426</v>
      </c>
      <c r="T230" s="1153">
        <v>57200000</v>
      </c>
    </row>
    <row r="231" spans="1:103" s="992" customFormat="1" ht="63.75" x14ac:dyDescent="0.25">
      <c r="A231" s="1020">
        <v>2022225</v>
      </c>
      <c r="B231" s="1020">
        <v>7655</v>
      </c>
      <c r="C231" s="1020" t="s">
        <v>648</v>
      </c>
      <c r="D231" s="1036" t="s">
        <v>674</v>
      </c>
      <c r="E231" s="1037">
        <v>80111600</v>
      </c>
      <c r="F231" s="1023" t="s">
        <v>904</v>
      </c>
      <c r="G231" s="1038" t="s">
        <v>1743</v>
      </c>
      <c r="H231" s="1025" t="s">
        <v>1743</v>
      </c>
      <c r="I231" s="1069" t="s">
        <v>1810</v>
      </c>
      <c r="J231" s="1040" t="s">
        <v>1783</v>
      </c>
      <c r="K231" s="1024" t="s">
        <v>678</v>
      </c>
      <c r="L231" s="1070" t="s">
        <v>679</v>
      </c>
      <c r="M231" s="1027">
        <v>57000000</v>
      </c>
      <c r="N231" s="1041" t="s">
        <v>729</v>
      </c>
      <c r="O231" s="1053" t="s">
        <v>1784</v>
      </c>
      <c r="P231" s="1053"/>
      <c r="Q231" s="1024"/>
      <c r="R231" s="1019"/>
      <c r="S231" s="1127">
        <v>456</v>
      </c>
      <c r="T231" s="1153">
        <v>40000000</v>
      </c>
    </row>
    <row r="232" spans="1:103" s="992" customFormat="1" ht="63.75" x14ac:dyDescent="0.25">
      <c r="A232" s="1010">
        <v>2022226</v>
      </c>
      <c r="B232" s="1010">
        <v>7655</v>
      </c>
      <c r="C232" s="1010" t="s">
        <v>648</v>
      </c>
      <c r="D232" s="1042" t="s">
        <v>674</v>
      </c>
      <c r="E232" s="1043">
        <v>80111600</v>
      </c>
      <c r="F232" s="1071" t="s">
        <v>1811</v>
      </c>
      <c r="G232" s="1072"/>
      <c r="H232" s="1072"/>
      <c r="I232" s="1016"/>
      <c r="J232" s="1046" t="s">
        <v>1783</v>
      </c>
      <c r="K232" s="1014" t="s">
        <v>678</v>
      </c>
      <c r="L232" s="1073" t="s">
        <v>679</v>
      </c>
      <c r="M232" s="1074">
        <v>13800000</v>
      </c>
      <c r="N232" s="1047" t="s">
        <v>729</v>
      </c>
      <c r="O232" s="1058" t="s">
        <v>1784</v>
      </c>
      <c r="P232" s="1058"/>
      <c r="Q232" s="1014"/>
      <c r="R232" s="1019"/>
      <c r="S232" s="1127"/>
      <c r="T232" s="1153"/>
    </row>
    <row r="233" spans="1:103" s="992" customFormat="1" ht="76.5" x14ac:dyDescent="0.25">
      <c r="A233" s="1020">
        <v>2022227</v>
      </c>
      <c r="B233" s="1020">
        <v>7655</v>
      </c>
      <c r="C233" s="1020" t="s">
        <v>648</v>
      </c>
      <c r="D233" s="1036" t="s">
        <v>649</v>
      </c>
      <c r="E233" s="1037">
        <v>80111600</v>
      </c>
      <c r="F233" s="1065" t="s">
        <v>905</v>
      </c>
      <c r="G233" s="1075" t="s">
        <v>1743</v>
      </c>
      <c r="H233" s="1051" t="s">
        <v>1743</v>
      </c>
      <c r="I233" s="1076" t="s">
        <v>1812</v>
      </c>
      <c r="J233" s="1040" t="s">
        <v>1783</v>
      </c>
      <c r="K233" s="1024" t="s">
        <v>678</v>
      </c>
      <c r="L233" s="1070" t="s">
        <v>679</v>
      </c>
      <c r="M233" s="1027">
        <v>29920000</v>
      </c>
      <c r="N233" s="1041" t="s">
        <v>729</v>
      </c>
      <c r="O233" s="1053" t="s">
        <v>1784</v>
      </c>
      <c r="P233" s="1053"/>
      <c r="Q233" s="1024"/>
      <c r="R233" s="1019"/>
      <c r="S233" s="1127">
        <v>150</v>
      </c>
      <c r="T233" s="1153">
        <v>27000000</v>
      </c>
    </row>
    <row r="234" spans="1:103" s="992" customFormat="1" ht="63.75" x14ac:dyDescent="0.25">
      <c r="A234" s="1020">
        <v>2022228</v>
      </c>
      <c r="B234" s="1020">
        <v>7655</v>
      </c>
      <c r="C234" s="1020" t="s">
        <v>648</v>
      </c>
      <c r="D234" s="1036" t="s">
        <v>649</v>
      </c>
      <c r="E234" s="1037">
        <v>80111600</v>
      </c>
      <c r="F234" s="1065" t="s">
        <v>906</v>
      </c>
      <c r="G234" s="1075" t="s">
        <v>1743</v>
      </c>
      <c r="H234" s="1051" t="s">
        <v>1743</v>
      </c>
      <c r="I234" s="1076" t="s">
        <v>1812</v>
      </c>
      <c r="J234" s="1040" t="s">
        <v>1783</v>
      </c>
      <c r="K234" s="1024" t="s">
        <v>678</v>
      </c>
      <c r="L234" s="1070" t="s">
        <v>679</v>
      </c>
      <c r="M234" s="1027">
        <v>30800000</v>
      </c>
      <c r="N234" s="1041" t="s">
        <v>729</v>
      </c>
      <c r="O234" s="1053" t="s">
        <v>1784</v>
      </c>
      <c r="P234" s="1053"/>
      <c r="Q234" s="1024"/>
      <c r="R234" s="1019"/>
      <c r="S234" s="1127">
        <v>161</v>
      </c>
      <c r="T234" s="1153">
        <v>30800000</v>
      </c>
    </row>
    <row r="235" spans="1:103" s="992" customFormat="1" ht="76.5" x14ac:dyDescent="0.25">
      <c r="A235" s="1020">
        <v>2022229</v>
      </c>
      <c r="B235" s="1020">
        <v>7655</v>
      </c>
      <c r="C235" s="1020" t="s">
        <v>648</v>
      </c>
      <c r="D235" s="1036" t="s">
        <v>649</v>
      </c>
      <c r="E235" s="1037">
        <v>80111600</v>
      </c>
      <c r="F235" s="1065" t="s">
        <v>907</v>
      </c>
      <c r="G235" s="1075" t="s">
        <v>1743</v>
      </c>
      <c r="H235" s="1051" t="s">
        <v>1743</v>
      </c>
      <c r="I235" s="1076" t="s">
        <v>1812</v>
      </c>
      <c r="J235" s="1040" t="s">
        <v>1783</v>
      </c>
      <c r="K235" s="1024" t="s">
        <v>678</v>
      </c>
      <c r="L235" s="1070" t="s">
        <v>679</v>
      </c>
      <c r="M235" s="1027">
        <v>78320000</v>
      </c>
      <c r="N235" s="1041" t="s">
        <v>729</v>
      </c>
      <c r="O235" s="1053" t="s">
        <v>1784</v>
      </c>
      <c r="P235" s="1053"/>
      <c r="Q235" s="1024"/>
      <c r="R235" s="1019"/>
      <c r="S235" s="1127">
        <v>67</v>
      </c>
      <c r="T235" s="1153">
        <v>42720000</v>
      </c>
    </row>
    <row r="236" spans="1:103" s="1031" customFormat="1" ht="76.5" x14ac:dyDescent="0.25">
      <c r="A236" s="1128">
        <v>2022230</v>
      </c>
      <c r="B236" s="1128">
        <v>7655</v>
      </c>
      <c r="C236" s="1128" t="s">
        <v>648</v>
      </c>
      <c r="D236" s="1136" t="s">
        <v>649</v>
      </c>
      <c r="E236" s="1142">
        <v>80111600</v>
      </c>
      <c r="F236" s="1143" t="s">
        <v>908</v>
      </c>
      <c r="G236" s="1144" t="s">
        <v>1743</v>
      </c>
      <c r="H236" s="1145" t="s">
        <v>1743</v>
      </c>
      <c r="I236" s="1079" t="s">
        <v>1812</v>
      </c>
      <c r="J236" s="1140" t="s">
        <v>1783</v>
      </c>
      <c r="K236" s="1132" t="s">
        <v>678</v>
      </c>
      <c r="L236" s="1146" t="s">
        <v>679</v>
      </c>
      <c r="M236" s="1133">
        <v>102520000</v>
      </c>
      <c r="N236" s="1141" t="s">
        <v>729</v>
      </c>
      <c r="O236" s="1147" t="s">
        <v>1784</v>
      </c>
      <c r="P236" s="1147"/>
      <c r="Q236" s="1132"/>
      <c r="R236" s="1127">
        <v>53</v>
      </c>
      <c r="S236" s="1127"/>
      <c r="T236" s="1153"/>
      <c r="U236" s="992"/>
      <c r="V236" s="992"/>
      <c r="W236" s="992"/>
      <c r="X236" s="992"/>
      <c r="Y236" s="992"/>
      <c r="Z236" s="992"/>
      <c r="AA236" s="992"/>
      <c r="AB236" s="992"/>
      <c r="AC236" s="992"/>
      <c r="AD236" s="992"/>
      <c r="AE236" s="992"/>
      <c r="AF236" s="992"/>
      <c r="AG236" s="992"/>
      <c r="AH236" s="992"/>
      <c r="AI236" s="992"/>
      <c r="AJ236" s="992"/>
      <c r="AK236" s="992"/>
      <c r="AL236" s="992"/>
      <c r="AM236" s="992"/>
      <c r="AN236" s="992"/>
      <c r="AO236" s="992"/>
      <c r="AP236" s="992"/>
      <c r="AQ236" s="992"/>
      <c r="AR236" s="992"/>
      <c r="AS236" s="992"/>
      <c r="AT236" s="992"/>
      <c r="AU236" s="992"/>
      <c r="AV236" s="992"/>
      <c r="AW236" s="992"/>
      <c r="AX236" s="992"/>
      <c r="AY236" s="992"/>
      <c r="AZ236" s="992"/>
      <c r="BA236" s="992"/>
      <c r="BB236" s="992"/>
      <c r="BC236" s="992"/>
      <c r="BD236" s="992"/>
      <c r="BE236" s="992"/>
      <c r="BF236" s="992"/>
      <c r="BG236" s="992"/>
      <c r="BH236" s="992"/>
      <c r="BI236" s="992"/>
      <c r="BJ236" s="992"/>
      <c r="BK236" s="992"/>
      <c r="BL236" s="992"/>
      <c r="BM236" s="992"/>
      <c r="BN236" s="992"/>
      <c r="BO236" s="992"/>
      <c r="BP236" s="992"/>
      <c r="BQ236" s="992"/>
      <c r="BR236" s="992"/>
      <c r="BS236" s="992"/>
      <c r="BT236" s="992"/>
      <c r="BU236" s="992"/>
      <c r="BV236" s="992"/>
      <c r="BW236" s="992"/>
      <c r="BX236" s="992"/>
      <c r="BY236" s="992"/>
      <c r="BZ236" s="992"/>
      <c r="CA236" s="992"/>
      <c r="CB236" s="992"/>
      <c r="CC236" s="992"/>
      <c r="CD236" s="992"/>
      <c r="CE236" s="992"/>
      <c r="CF236" s="992"/>
      <c r="CG236" s="992"/>
      <c r="CH236" s="992"/>
      <c r="CI236" s="992"/>
      <c r="CJ236" s="992"/>
      <c r="CK236" s="992"/>
      <c r="CL236" s="992"/>
      <c r="CM236" s="992"/>
      <c r="CN236" s="992"/>
      <c r="CO236" s="992"/>
      <c r="CP236" s="992"/>
      <c r="CQ236" s="992"/>
      <c r="CR236" s="992"/>
      <c r="CS236" s="992"/>
      <c r="CT236" s="992"/>
      <c r="CU236" s="992"/>
      <c r="CV236" s="992"/>
      <c r="CW236" s="992"/>
      <c r="CX236" s="992"/>
      <c r="CY236" s="992"/>
    </row>
    <row r="237" spans="1:103" s="992" customFormat="1" ht="89.25" x14ac:dyDescent="0.25">
      <c r="A237" s="1020">
        <v>2022231</v>
      </c>
      <c r="B237" s="1020">
        <v>7655</v>
      </c>
      <c r="C237" s="1020" t="s">
        <v>648</v>
      </c>
      <c r="D237" s="1036" t="s">
        <v>649</v>
      </c>
      <c r="E237" s="1037">
        <v>80111600</v>
      </c>
      <c r="F237" s="1065" t="s">
        <v>909</v>
      </c>
      <c r="G237" s="1075" t="s">
        <v>1743</v>
      </c>
      <c r="H237" s="1051" t="s">
        <v>1743</v>
      </c>
      <c r="I237" s="1076" t="s">
        <v>1812</v>
      </c>
      <c r="J237" s="1040" t="s">
        <v>1783</v>
      </c>
      <c r="K237" s="1024" t="s">
        <v>678</v>
      </c>
      <c r="L237" s="1070" t="s">
        <v>679</v>
      </c>
      <c r="M237" s="1027">
        <f>101200000-8800000-19200000</f>
        <v>73200000</v>
      </c>
      <c r="N237" s="1041" t="s">
        <v>729</v>
      </c>
      <c r="O237" s="1053" t="s">
        <v>1784</v>
      </c>
      <c r="P237" s="1053"/>
      <c r="Q237" s="1024"/>
      <c r="R237" s="1019"/>
      <c r="S237" s="1127">
        <v>200</v>
      </c>
      <c r="T237" s="1153">
        <v>55200000</v>
      </c>
    </row>
    <row r="238" spans="1:103" s="992" customFormat="1" ht="63.75" x14ac:dyDescent="0.25">
      <c r="A238" s="1020">
        <v>2022232</v>
      </c>
      <c r="B238" s="1020">
        <v>7655</v>
      </c>
      <c r="C238" s="1020" t="s">
        <v>648</v>
      </c>
      <c r="D238" s="1036" t="s">
        <v>649</v>
      </c>
      <c r="E238" s="1037">
        <v>80111600</v>
      </c>
      <c r="F238" s="1065" t="s">
        <v>910</v>
      </c>
      <c r="G238" s="1075" t="s">
        <v>1743</v>
      </c>
      <c r="H238" s="1051" t="s">
        <v>1743</v>
      </c>
      <c r="I238" s="1076" t="s">
        <v>1812</v>
      </c>
      <c r="J238" s="1040" t="s">
        <v>1783</v>
      </c>
      <c r="K238" s="1024" t="s">
        <v>678</v>
      </c>
      <c r="L238" s="1070" t="s">
        <v>679</v>
      </c>
      <c r="M238" s="1027">
        <v>58080000</v>
      </c>
      <c r="N238" s="1041" t="s">
        <v>729</v>
      </c>
      <c r="O238" s="1053" t="s">
        <v>1784</v>
      </c>
      <c r="P238" s="1053"/>
      <c r="Q238" s="1024"/>
      <c r="R238" s="1019"/>
      <c r="S238" s="1127">
        <v>45</v>
      </c>
      <c r="T238" s="1153">
        <v>58080000</v>
      </c>
    </row>
    <row r="239" spans="1:103" s="992" customFormat="1" ht="114.75" x14ac:dyDescent="0.25">
      <c r="A239" s="1020">
        <v>2022233</v>
      </c>
      <c r="B239" s="1020">
        <v>7655</v>
      </c>
      <c r="C239" s="1020" t="s">
        <v>648</v>
      </c>
      <c r="D239" s="1036" t="s">
        <v>649</v>
      </c>
      <c r="E239" s="1037">
        <v>80111600</v>
      </c>
      <c r="F239" s="1023" t="s">
        <v>911</v>
      </c>
      <c r="G239" s="1075" t="s">
        <v>1743</v>
      </c>
      <c r="H239" s="1051" t="s">
        <v>1743</v>
      </c>
      <c r="I239" s="1076" t="s">
        <v>1812</v>
      </c>
      <c r="J239" s="1040" t="s">
        <v>1783</v>
      </c>
      <c r="K239" s="1024" t="s">
        <v>678</v>
      </c>
      <c r="L239" s="1070" t="s">
        <v>679</v>
      </c>
      <c r="M239" s="1027">
        <v>42350000</v>
      </c>
      <c r="N239" s="1041" t="s">
        <v>729</v>
      </c>
      <c r="O239" s="1053" t="s">
        <v>1784</v>
      </c>
      <c r="P239" s="1053"/>
      <c r="Q239" s="1024"/>
      <c r="R239" s="1019"/>
      <c r="S239" s="1127">
        <v>81</v>
      </c>
      <c r="T239" s="1153">
        <v>42350000</v>
      </c>
    </row>
    <row r="240" spans="1:103" s="992" customFormat="1" ht="63.75" x14ac:dyDescent="0.25">
      <c r="A240" s="1020">
        <v>2022234</v>
      </c>
      <c r="B240" s="1020">
        <v>7655</v>
      </c>
      <c r="C240" s="1020" t="s">
        <v>648</v>
      </c>
      <c r="D240" s="1036" t="s">
        <v>649</v>
      </c>
      <c r="E240" s="1037">
        <v>80111600</v>
      </c>
      <c r="F240" s="1065" t="s">
        <v>912</v>
      </c>
      <c r="G240" s="1075" t="s">
        <v>1743</v>
      </c>
      <c r="H240" s="1051" t="s">
        <v>1743</v>
      </c>
      <c r="I240" s="1076" t="s">
        <v>1746</v>
      </c>
      <c r="J240" s="1040" t="s">
        <v>1783</v>
      </c>
      <c r="K240" s="1024" t="s">
        <v>678</v>
      </c>
      <c r="L240" s="1077" t="s">
        <v>679</v>
      </c>
      <c r="M240" s="1027">
        <v>39600000</v>
      </c>
      <c r="N240" s="1041" t="s">
        <v>729</v>
      </c>
      <c r="O240" s="1053" t="s">
        <v>1784</v>
      </c>
      <c r="P240" s="1053"/>
      <c r="Q240" s="1024"/>
      <c r="R240" s="1019"/>
      <c r="S240" s="1127">
        <v>332</v>
      </c>
      <c r="T240" s="1153">
        <v>13800000</v>
      </c>
    </row>
    <row r="241" spans="1:20" s="992" customFormat="1" ht="63.75" x14ac:dyDescent="0.25">
      <c r="A241" s="1020">
        <v>2022235</v>
      </c>
      <c r="B241" s="1020">
        <v>7655</v>
      </c>
      <c r="C241" s="1020" t="s">
        <v>648</v>
      </c>
      <c r="D241" s="1036" t="s">
        <v>649</v>
      </c>
      <c r="E241" s="1037">
        <v>80111600</v>
      </c>
      <c r="F241" s="1023" t="s">
        <v>913</v>
      </c>
      <c r="G241" s="1075" t="s">
        <v>1743</v>
      </c>
      <c r="H241" s="1051" t="s">
        <v>1743</v>
      </c>
      <c r="I241" s="1076" t="s">
        <v>1812</v>
      </c>
      <c r="J241" s="1040" t="s">
        <v>1783</v>
      </c>
      <c r="K241" s="1024" t="s">
        <v>678</v>
      </c>
      <c r="L241" s="1070" t="s">
        <v>679</v>
      </c>
      <c r="M241" s="1027">
        <v>39600000</v>
      </c>
      <c r="N241" s="1041" t="s">
        <v>729</v>
      </c>
      <c r="O241" s="1053" t="s">
        <v>1784</v>
      </c>
      <c r="P241" s="1053"/>
      <c r="Q241" s="1024"/>
      <c r="R241" s="1019"/>
      <c r="S241" s="1127">
        <v>164</v>
      </c>
      <c r="T241" s="1153">
        <v>39600000</v>
      </c>
    </row>
    <row r="242" spans="1:20" s="992" customFormat="1" ht="63.75" x14ac:dyDescent="0.25">
      <c r="A242" s="1010">
        <v>2022237</v>
      </c>
      <c r="B242" s="1010">
        <v>7655</v>
      </c>
      <c r="C242" s="1010" t="s">
        <v>648</v>
      </c>
      <c r="D242" s="1042" t="s">
        <v>649</v>
      </c>
      <c r="E242" s="1043">
        <v>80111600</v>
      </c>
      <c r="F242" s="1013" t="s">
        <v>1813</v>
      </c>
      <c r="G242" s="1078" t="s">
        <v>1743</v>
      </c>
      <c r="H242" s="1056" t="s">
        <v>1743</v>
      </c>
      <c r="I242" s="1079" t="s">
        <v>1812</v>
      </c>
      <c r="J242" s="1046" t="s">
        <v>1783</v>
      </c>
      <c r="K242" s="1014" t="s">
        <v>678</v>
      </c>
      <c r="L242" s="1073" t="s">
        <v>679</v>
      </c>
      <c r="M242" s="1017">
        <v>48735000</v>
      </c>
      <c r="N242" s="1047" t="s">
        <v>729</v>
      </c>
      <c r="O242" s="1058" t="s">
        <v>1784</v>
      </c>
      <c r="P242" s="1058"/>
      <c r="Q242" s="1014"/>
      <c r="R242" s="1019"/>
      <c r="S242" s="1127"/>
      <c r="T242" s="1153"/>
    </row>
    <row r="243" spans="1:20" s="992" customFormat="1" ht="63.75" x14ac:dyDescent="0.25">
      <c r="A243" s="1020">
        <v>2022238</v>
      </c>
      <c r="B243" s="1020">
        <v>7655</v>
      </c>
      <c r="C243" s="1020" t="s">
        <v>648</v>
      </c>
      <c r="D243" s="1036" t="s">
        <v>649</v>
      </c>
      <c r="E243" s="1037">
        <v>80111600</v>
      </c>
      <c r="F243" s="1065" t="s">
        <v>917</v>
      </c>
      <c r="G243" s="1075" t="s">
        <v>1743</v>
      </c>
      <c r="H243" s="1051" t="s">
        <v>1743</v>
      </c>
      <c r="I243" s="1076" t="s">
        <v>1812</v>
      </c>
      <c r="J243" s="1040" t="s">
        <v>1783</v>
      </c>
      <c r="K243" s="1024" t="s">
        <v>678</v>
      </c>
      <c r="L243" s="1070" t="s">
        <v>679</v>
      </c>
      <c r="M243" s="1027">
        <f>44000000+8800000</f>
        <v>52800000</v>
      </c>
      <c r="N243" s="1041" t="s">
        <v>729</v>
      </c>
      <c r="O243" s="1053" t="s">
        <v>1784</v>
      </c>
      <c r="P243" s="1053"/>
      <c r="Q243" s="1024"/>
      <c r="R243" s="1019"/>
      <c r="S243" s="1127">
        <v>435</v>
      </c>
      <c r="T243" s="1153">
        <v>28800000</v>
      </c>
    </row>
    <row r="244" spans="1:20" s="992" customFormat="1" ht="63.75" x14ac:dyDescent="0.25">
      <c r="A244" s="1020">
        <v>2022239</v>
      </c>
      <c r="B244" s="1020">
        <v>7655</v>
      </c>
      <c r="C244" s="1020" t="s">
        <v>648</v>
      </c>
      <c r="D244" s="1036" t="s">
        <v>1814</v>
      </c>
      <c r="E244" s="1037">
        <v>80111600</v>
      </c>
      <c r="F244" s="1065" t="s">
        <v>918</v>
      </c>
      <c r="G244" s="1075" t="s">
        <v>1743</v>
      </c>
      <c r="H244" s="1075" t="s">
        <v>1743</v>
      </c>
      <c r="I244" s="1076" t="s">
        <v>1812</v>
      </c>
      <c r="J244" s="1040" t="s">
        <v>1783</v>
      </c>
      <c r="K244" s="1024" t="s">
        <v>678</v>
      </c>
      <c r="L244" s="1070" t="s">
        <v>679</v>
      </c>
      <c r="M244" s="1027">
        <v>102520000</v>
      </c>
      <c r="N244" s="1041" t="s">
        <v>729</v>
      </c>
      <c r="O244" s="1053" t="s">
        <v>1784</v>
      </c>
      <c r="P244" s="1053"/>
      <c r="Q244" s="1024"/>
      <c r="R244" s="1019"/>
      <c r="S244" s="1127">
        <v>158</v>
      </c>
      <c r="T244" s="1153">
        <v>102520000</v>
      </c>
    </row>
    <row r="245" spans="1:20" s="992" customFormat="1" ht="89.25" x14ac:dyDescent="0.25">
      <c r="A245" s="1020">
        <v>2022240</v>
      </c>
      <c r="B245" s="1020">
        <v>7655</v>
      </c>
      <c r="C245" s="1020" t="s">
        <v>648</v>
      </c>
      <c r="D245" s="1036" t="s">
        <v>1814</v>
      </c>
      <c r="E245" s="1037">
        <v>80111600</v>
      </c>
      <c r="F245" s="1065" t="s">
        <v>919</v>
      </c>
      <c r="G245" s="1075" t="s">
        <v>1743</v>
      </c>
      <c r="H245" s="1075" t="s">
        <v>1743</v>
      </c>
      <c r="I245" s="1076" t="s">
        <v>1812</v>
      </c>
      <c r="J245" s="1040" t="s">
        <v>1783</v>
      </c>
      <c r="K245" s="1024" t="s">
        <v>678</v>
      </c>
      <c r="L245" s="1070" t="s">
        <v>679</v>
      </c>
      <c r="M245" s="1027">
        <v>90200000</v>
      </c>
      <c r="N245" s="1041" t="s">
        <v>729</v>
      </c>
      <c r="O245" s="1053" t="s">
        <v>1784</v>
      </c>
      <c r="P245" s="1053"/>
      <c r="Q245" s="1024"/>
      <c r="R245" s="1019"/>
      <c r="S245" s="1127">
        <v>44</v>
      </c>
      <c r="T245" s="1153">
        <v>90200000</v>
      </c>
    </row>
    <row r="246" spans="1:20" s="992" customFormat="1" ht="76.5" x14ac:dyDescent="0.25">
      <c r="A246" s="1020">
        <v>2022241</v>
      </c>
      <c r="B246" s="1020">
        <v>7655</v>
      </c>
      <c r="C246" s="1020" t="s">
        <v>648</v>
      </c>
      <c r="D246" s="1036" t="s">
        <v>1814</v>
      </c>
      <c r="E246" s="1037">
        <v>80111600</v>
      </c>
      <c r="F246" s="1065" t="s">
        <v>920</v>
      </c>
      <c r="G246" s="1075" t="s">
        <v>1743</v>
      </c>
      <c r="H246" s="1075" t="s">
        <v>1743</v>
      </c>
      <c r="I246" s="1076" t="s">
        <v>1812</v>
      </c>
      <c r="J246" s="1040" t="s">
        <v>1783</v>
      </c>
      <c r="K246" s="1024" t="s">
        <v>678</v>
      </c>
      <c r="L246" s="1070" t="s">
        <v>679</v>
      </c>
      <c r="M246" s="1027">
        <v>82500000</v>
      </c>
      <c r="N246" s="1041" t="s">
        <v>729</v>
      </c>
      <c r="O246" s="1053" t="s">
        <v>1784</v>
      </c>
      <c r="P246" s="1053"/>
      <c r="Q246" s="1024"/>
      <c r="R246" s="1019"/>
      <c r="S246" s="1127">
        <v>244</v>
      </c>
      <c r="T246" s="1153">
        <v>82500000</v>
      </c>
    </row>
    <row r="247" spans="1:20" s="992" customFormat="1" ht="76.5" x14ac:dyDescent="0.25">
      <c r="A247" s="1020">
        <v>2022242</v>
      </c>
      <c r="B247" s="1020">
        <v>7655</v>
      </c>
      <c r="C247" s="1020" t="s">
        <v>648</v>
      </c>
      <c r="D247" s="1036" t="s">
        <v>1814</v>
      </c>
      <c r="E247" s="1037">
        <v>80111600</v>
      </c>
      <c r="F247" s="1065" t="s">
        <v>921</v>
      </c>
      <c r="G247" s="1075" t="s">
        <v>1743</v>
      </c>
      <c r="H247" s="1075" t="s">
        <v>1743</v>
      </c>
      <c r="I247" s="1076" t="s">
        <v>1812</v>
      </c>
      <c r="J247" s="1040" t="s">
        <v>1783</v>
      </c>
      <c r="K247" s="1024" t="s">
        <v>678</v>
      </c>
      <c r="L247" s="1070" t="s">
        <v>679</v>
      </c>
      <c r="M247" s="1027">
        <v>50600000</v>
      </c>
      <c r="N247" s="1041" t="s">
        <v>729</v>
      </c>
      <c r="O247" s="1053" t="s">
        <v>1784</v>
      </c>
      <c r="P247" s="1053"/>
      <c r="Q247" s="1024"/>
      <c r="R247" s="1019"/>
      <c r="S247" s="1127">
        <v>249</v>
      </c>
      <c r="T247" s="1153">
        <v>50600000</v>
      </c>
    </row>
    <row r="248" spans="1:20" s="992" customFormat="1" ht="63.75" x14ac:dyDescent="0.25">
      <c r="A248" s="1020">
        <v>2022243</v>
      </c>
      <c r="B248" s="1020">
        <v>7655</v>
      </c>
      <c r="C248" s="1020" t="s">
        <v>648</v>
      </c>
      <c r="D248" s="1036" t="s">
        <v>1814</v>
      </c>
      <c r="E248" s="1037">
        <v>80111600</v>
      </c>
      <c r="F248" s="1065" t="s">
        <v>922</v>
      </c>
      <c r="G248" s="1075" t="s">
        <v>1743</v>
      </c>
      <c r="H248" s="1075" t="s">
        <v>1743</v>
      </c>
      <c r="I248" s="1076" t="s">
        <v>1812</v>
      </c>
      <c r="J248" s="1040" t="s">
        <v>1783</v>
      </c>
      <c r="K248" s="1024" t="s">
        <v>678</v>
      </c>
      <c r="L248" s="1070" t="s">
        <v>679</v>
      </c>
      <c r="M248" s="1027">
        <v>35200000</v>
      </c>
      <c r="N248" s="1041" t="s">
        <v>729</v>
      </c>
      <c r="O248" s="1053" t="s">
        <v>1784</v>
      </c>
      <c r="P248" s="1053"/>
      <c r="Q248" s="1024"/>
      <c r="R248" s="1019"/>
      <c r="S248" s="1127">
        <v>376</v>
      </c>
      <c r="T248" s="1153">
        <v>30250000</v>
      </c>
    </row>
    <row r="249" spans="1:20" s="992" customFormat="1" ht="63.75" x14ac:dyDescent="0.25">
      <c r="A249" s="1020">
        <v>2022244</v>
      </c>
      <c r="B249" s="1020">
        <v>7655</v>
      </c>
      <c r="C249" s="1020" t="s">
        <v>648</v>
      </c>
      <c r="D249" s="1036" t="s">
        <v>1814</v>
      </c>
      <c r="E249" s="1037">
        <v>80111600</v>
      </c>
      <c r="F249" s="1065" t="s">
        <v>923</v>
      </c>
      <c r="G249" s="1075" t="s">
        <v>1743</v>
      </c>
      <c r="H249" s="1075" t="s">
        <v>1743</v>
      </c>
      <c r="I249" s="1076" t="s">
        <v>1812</v>
      </c>
      <c r="J249" s="1040" t="s">
        <v>1783</v>
      </c>
      <c r="K249" s="1024" t="s">
        <v>678</v>
      </c>
      <c r="L249" s="1070" t="s">
        <v>679</v>
      </c>
      <c r="M249" s="1027">
        <v>39050000</v>
      </c>
      <c r="N249" s="1041" t="s">
        <v>729</v>
      </c>
      <c r="O249" s="1053" t="s">
        <v>1784</v>
      </c>
      <c r="P249" s="1053"/>
      <c r="Q249" s="1024"/>
      <c r="R249" s="1019"/>
      <c r="S249" s="1127">
        <v>163</v>
      </c>
      <c r="T249" s="1153">
        <v>39050000</v>
      </c>
    </row>
    <row r="250" spans="1:20" s="992" customFormat="1" ht="63.75" x14ac:dyDescent="0.25">
      <c r="A250" s="1020">
        <v>2022245</v>
      </c>
      <c r="B250" s="1020">
        <v>7655</v>
      </c>
      <c r="C250" s="1020" t="s">
        <v>648</v>
      </c>
      <c r="D250" s="1036" t="s">
        <v>1814</v>
      </c>
      <c r="E250" s="1037">
        <v>80111600</v>
      </c>
      <c r="F250" s="1065" t="s">
        <v>924</v>
      </c>
      <c r="G250" s="1075" t="s">
        <v>1743</v>
      </c>
      <c r="H250" s="1075" t="s">
        <v>1743</v>
      </c>
      <c r="I250" s="1076" t="s">
        <v>1812</v>
      </c>
      <c r="J250" s="1040" t="s">
        <v>1783</v>
      </c>
      <c r="K250" s="1024" t="s">
        <v>678</v>
      </c>
      <c r="L250" s="1070" t="s">
        <v>679</v>
      </c>
      <c r="M250" s="1027">
        <v>39050000</v>
      </c>
      <c r="N250" s="1041" t="s">
        <v>729</v>
      </c>
      <c r="O250" s="1053" t="s">
        <v>1784</v>
      </c>
      <c r="P250" s="1053"/>
      <c r="Q250" s="1024"/>
      <c r="R250" s="1019"/>
      <c r="S250" s="1127">
        <v>160</v>
      </c>
      <c r="T250" s="1153">
        <v>39050000</v>
      </c>
    </row>
    <row r="251" spans="1:20" s="992" customFormat="1" ht="63.75" x14ac:dyDescent="0.25">
      <c r="A251" s="1020">
        <v>2022246</v>
      </c>
      <c r="B251" s="1020">
        <v>7655</v>
      </c>
      <c r="C251" s="1020" t="s">
        <v>648</v>
      </c>
      <c r="D251" s="1036" t="s">
        <v>1814</v>
      </c>
      <c r="E251" s="1037">
        <v>80111600</v>
      </c>
      <c r="F251" s="1065" t="s">
        <v>925</v>
      </c>
      <c r="G251" s="1075" t="s">
        <v>1743</v>
      </c>
      <c r="H251" s="1075" t="s">
        <v>1743</v>
      </c>
      <c r="I251" s="1076" t="s">
        <v>1812</v>
      </c>
      <c r="J251" s="1040" t="s">
        <v>1783</v>
      </c>
      <c r="K251" s="1024" t="s">
        <v>678</v>
      </c>
      <c r="L251" s="1070" t="s">
        <v>679</v>
      </c>
      <c r="M251" s="1027">
        <v>39050000</v>
      </c>
      <c r="N251" s="1041" t="s">
        <v>729</v>
      </c>
      <c r="O251" s="1053" t="s">
        <v>1784</v>
      </c>
      <c r="P251" s="1053"/>
      <c r="Q251" s="1024"/>
      <c r="R251" s="1019"/>
      <c r="S251" s="1127">
        <v>159</v>
      </c>
      <c r="T251" s="1153">
        <v>39050000</v>
      </c>
    </row>
    <row r="252" spans="1:20" s="992" customFormat="1" ht="76.5" x14ac:dyDescent="0.25">
      <c r="A252" s="1020">
        <v>2022247</v>
      </c>
      <c r="B252" s="1020">
        <v>7655</v>
      </c>
      <c r="C252" s="1020" t="s">
        <v>648</v>
      </c>
      <c r="D252" s="1036" t="s">
        <v>1814</v>
      </c>
      <c r="E252" s="1037">
        <v>80111600</v>
      </c>
      <c r="F252" s="1065" t="s">
        <v>926</v>
      </c>
      <c r="G252" s="1075" t="s">
        <v>1743</v>
      </c>
      <c r="H252" s="1075" t="s">
        <v>1743</v>
      </c>
      <c r="I252" s="1076" t="s">
        <v>1812</v>
      </c>
      <c r="J252" s="1040" t="s">
        <v>1783</v>
      </c>
      <c r="K252" s="1024" t="s">
        <v>678</v>
      </c>
      <c r="L252" s="1070" t="s">
        <v>679</v>
      </c>
      <c r="M252" s="1027">
        <v>30250000</v>
      </c>
      <c r="N252" s="1041" t="s">
        <v>729</v>
      </c>
      <c r="O252" s="1053" t="s">
        <v>1784</v>
      </c>
      <c r="P252" s="1053"/>
      <c r="Q252" s="1024"/>
      <c r="R252" s="1019"/>
      <c r="S252" s="1127">
        <v>96</v>
      </c>
      <c r="T252" s="1153">
        <v>30250000</v>
      </c>
    </row>
    <row r="253" spans="1:20" s="992" customFormat="1" ht="63.75" x14ac:dyDescent="0.25">
      <c r="A253" s="1020">
        <v>2022248</v>
      </c>
      <c r="B253" s="1020">
        <v>7655</v>
      </c>
      <c r="C253" s="1020" t="s">
        <v>648</v>
      </c>
      <c r="D253" s="1036" t="s">
        <v>1814</v>
      </c>
      <c r="E253" s="1037">
        <v>80111600</v>
      </c>
      <c r="F253" s="1065" t="s">
        <v>927</v>
      </c>
      <c r="G253" s="1075" t="s">
        <v>1743</v>
      </c>
      <c r="H253" s="1075" t="s">
        <v>1743</v>
      </c>
      <c r="I253" s="1076" t="s">
        <v>1812</v>
      </c>
      <c r="J253" s="1040" t="s">
        <v>1783</v>
      </c>
      <c r="K253" s="1024" t="s">
        <v>678</v>
      </c>
      <c r="L253" s="1070" t="s">
        <v>679</v>
      </c>
      <c r="M253" s="1027">
        <v>36850000</v>
      </c>
      <c r="N253" s="1041" t="s">
        <v>729</v>
      </c>
      <c r="O253" s="1053" t="s">
        <v>1784</v>
      </c>
      <c r="P253" s="1053"/>
      <c r="Q253" s="1024"/>
      <c r="R253" s="1019"/>
      <c r="S253" s="1127">
        <v>250</v>
      </c>
      <c r="T253" s="1153">
        <v>36850000</v>
      </c>
    </row>
    <row r="254" spans="1:20" s="992" customFormat="1" ht="63.75" x14ac:dyDescent="0.25">
      <c r="A254" s="1020">
        <v>2022249</v>
      </c>
      <c r="B254" s="1020">
        <v>7655</v>
      </c>
      <c r="C254" s="1020" t="s">
        <v>648</v>
      </c>
      <c r="D254" s="1036" t="s">
        <v>1814</v>
      </c>
      <c r="E254" s="1037">
        <v>80111600</v>
      </c>
      <c r="F254" s="1023" t="s">
        <v>928</v>
      </c>
      <c r="G254" s="1075" t="s">
        <v>1743</v>
      </c>
      <c r="H254" s="1051" t="s">
        <v>1743</v>
      </c>
      <c r="I254" s="1076" t="s">
        <v>1812</v>
      </c>
      <c r="J254" s="1040" t="s">
        <v>1783</v>
      </c>
      <c r="K254" s="1024" t="s">
        <v>678</v>
      </c>
      <c r="L254" s="1070" t="s">
        <v>679</v>
      </c>
      <c r="M254" s="1027">
        <v>38500000</v>
      </c>
      <c r="N254" s="1041" t="s">
        <v>729</v>
      </c>
      <c r="O254" s="1053" t="s">
        <v>1784</v>
      </c>
      <c r="P254" s="1053"/>
      <c r="Q254" s="1024"/>
      <c r="R254" s="1019"/>
      <c r="S254" s="1127">
        <v>162</v>
      </c>
      <c r="T254" s="1153">
        <v>38500000</v>
      </c>
    </row>
    <row r="255" spans="1:20" s="992" customFormat="1" ht="63.75" x14ac:dyDescent="0.25">
      <c r="A255" s="1020">
        <v>2022250</v>
      </c>
      <c r="B255" s="1020">
        <v>7655</v>
      </c>
      <c r="C255" s="1020" t="s">
        <v>648</v>
      </c>
      <c r="D255" s="1036" t="s">
        <v>1814</v>
      </c>
      <c r="E255" s="1037">
        <v>80111600</v>
      </c>
      <c r="F255" s="1065" t="s">
        <v>929</v>
      </c>
      <c r="G255" s="1075" t="s">
        <v>1743</v>
      </c>
      <c r="H255" s="1075" t="s">
        <v>1743</v>
      </c>
      <c r="I255" s="1076" t="s">
        <v>1812</v>
      </c>
      <c r="J255" s="1040" t="s">
        <v>1783</v>
      </c>
      <c r="K255" s="1024" t="s">
        <v>678</v>
      </c>
      <c r="L255" s="1070" t="s">
        <v>679</v>
      </c>
      <c r="M255" s="1027">
        <v>95700000</v>
      </c>
      <c r="N255" s="1041" t="s">
        <v>729</v>
      </c>
      <c r="O255" s="1053" t="s">
        <v>1784</v>
      </c>
      <c r="P255" s="1053"/>
      <c r="Q255" s="1024"/>
      <c r="R255" s="1019"/>
      <c r="S255" s="1127">
        <v>214</v>
      </c>
      <c r="T255" s="1153">
        <v>95700000</v>
      </c>
    </row>
    <row r="256" spans="1:20" s="992" customFormat="1" ht="89.25" x14ac:dyDescent="0.25">
      <c r="A256" s="1020">
        <v>2022251</v>
      </c>
      <c r="B256" s="1020">
        <v>7658</v>
      </c>
      <c r="C256" s="1020" t="s">
        <v>673</v>
      </c>
      <c r="D256" s="1036" t="s">
        <v>690</v>
      </c>
      <c r="E256" s="1037">
        <v>80111600</v>
      </c>
      <c r="F256" s="1023" t="s">
        <v>930</v>
      </c>
      <c r="G256" s="1038">
        <v>44575</v>
      </c>
      <c r="H256" s="1038">
        <v>44575</v>
      </c>
      <c r="I256" s="1039" t="s">
        <v>1782</v>
      </c>
      <c r="J256" s="1040" t="s">
        <v>1783</v>
      </c>
      <c r="K256" s="1024" t="s">
        <v>678</v>
      </c>
      <c r="L256" s="1026" t="s">
        <v>679</v>
      </c>
      <c r="M256" s="1027">
        <v>103500000</v>
      </c>
      <c r="N256" s="1080" t="s">
        <v>744</v>
      </c>
      <c r="O256" s="1080" t="s">
        <v>1815</v>
      </c>
      <c r="P256" s="1080"/>
      <c r="Q256" s="1024"/>
      <c r="R256" s="1019"/>
      <c r="S256" s="1127">
        <v>77</v>
      </c>
      <c r="T256" s="1153">
        <v>103500000</v>
      </c>
    </row>
    <row r="257" spans="1:20" s="992" customFormat="1" ht="89.25" x14ac:dyDescent="0.25">
      <c r="A257" s="1020">
        <v>2022253</v>
      </c>
      <c r="B257" s="1020">
        <v>7658</v>
      </c>
      <c r="C257" s="1020" t="s">
        <v>673</v>
      </c>
      <c r="D257" s="1036" t="s">
        <v>690</v>
      </c>
      <c r="E257" s="1037">
        <v>80111600</v>
      </c>
      <c r="F257" s="1023" t="s">
        <v>933</v>
      </c>
      <c r="G257" s="1038">
        <v>44575</v>
      </c>
      <c r="H257" s="1038">
        <v>44575</v>
      </c>
      <c r="I257" s="1039" t="s">
        <v>1782</v>
      </c>
      <c r="J257" s="1040" t="s">
        <v>1783</v>
      </c>
      <c r="K257" s="1024" t="s">
        <v>678</v>
      </c>
      <c r="L257" s="1026" t="s">
        <v>679</v>
      </c>
      <c r="M257" s="1027">
        <v>32775000</v>
      </c>
      <c r="N257" s="1080" t="s">
        <v>744</v>
      </c>
      <c r="O257" s="1080" t="s">
        <v>1815</v>
      </c>
      <c r="P257" s="1080"/>
      <c r="Q257" s="1024"/>
      <c r="R257" s="1019"/>
      <c r="S257" s="1127">
        <v>300</v>
      </c>
      <c r="T257" s="1153">
        <v>32200000</v>
      </c>
    </row>
    <row r="258" spans="1:20" s="992" customFormat="1" ht="89.25" x14ac:dyDescent="0.25">
      <c r="A258" s="1020">
        <v>2022255</v>
      </c>
      <c r="B258" s="1020">
        <v>7658</v>
      </c>
      <c r="C258" s="1020" t="s">
        <v>673</v>
      </c>
      <c r="D258" s="1036" t="s">
        <v>690</v>
      </c>
      <c r="E258" s="1037">
        <v>80111600</v>
      </c>
      <c r="F258" s="1023" t="s">
        <v>934</v>
      </c>
      <c r="G258" s="1038">
        <v>44575</v>
      </c>
      <c r="H258" s="1038">
        <v>44575</v>
      </c>
      <c r="I258" s="1039" t="s">
        <v>1782</v>
      </c>
      <c r="J258" s="1040" t="s">
        <v>1783</v>
      </c>
      <c r="K258" s="1024" t="s">
        <v>678</v>
      </c>
      <c r="L258" s="1026" t="s">
        <v>679</v>
      </c>
      <c r="M258" s="1027">
        <v>83950000</v>
      </c>
      <c r="N258" s="1080" t="s">
        <v>744</v>
      </c>
      <c r="O258" s="1080" t="s">
        <v>1815</v>
      </c>
      <c r="P258" s="1080"/>
      <c r="Q258" s="1024"/>
      <c r="R258" s="1019"/>
      <c r="S258" s="1127">
        <v>238</v>
      </c>
      <c r="T258" s="1153">
        <v>83950000</v>
      </c>
    </row>
    <row r="259" spans="1:20" s="992" customFormat="1" ht="89.25" x14ac:dyDescent="0.25">
      <c r="A259" s="1020">
        <v>2022258</v>
      </c>
      <c r="B259" s="1020">
        <v>7658</v>
      </c>
      <c r="C259" s="1020" t="s">
        <v>673</v>
      </c>
      <c r="D259" s="1036" t="s">
        <v>690</v>
      </c>
      <c r="E259" s="1037">
        <v>80111600</v>
      </c>
      <c r="F259" s="1023" t="s">
        <v>936</v>
      </c>
      <c r="G259" s="1038">
        <v>44575</v>
      </c>
      <c r="H259" s="1038">
        <v>44575</v>
      </c>
      <c r="I259" s="1039" t="s">
        <v>1782</v>
      </c>
      <c r="J259" s="1040" t="s">
        <v>1783</v>
      </c>
      <c r="K259" s="1024" t="s">
        <v>678</v>
      </c>
      <c r="L259" s="1026" t="s">
        <v>679</v>
      </c>
      <c r="M259" s="1027">
        <v>83950000</v>
      </c>
      <c r="N259" s="1080" t="s">
        <v>744</v>
      </c>
      <c r="O259" s="1080" t="s">
        <v>1815</v>
      </c>
      <c r="P259" s="1080"/>
      <c r="Q259" s="1024"/>
      <c r="R259" s="1019"/>
      <c r="S259" s="1127">
        <v>215</v>
      </c>
      <c r="T259" s="1153">
        <v>43800000</v>
      </c>
    </row>
    <row r="260" spans="1:20" s="992" customFormat="1" ht="89.25" x14ac:dyDescent="0.25">
      <c r="A260" s="1020">
        <v>2022260</v>
      </c>
      <c r="B260" s="1020">
        <v>7658</v>
      </c>
      <c r="C260" s="1020" t="s">
        <v>673</v>
      </c>
      <c r="D260" s="1036" t="s">
        <v>690</v>
      </c>
      <c r="E260" s="1037">
        <v>80111600</v>
      </c>
      <c r="F260" s="1023" t="s">
        <v>936</v>
      </c>
      <c r="G260" s="1038">
        <v>44575</v>
      </c>
      <c r="H260" s="1038">
        <v>44575</v>
      </c>
      <c r="I260" s="1039" t="s">
        <v>1782</v>
      </c>
      <c r="J260" s="1040" t="s">
        <v>1783</v>
      </c>
      <c r="K260" s="1024" t="s">
        <v>678</v>
      </c>
      <c r="L260" s="1026" t="s">
        <v>679</v>
      </c>
      <c r="M260" s="1027">
        <v>83950000</v>
      </c>
      <c r="N260" s="1080" t="s">
        <v>744</v>
      </c>
      <c r="O260" s="1080" t="s">
        <v>1815</v>
      </c>
      <c r="P260" s="1080"/>
      <c r="Q260" s="1024"/>
      <c r="R260" s="1019"/>
      <c r="S260" s="1127">
        <v>401</v>
      </c>
      <c r="T260" s="1153">
        <v>51100000</v>
      </c>
    </row>
    <row r="261" spans="1:20" s="992" customFormat="1" ht="89.25" x14ac:dyDescent="0.25">
      <c r="A261" s="1020">
        <v>2022261</v>
      </c>
      <c r="B261" s="1020">
        <v>7658</v>
      </c>
      <c r="C261" s="1020" t="s">
        <v>673</v>
      </c>
      <c r="D261" s="1036" t="s">
        <v>690</v>
      </c>
      <c r="E261" s="1037">
        <v>80111600</v>
      </c>
      <c r="F261" s="1023" t="s">
        <v>936</v>
      </c>
      <c r="G261" s="1038">
        <v>44575</v>
      </c>
      <c r="H261" s="1038">
        <v>44575</v>
      </c>
      <c r="I261" s="1039" t="s">
        <v>1782</v>
      </c>
      <c r="J261" s="1040" t="s">
        <v>1783</v>
      </c>
      <c r="K261" s="1024" t="s">
        <v>678</v>
      </c>
      <c r="L261" s="1026" t="s">
        <v>679</v>
      </c>
      <c r="M261" s="1027">
        <v>83950000</v>
      </c>
      <c r="N261" s="1080" t="s">
        <v>744</v>
      </c>
      <c r="O261" s="1080" t="s">
        <v>1815</v>
      </c>
      <c r="P261" s="1080"/>
      <c r="Q261" s="1024"/>
      <c r="R261" s="1019"/>
      <c r="S261" s="1127">
        <v>138</v>
      </c>
      <c r="T261" s="1153">
        <v>78200000</v>
      </c>
    </row>
    <row r="262" spans="1:20" s="992" customFormat="1" ht="89.25" x14ac:dyDescent="0.25">
      <c r="A262" s="1020">
        <v>2022262</v>
      </c>
      <c r="B262" s="1020">
        <v>7658</v>
      </c>
      <c r="C262" s="1020" t="s">
        <v>673</v>
      </c>
      <c r="D262" s="1036" t="s">
        <v>690</v>
      </c>
      <c r="E262" s="1037">
        <v>80111600</v>
      </c>
      <c r="F262" s="1023" t="s">
        <v>936</v>
      </c>
      <c r="G262" s="1038">
        <v>44575</v>
      </c>
      <c r="H262" s="1038">
        <v>44575</v>
      </c>
      <c r="I262" s="1039" t="s">
        <v>1782</v>
      </c>
      <c r="J262" s="1040" t="s">
        <v>1783</v>
      </c>
      <c r="K262" s="1024" t="s">
        <v>678</v>
      </c>
      <c r="L262" s="1026" t="s">
        <v>679</v>
      </c>
      <c r="M262" s="1027">
        <v>83950000</v>
      </c>
      <c r="N262" s="1080" t="s">
        <v>744</v>
      </c>
      <c r="O262" s="1080" t="s">
        <v>1815</v>
      </c>
      <c r="P262" s="1080"/>
      <c r="Q262" s="1024"/>
      <c r="R262" s="1019"/>
      <c r="S262" s="1127">
        <v>255</v>
      </c>
      <c r="T262" s="1153">
        <v>83950000</v>
      </c>
    </row>
    <row r="263" spans="1:20" s="992" customFormat="1" ht="89.25" x14ac:dyDescent="0.25">
      <c r="A263" s="1020">
        <v>2022264</v>
      </c>
      <c r="B263" s="1020">
        <v>7658</v>
      </c>
      <c r="C263" s="1020" t="s">
        <v>673</v>
      </c>
      <c r="D263" s="1036" t="s">
        <v>690</v>
      </c>
      <c r="E263" s="1037">
        <v>80111600</v>
      </c>
      <c r="F263" s="1023" t="s">
        <v>937</v>
      </c>
      <c r="G263" s="1038">
        <v>44575</v>
      </c>
      <c r="H263" s="1038">
        <v>44575</v>
      </c>
      <c r="I263" s="1039" t="s">
        <v>1782</v>
      </c>
      <c r="J263" s="1040" t="s">
        <v>1783</v>
      </c>
      <c r="K263" s="1024" t="s">
        <v>678</v>
      </c>
      <c r="L263" s="1026" t="s">
        <v>679</v>
      </c>
      <c r="M263" s="1027">
        <v>44275000</v>
      </c>
      <c r="N263" s="1080" t="s">
        <v>744</v>
      </c>
      <c r="O263" s="1080" t="s">
        <v>1815</v>
      </c>
      <c r="P263" s="1080"/>
      <c r="Q263" s="1024"/>
      <c r="R263" s="1019"/>
      <c r="S263" s="1127">
        <v>373</v>
      </c>
      <c r="T263" s="1153">
        <v>44275000</v>
      </c>
    </row>
    <row r="264" spans="1:20" s="992" customFormat="1" ht="89.25" x14ac:dyDescent="0.25">
      <c r="A264" s="1020">
        <v>2022265</v>
      </c>
      <c r="B264" s="1020">
        <v>7658</v>
      </c>
      <c r="C264" s="1020" t="s">
        <v>673</v>
      </c>
      <c r="D264" s="1036" t="s">
        <v>690</v>
      </c>
      <c r="E264" s="1037">
        <v>80111600</v>
      </c>
      <c r="F264" s="1023" t="s">
        <v>938</v>
      </c>
      <c r="G264" s="1038">
        <v>44575</v>
      </c>
      <c r="H264" s="1038">
        <v>44575</v>
      </c>
      <c r="I264" s="1039" t="s">
        <v>1782</v>
      </c>
      <c r="J264" s="1040" t="s">
        <v>1783</v>
      </c>
      <c r="K264" s="1024" t="s">
        <v>678</v>
      </c>
      <c r="L264" s="1026" t="s">
        <v>679</v>
      </c>
      <c r="M264" s="1027">
        <v>28175000</v>
      </c>
      <c r="N264" s="1080" t="s">
        <v>744</v>
      </c>
      <c r="O264" s="1080" t="s">
        <v>1815</v>
      </c>
      <c r="P264" s="1080"/>
      <c r="Q264" s="1024"/>
      <c r="R264" s="1019"/>
      <c r="S264" s="1127">
        <v>257</v>
      </c>
      <c r="T264" s="1153">
        <v>28175000</v>
      </c>
    </row>
    <row r="265" spans="1:20" s="992" customFormat="1" ht="89.25" x14ac:dyDescent="0.25">
      <c r="A265" s="1020">
        <v>2022266</v>
      </c>
      <c r="B265" s="1020">
        <v>7658</v>
      </c>
      <c r="C265" s="1020" t="s">
        <v>673</v>
      </c>
      <c r="D265" s="1036" t="s">
        <v>690</v>
      </c>
      <c r="E265" s="1037">
        <v>80111600</v>
      </c>
      <c r="F265" s="1023" t="s">
        <v>939</v>
      </c>
      <c r="G265" s="1038">
        <v>44575</v>
      </c>
      <c r="H265" s="1038">
        <v>44575</v>
      </c>
      <c r="I265" s="1039" t="s">
        <v>1782</v>
      </c>
      <c r="J265" s="1040" t="s">
        <v>1783</v>
      </c>
      <c r="K265" s="1024" t="s">
        <v>678</v>
      </c>
      <c r="L265" s="1026" t="s">
        <v>679</v>
      </c>
      <c r="M265" s="1027">
        <v>63250000</v>
      </c>
      <c r="N265" s="1080" t="s">
        <v>744</v>
      </c>
      <c r="O265" s="1080" t="s">
        <v>1815</v>
      </c>
      <c r="P265" s="1080"/>
      <c r="Q265" s="1024"/>
      <c r="R265" s="1019"/>
      <c r="S265" s="1127">
        <v>110</v>
      </c>
      <c r="T265" s="1153">
        <v>63250000</v>
      </c>
    </row>
    <row r="266" spans="1:20" s="992" customFormat="1" ht="89.25" x14ac:dyDescent="0.25">
      <c r="A266" s="1020">
        <v>2022267</v>
      </c>
      <c r="B266" s="1020">
        <v>7658</v>
      </c>
      <c r="C266" s="1020" t="s">
        <v>673</v>
      </c>
      <c r="D266" s="1036" t="s">
        <v>690</v>
      </c>
      <c r="E266" s="1037">
        <v>80111600</v>
      </c>
      <c r="F266" s="1023" t="s">
        <v>940</v>
      </c>
      <c r="G266" s="1038">
        <v>44575</v>
      </c>
      <c r="H266" s="1038">
        <v>44575</v>
      </c>
      <c r="I266" s="1039" t="s">
        <v>1782</v>
      </c>
      <c r="J266" s="1040" t="s">
        <v>1783</v>
      </c>
      <c r="K266" s="1024" t="s">
        <v>678</v>
      </c>
      <c r="L266" s="1026" t="s">
        <v>679</v>
      </c>
      <c r="M266" s="1027">
        <v>28175000</v>
      </c>
      <c r="N266" s="1080" t="s">
        <v>744</v>
      </c>
      <c r="O266" s="1080" t="s">
        <v>1815</v>
      </c>
      <c r="P266" s="1080"/>
      <c r="Q266" s="1024"/>
      <c r="R266" s="1019"/>
      <c r="S266" s="1127">
        <v>441</v>
      </c>
      <c r="T266" s="1153">
        <v>28175000</v>
      </c>
    </row>
    <row r="267" spans="1:20" s="992" customFormat="1" ht="89.25" x14ac:dyDescent="0.25">
      <c r="A267" s="1020">
        <v>2022268</v>
      </c>
      <c r="B267" s="1020">
        <v>7658</v>
      </c>
      <c r="C267" s="1020" t="s">
        <v>673</v>
      </c>
      <c r="D267" s="1036" t="s">
        <v>690</v>
      </c>
      <c r="E267" s="1037">
        <v>80111600</v>
      </c>
      <c r="F267" s="1023" t="s">
        <v>940</v>
      </c>
      <c r="G267" s="1038">
        <v>44575</v>
      </c>
      <c r="H267" s="1038">
        <v>44575</v>
      </c>
      <c r="I267" s="1039" t="s">
        <v>1782</v>
      </c>
      <c r="J267" s="1040" t="s">
        <v>1783</v>
      </c>
      <c r="K267" s="1024" t="s">
        <v>678</v>
      </c>
      <c r="L267" s="1026" t="s">
        <v>679</v>
      </c>
      <c r="M267" s="1027">
        <v>28175000</v>
      </c>
      <c r="N267" s="1080" t="s">
        <v>744</v>
      </c>
      <c r="O267" s="1080" t="s">
        <v>1815</v>
      </c>
      <c r="P267" s="1080"/>
      <c r="Q267" s="1024"/>
      <c r="R267" s="1019"/>
      <c r="S267" s="1127">
        <v>370</v>
      </c>
      <c r="T267" s="1153">
        <v>28175000</v>
      </c>
    </row>
    <row r="268" spans="1:20" s="992" customFormat="1" ht="89.25" x14ac:dyDescent="0.25">
      <c r="A268" s="1020">
        <v>2022269</v>
      </c>
      <c r="B268" s="1020">
        <v>7658</v>
      </c>
      <c r="C268" s="1020" t="s">
        <v>673</v>
      </c>
      <c r="D268" s="1036" t="s">
        <v>690</v>
      </c>
      <c r="E268" s="1037">
        <v>80111600</v>
      </c>
      <c r="F268" s="1023" t="s">
        <v>940</v>
      </c>
      <c r="G268" s="1038">
        <v>44575</v>
      </c>
      <c r="H268" s="1038">
        <v>44575</v>
      </c>
      <c r="I268" s="1039" t="s">
        <v>1782</v>
      </c>
      <c r="J268" s="1040" t="s">
        <v>1783</v>
      </c>
      <c r="K268" s="1024" t="s">
        <v>678</v>
      </c>
      <c r="L268" s="1026" t="s">
        <v>679</v>
      </c>
      <c r="M268" s="1027">
        <v>28175000</v>
      </c>
      <c r="N268" s="1080" t="s">
        <v>744</v>
      </c>
      <c r="O268" s="1080" t="s">
        <v>1815</v>
      </c>
      <c r="P268" s="1080"/>
      <c r="Q268" s="1024"/>
      <c r="R268" s="1019"/>
      <c r="S268" s="1127">
        <v>438</v>
      </c>
      <c r="T268" s="1153">
        <v>28175000</v>
      </c>
    </row>
    <row r="269" spans="1:20" s="992" customFormat="1" ht="89.25" x14ac:dyDescent="0.25">
      <c r="A269" s="1020">
        <v>2022270</v>
      </c>
      <c r="B269" s="1020">
        <v>7658</v>
      </c>
      <c r="C269" s="1020" t="s">
        <v>673</v>
      </c>
      <c r="D269" s="1036" t="s">
        <v>690</v>
      </c>
      <c r="E269" s="1037">
        <v>80111600</v>
      </c>
      <c r="F269" s="1023" t="s">
        <v>940</v>
      </c>
      <c r="G269" s="1038">
        <v>44575</v>
      </c>
      <c r="H269" s="1038">
        <v>44575</v>
      </c>
      <c r="I269" s="1039" t="s">
        <v>1782</v>
      </c>
      <c r="J269" s="1040" t="s">
        <v>1783</v>
      </c>
      <c r="K269" s="1024" t="s">
        <v>678</v>
      </c>
      <c r="L269" s="1026" t="s">
        <v>679</v>
      </c>
      <c r="M269" s="1027">
        <v>28175000</v>
      </c>
      <c r="N269" s="1080" t="s">
        <v>744</v>
      </c>
      <c r="O269" s="1080" t="s">
        <v>1815</v>
      </c>
      <c r="P269" s="1080"/>
      <c r="Q269" s="1024"/>
      <c r="R269" s="1019"/>
      <c r="S269" s="1127">
        <v>317</v>
      </c>
      <c r="T269" s="1153">
        <v>28175000</v>
      </c>
    </row>
    <row r="270" spans="1:20" s="992" customFormat="1" ht="89.25" x14ac:dyDescent="0.25">
      <c r="A270" s="1020">
        <v>2022271</v>
      </c>
      <c r="B270" s="1020">
        <v>7658</v>
      </c>
      <c r="C270" s="1020" t="s">
        <v>673</v>
      </c>
      <c r="D270" s="1036" t="s">
        <v>690</v>
      </c>
      <c r="E270" s="1037">
        <v>80111600</v>
      </c>
      <c r="F270" s="1023" t="s">
        <v>940</v>
      </c>
      <c r="G270" s="1038">
        <v>44575</v>
      </c>
      <c r="H270" s="1038">
        <v>44575</v>
      </c>
      <c r="I270" s="1039" t="s">
        <v>1782</v>
      </c>
      <c r="J270" s="1040" t="s">
        <v>1783</v>
      </c>
      <c r="K270" s="1024" t="s">
        <v>678</v>
      </c>
      <c r="L270" s="1026" t="s">
        <v>679</v>
      </c>
      <c r="M270" s="1027">
        <v>28175000</v>
      </c>
      <c r="N270" s="1080" t="s">
        <v>744</v>
      </c>
      <c r="O270" s="1080" t="s">
        <v>1815</v>
      </c>
      <c r="P270" s="1080"/>
      <c r="Q270" s="1024"/>
      <c r="R270" s="1019"/>
      <c r="S270" s="1127">
        <v>319</v>
      </c>
      <c r="T270" s="1153">
        <v>28175000</v>
      </c>
    </row>
    <row r="271" spans="1:20" s="992" customFormat="1" ht="89.25" x14ac:dyDescent="0.25">
      <c r="A271" s="1020">
        <v>2022272</v>
      </c>
      <c r="B271" s="1020">
        <v>7658</v>
      </c>
      <c r="C271" s="1020" t="s">
        <v>673</v>
      </c>
      <c r="D271" s="1036" t="s">
        <v>690</v>
      </c>
      <c r="E271" s="1037">
        <v>80111600</v>
      </c>
      <c r="F271" s="1023" t="s">
        <v>940</v>
      </c>
      <c r="G271" s="1038">
        <v>44575</v>
      </c>
      <c r="H271" s="1038">
        <v>44575</v>
      </c>
      <c r="I271" s="1039" t="s">
        <v>1782</v>
      </c>
      <c r="J271" s="1040" t="s">
        <v>1783</v>
      </c>
      <c r="K271" s="1024" t="s">
        <v>678</v>
      </c>
      <c r="L271" s="1026" t="s">
        <v>679</v>
      </c>
      <c r="M271" s="1027">
        <v>28175000</v>
      </c>
      <c r="N271" s="1080" t="s">
        <v>744</v>
      </c>
      <c r="O271" s="1080" t="s">
        <v>1815</v>
      </c>
      <c r="P271" s="1080"/>
      <c r="Q271" s="1024"/>
      <c r="R271" s="1019"/>
      <c r="S271" s="1127">
        <v>337</v>
      </c>
      <c r="T271" s="1153">
        <v>28175000</v>
      </c>
    </row>
    <row r="272" spans="1:20" s="992" customFormat="1" ht="89.25" x14ac:dyDescent="0.25">
      <c r="A272" s="1020">
        <v>2022273</v>
      </c>
      <c r="B272" s="1020">
        <v>7658</v>
      </c>
      <c r="C272" s="1020" t="s">
        <v>673</v>
      </c>
      <c r="D272" s="1036" t="s">
        <v>690</v>
      </c>
      <c r="E272" s="1037">
        <v>80111600</v>
      </c>
      <c r="F272" s="1023" t="s">
        <v>940</v>
      </c>
      <c r="G272" s="1038">
        <v>44575</v>
      </c>
      <c r="H272" s="1038">
        <v>44575</v>
      </c>
      <c r="I272" s="1039" t="s">
        <v>1782</v>
      </c>
      <c r="J272" s="1040" t="s">
        <v>1783</v>
      </c>
      <c r="K272" s="1024" t="s">
        <v>678</v>
      </c>
      <c r="L272" s="1026" t="s">
        <v>679</v>
      </c>
      <c r="M272" s="1027">
        <v>28175000</v>
      </c>
      <c r="N272" s="1080" t="s">
        <v>744</v>
      </c>
      <c r="O272" s="1080" t="s">
        <v>1815</v>
      </c>
      <c r="P272" s="1080"/>
      <c r="Q272" s="1024"/>
      <c r="R272" s="1019"/>
      <c r="S272" s="1127">
        <v>400</v>
      </c>
      <c r="T272" s="1153">
        <v>28175000</v>
      </c>
    </row>
    <row r="273" spans="1:103" s="992" customFormat="1" ht="89.25" x14ac:dyDescent="0.25">
      <c r="A273" s="1020">
        <v>2022274</v>
      </c>
      <c r="B273" s="1020">
        <v>7658</v>
      </c>
      <c r="C273" s="1020" t="s">
        <v>673</v>
      </c>
      <c r="D273" s="1036" t="s">
        <v>690</v>
      </c>
      <c r="E273" s="1037">
        <v>80111600</v>
      </c>
      <c r="F273" s="1023" t="s">
        <v>940</v>
      </c>
      <c r="G273" s="1038">
        <v>44575</v>
      </c>
      <c r="H273" s="1038">
        <v>44575</v>
      </c>
      <c r="I273" s="1039" t="s">
        <v>1782</v>
      </c>
      <c r="J273" s="1040" t="s">
        <v>1783</v>
      </c>
      <c r="K273" s="1024" t="s">
        <v>678</v>
      </c>
      <c r="L273" s="1026" t="s">
        <v>679</v>
      </c>
      <c r="M273" s="1027">
        <v>28175000</v>
      </c>
      <c r="N273" s="1080" t="s">
        <v>744</v>
      </c>
      <c r="O273" s="1080" t="s">
        <v>1815</v>
      </c>
      <c r="P273" s="1080"/>
      <c r="Q273" s="1024"/>
      <c r="R273" s="1019"/>
      <c r="S273" s="1127">
        <v>425</v>
      </c>
      <c r="T273" s="1153">
        <v>28175000</v>
      </c>
    </row>
    <row r="274" spans="1:103" s="992" customFormat="1" ht="89.25" x14ac:dyDescent="0.25">
      <c r="A274" s="1020">
        <v>2022275</v>
      </c>
      <c r="B274" s="1020">
        <v>7658</v>
      </c>
      <c r="C274" s="1020" t="s">
        <v>673</v>
      </c>
      <c r="D274" s="1036" t="s">
        <v>690</v>
      </c>
      <c r="E274" s="1037">
        <v>80111600</v>
      </c>
      <c r="F274" s="1023" t="s">
        <v>940</v>
      </c>
      <c r="G274" s="1038">
        <v>44575</v>
      </c>
      <c r="H274" s="1038">
        <v>44575</v>
      </c>
      <c r="I274" s="1039" t="s">
        <v>1782</v>
      </c>
      <c r="J274" s="1040" t="s">
        <v>1783</v>
      </c>
      <c r="K274" s="1024" t="s">
        <v>678</v>
      </c>
      <c r="L274" s="1026" t="s">
        <v>679</v>
      </c>
      <c r="M274" s="1027">
        <v>28175000</v>
      </c>
      <c r="N274" s="1080" t="s">
        <v>744</v>
      </c>
      <c r="O274" s="1080" t="s">
        <v>1815</v>
      </c>
      <c r="P274" s="1080"/>
      <c r="Q274" s="1024"/>
      <c r="R274" s="1019"/>
      <c r="S274" s="1127">
        <v>369</v>
      </c>
      <c r="T274" s="1153">
        <v>28175000</v>
      </c>
    </row>
    <row r="275" spans="1:103" s="992" customFormat="1" ht="89.25" x14ac:dyDescent="0.25">
      <c r="A275" s="1020">
        <v>2022276</v>
      </c>
      <c r="B275" s="1020">
        <v>7658</v>
      </c>
      <c r="C275" s="1020" t="s">
        <v>673</v>
      </c>
      <c r="D275" s="1036" t="s">
        <v>690</v>
      </c>
      <c r="E275" s="1037">
        <v>80111600</v>
      </c>
      <c r="F275" s="1023" t="s">
        <v>940</v>
      </c>
      <c r="G275" s="1038">
        <v>44575</v>
      </c>
      <c r="H275" s="1038">
        <v>44575</v>
      </c>
      <c r="I275" s="1039" t="s">
        <v>1782</v>
      </c>
      <c r="J275" s="1040" t="s">
        <v>1783</v>
      </c>
      <c r="K275" s="1024" t="s">
        <v>678</v>
      </c>
      <c r="L275" s="1026" t="s">
        <v>679</v>
      </c>
      <c r="M275" s="1027">
        <v>24150000</v>
      </c>
      <c r="N275" s="1080" t="s">
        <v>744</v>
      </c>
      <c r="O275" s="1080" t="s">
        <v>1815</v>
      </c>
      <c r="P275" s="1080"/>
      <c r="Q275" s="1024"/>
      <c r="R275" s="1019"/>
      <c r="S275" s="1127">
        <v>325</v>
      </c>
      <c r="T275" s="1153">
        <v>24150000</v>
      </c>
    </row>
    <row r="276" spans="1:103" s="992" customFormat="1" ht="89.25" x14ac:dyDescent="0.25">
      <c r="A276" s="1020">
        <v>2022277</v>
      </c>
      <c r="B276" s="1020">
        <v>7658</v>
      </c>
      <c r="C276" s="1020" t="s">
        <v>673</v>
      </c>
      <c r="D276" s="1036" t="s">
        <v>690</v>
      </c>
      <c r="E276" s="1037">
        <v>80111600</v>
      </c>
      <c r="F276" s="1023" t="s">
        <v>940</v>
      </c>
      <c r="G276" s="1038">
        <v>44575</v>
      </c>
      <c r="H276" s="1038">
        <v>44575</v>
      </c>
      <c r="I276" s="1039" t="s">
        <v>1782</v>
      </c>
      <c r="J276" s="1040" t="s">
        <v>1783</v>
      </c>
      <c r="K276" s="1024" t="s">
        <v>678</v>
      </c>
      <c r="L276" s="1026" t="s">
        <v>679</v>
      </c>
      <c r="M276" s="1027">
        <v>28175000</v>
      </c>
      <c r="N276" s="1080" t="s">
        <v>744</v>
      </c>
      <c r="O276" s="1080" t="s">
        <v>1815</v>
      </c>
      <c r="P276" s="1080"/>
      <c r="Q276" s="1024"/>
      <c r="R276" s="1019"/>
      <c r="S276" s="1127">
        <v>88</v>
      </c>
      <c r="T276" s="1153">
        <v>28175000</v>
      </c>
    </row>
    <row r="277" spans="1:103" s="992" customFormat="1" ht="89.25" x14ac:dyDescent="0.25">
      <c r="A277" s="1020">
        <v>2022278</v>
      </c>
      <c r="B277" s="1020">
        <v>7658</v>
      </c>
      <c r="C277" s="1020" t="s">
        <v>673</v>
      </c>
      <c r="D277" s="1036" t="s">
        <v>690</v>
      </c>
      <c r="E277" s="1037">
        <v>80111600</v>
      </c>
      <c r="F277" s="1023" t="s">
        <v>940</v>
      </c>
      <c r="G277" s="1038">
        <v>44575</v>
      </c>
      <c r="H277" s="1038">
        <v>44575</v>
      </c>
      <c r="I277" s="1039" t="s">
        <v>1782</v>
      </c>
      <c r="J277" s="1040" t="s">
        <v>1783</v>
      </c>
      <c r="K277" s="1024" t="s">
        <v>678</v>
      </c>
      <c r="L277" s="1026" t="s">
        <v>679</v>
      </c>
      <c r="M277" s="1027">
        <v>28175000</v>
      </c>
      <c r="N277" s="1080" t="s">
        <v>744</v>
      </c>
      <c r="O277" s="1080" t="s">
        <v>1815</v>
      </c>
      <c r="P277" s="1080"/>
      <c r="Q277" s="1024"/>
      <c r="R277" s="1019"/>
      <c r="S277" s="1127">
        <v>335</v>
      </c>
      <c r="T277" s="1153">
        <v>28175000</v>
      </c>
    </row>
    <row r="278" spans="1:103" s="992" customFormat="1" ht="89.25" x14ac:dyDescent="0.25">
      <c r="A278" s="1020">
        <v>2022280</v>
      </c>
      <c r="B278" s="1020">
        <v>7658</v>
      </c>
      <c r="C278" s="1020" t="s">
        <v>673</v>
      </c>
      <c r="D278" s="1036" t="s">
        <v>690</v>
      </c>
      <c r="E278" s="1037">
        <v>80111600</v>
      </c>
      <c r="F278" s="1023" t="s">
        <v>940</v>
      </c>
      <c r="G278" s="1038">
        <v>44575</v>
      </c>
      <c r="H278" s="1038">
        <v>44575</v>
      </c>
      <c r="I278" s="1039" t="s">
        <v>1782</v>
      </c>
      <c r="J278" s="1040" t="s">
        <v>1783</v>
      </c>
      <c r="K278" s="1024" t="s">
        <v>678</v>
      </c>
      <c r="L278" s="1026" t="s">
        <v>679</v>
      </c>
      <c r="M278" s="1027">
        <v>28175000</v>
      </c>
      <c r="N278" s="1080" t="s">
        <v>744</v>
      </c>
      <c r="O278" s="1080" t="s">
        <v>1815</v>
      </c>
      <c r="P278" s="1080"/>
      <c r="Q278" s="1024"/>
      <c r="R278" s="1019"/>
      <c r="S278" s="1127">
        <v>326</v>
      </c>
      <c r="T278" s="1153">
        <v>28175000</v>
      </c>
    </row>
    <row r="279" spans="1:103" s="992" customFormat="1" ht="89.25" x14ac:dyDescent="0.25">
      <c r="A279" s="1020">
        <v>2022281</v>
      </c>
      <c r="B279" s="1020">
        <v>7658</v>
      </c>
      <c r="C279" s="1020" t="s">
        <v>673</v>
      </c>
      <c r="D279" s="1036" t="s">
        <v>690</v>
      </c>
      <c r="E279" s="1037">
        <v>80111600</v>
      </c>
      <c r="F279" s="1023" t="s">
        <v>940</v>
      </c>
      <c r="G279" s="1038">
        <v>44575</v>
      </c>
      <c r="H279" s="1038">
        <v>44575</v>
      </c>
      <c r="I279" s="1039" t="s">
        <v>1782</v>
      </c>
      <c r="J279" s="1040" t="s">
        <v>1783</v>
      </c>
      <c r="K279" s="1024" t="s">
        <v>678</v>
      </c>
      <c r="L279" s="1026" t="s">
        <v>679</v>
      </c>
      <c r="M279" s="1027">
        <v>28175000</v>
      </c>
      <c r="N279" s="1080" t="s">
        <v>744</v>
      </c>
      <c r="O279" s="1080" t="s">
        <v>1815</v>
      </c>
      <c r="P279" s="1080"/>
      <c r="Q279" s="1024"/>
      <c r="R279" s="1019"/>
      <c r="S279" s="1127">
        <v>320</v>
      </c>
      <c r="T279" s="1153">
        <v>28175000</v>
      </c>
    </row>
    <row r="280" spans="1:103" s="992" customFormat="1" ht="89.25" x14ac:dyDescent="0.25">
      <c r="A280" s="1020">
        <v>2022283</v>
      </c>
      <c r="B280" s="1020">
        <v>7658</v>
      </c>
      <c r="C280" s="1020" t="s">
        <v>673</v>
      </c>
      <c r="D280" s="1036" t="s">
        <v>690</v>
      </c>
      <c r="E280" s="1037">
        <v>80111600</v>
      </c>
      <c r="F280" s="1023" t="s">
        <v>941</v>
      </c>
      <c r="G280" s="1038">
        <v>44575</v>
      </c>
      <c r="H280" s="1038">
        <v>44575</v>
      </c>
      <c r="I280" s="1039" t="s">
        <v>1782</v>
      </c>
      <c r="J280" s="1040" t="s">
        <v>1783</v>
      </c>
      <c r="K280" s="1024" t="s">
        <v>678</v>
      </c>
      <c r="L280" s="1026" t="s">
        <v>679</v>
      </c>
      <c r="M280" s="1027">
        <v>47150000</v>
      </c>
      <c r="N280" s="1080" t="s">
        <v>744</v>
      </c>
      <c r="O280" s="1080" t="s">
        <v>1815</v>
      </c>
      <c r="P280" s="1080"/>
      <c r="Q280" s="1024"/>
      <c r="R280" s="1019"/>
      <c r="S280" s="1127">
        <v>476</v>
      </c>
      <c r="T280" s="1153">
        <v>44275000</v>
      </c>
    </row>
    <row r="281" spans="1:103" s="992" customFormat="1" ht="89.25" x14ac:dyDescent="0.25">
      <c r="A281" s="1020">
        <v>2022284</v>
      </c>
      <c r="B281" s="1020">
        <v>7658</v>
      </c>
      <c r="C281" s="1020" t="s">
        <v>673</v>
      </c>
      <c r="D281" s="1036" t="s">
        <v>690</v>
      </c>
      <c r="E281" s="1037">
        <v>80111600</v>
      </c>
      <c r="F281" s="1023" t="s">
        <v>930</v>
      </c>
      <c r="G281" s="1038">
        <v>44575</v>
      </c>
      <c r="H281" s="1038">
        <v>44575</v>
      </c>
      <c r="I281" s="1039" t="s">
        <v>1782</v>
      </c>
      <c r="J281" s="1040" t="s">
        <v>1783</v>
      </c>
      <c r="K281" s="1024" t="s">
        <v>678</v>
      </c>
      <c r="L281" s="1026" t="s">
        <v>679</v>
      </c>
      <c r="M281" s="1027">
        <v>51750000</v>
      </c>
      <c r="N281" s="1080" t="s">
        <v>744</v>
      </c>
      <c r="O281" s="1080" t="s">
        <v>1815</v>
      </c>
      <c r="P281" s="1080"/>
      <c r="Q281" s="1024"/>
      <c r="R281" s="1019"/>
      <c r="S281" s="1127">
        <v>412</v>
      </c>
      <c r="T281" s="1153">
        <v>51100000</v>
      </c>
    </row>
    <row r="282" spans="1:103" s="992" customFormat="1" ht="89.25" x14ac:dyDescent="0.25">
      <c r="A282" s="1020">
        <v>2022304</v>
      </c>
      <c r="B282" s="1020">
        <v>7658</v>
      </c>
      <c r="C282" s="1020" t="s">
        <v>673</v>
      </c>
      <c r="D282" s="1036" t="s">
        <v>690</v>
      </c>
      <c r="E282" s="1083" t="s">
        <v>967</v>
      </c>
      <c r="F282" s="1084" t="s">
        <v>970</v>
      </c>
      <c r="G282" s="1038">
        <v>44606</v>
      </c>
      <c r="H282" s="1038">
        <v>44606</v>
      </c>
      <c r="I282" s="1039" t="s">
        <v>1816</v>
      </c>
      <c r="J282" s="1040" t="s">
        <v>1817</v>
      </c>
      <c r="K282" s="1024" t="s">
        <v>678</v>
      </c>
      <c r="L282" s="1026" t="s">
        <v>969</v>
      </c>
      <c r="M282" s="1027">
        <v>109400000</v>
      </c>
      <c r="N282" s="1080" t="s">
        <v>744</v>
      </c>
      <c r="O282" s="1080" t="s">
        <v>1815</v>
      </c>
      <c r="P282" s="1080"/>
      <c r="Q282" s="1024"/>
      <c r="R282" s="1019"/>
      <c r="S282" s="1127">
        <v>462</v>
      </c>
      <c r="T282" s="1153">
        <v>99859613</v>
      </c>
    </row>
    <row r="283" spans="1:103" s="992" customFormat="1" ht="89.25" x14ac:dyDescent="0.25">
      <c r="A283" s="1010">
        <v>2022252</v>
      </c>
      <c r="B283" s="1010">
        <v>7658</v>
      </c>
      <c r="C283" s="1010" t="s">
        <v>673</v>
      </c>
      <c r="D283" s="1042" t="s">
        <v>690</v>
      </c>
      <c r="E283" s="1043">
        <v>80111600</v>
      </c>
      <c r="F283" s="1013" t="s">
        <v>932</v>
      </c>
      <c r="G283" s="1044">
        <v>44575</v>
      </c>
      <c r="H283" s="1044">
        <v>44575</v>
      </c>
      <c r="I283" s="1045" t="s">
        <v>1782</v>
      </c>
      <c r="J283" s="1046" t="s">
        <v>1783</v>
      </c>
      <c r="K283" s="1014" t="s">
        <v>678</v>
      </c>
      <c r="L283" s="1016" t="s">
        <v>783</v>
      </c>
      <c r="M283" s="1017">
        <v>103500000</v>
      </c>
      <c r="N283" s="1034" t="s">
        <v>744</v>
      </c>
      <c r="O283" s="1034" t="s">
        <v>1815</v>
      </c>
      <c r="P283" s="1034"/>
      <c r="Q283" s="1014"/>
      <c r="R283" s="1019"/>
      <c r="S283" s="1127"/>
      <c r="T283" s="1153"/>
    </row>
    <row r="284" spans="1:103" s="1031" customFormat="1" ht="89.25" x14ac:dyDescent="0.25">
      <c r="A284" s="1010">
        <v>2022254</v>
      </c>
      <c r="B284" s="1010">
        <v>7658</v>
      </c>
      <c r="C284" s="1010" t="s">
        <v>673</v>
      </c>
      <c r="D284" s="1042" t="s">
        <v>690</v>
      </c>
      <c r="E284" s="1043">
        <v>80111600</v>
      </c>
      <c r="F284" s="1013" t="s">
        <v>1818</v>
      </c>
      <c r="G284" s="1044">
        <v>44575</v>
      </c>
      <c r="H284" s="1044">
        <v>44575</v>
      </c>
      <c r="I284" s="1045" t="s">
        <v>1782</v>
      </c>
      <c r="J284" s="1046" t="s">
        <v>1783</v>
      </c>
      <c r="K284" s="1014" t="s">
        <v>678</v>
      </c>
      <c r="L284" s="1016" t="s">
        <v>679</v>
      </c>
      <c r="M284" s="1017">
        <v>63250000</v>
      </c>
      <c r="N284" s="1034" t="s">
        <v>744</v>
      </c>
      <c r="O284" s="1034" t="s">
        <v>1815</v>
      </c>
      <c r="P284" s="1034"/>
      <c r="Q284" s="1014"/>
      <c r="R284" s="1019"/>
      <c r="S284" s="1127"/>
      <c r="T284" s="1153"/>
      <c r="U284" s="992"/>
      <c r="V284" s="992"/>
      <c r="W284" s="992"/>
      <c r="X284" s="992"/>
      <c r="Y284" s="992"/>
      <c r="Z284" s="992"/>
      <c r="AA284" s="992"/>
      <c r="AB284" s="992"/>
      <c r="AC284" s="992"/>
      <c r="AD284" s="992"/>
      <c r="AE284" s="992"/>
      <c r="AF284" s="992"/>
      <c r="AG284" s="992"/>
      <c r="AH284" s="992"/>
      <c r="AI284" s="992"/>
      <c r="AJ284" s="992"/>
      <c r="AK284" s="992"/>
      <c r="AL284" s="992"/>
      <c r="AM284" s="992"/>
      <c r="AN284" s="992"/>
      <c r="AO284" s="992"/>
      <c r="AP284" s="992"/>
      <c r="AQ284" s="992"/>
      <c r="AR284" s="992"/>
      <c r="AS284" s="992"/>
      <c r="AT284" s="992"/>
      <c r="AU284" s="992"/>
      <c r="AV284" s="992"/>
      <c r="AW284" s="992"/>
      <c r="AX284" s="992"/>
      <c r="AY284" s="992"/>
      <c r="AZ284" s="992"/>
      <c r="BA284" s="992"/>
      <c r="BB284" s="992"/>
      <c r="BC284" s="992"/>
      <c r="BD284" s="992"/>
      <c r="BE284" s="992"/>
      <c r="BF284" s="992"/>
      <c r="BG284" s="992"/>
      <c r="BH284" s="992"/>
      <c r="BI284" s="992"/>
      <c r="BJ284" s="992"/>
      <c r="BK284" s="992"/>
      <c r="BL284" s="992"/>
      <c r="BM284" s="992"/>
      <c r="BN284" s="992"/>
      <c r="BO284" s="992"/>
      <c r="BP284" s="992"/>
      <c r="BQ284" s="992"/>
      <c r="BR284" s="992"/>
      <c r="BS284" s="992"/>
      <c r="BT284" s="992"/>
      <c r="BU284" s="992"/>
      <c r="BV284" s="992"/>
      <c r="BW284" s="992"/>
      <c r="BX284" s="992"/>
      <c r="BY284" s="992"/>
      <c r="BZ284" s="992"/>
      <c r="CA284" s="992"/>
      <c r="CB284" s="992"/>
      <c r="CC284" s="992"/>
      <c r="CD284" s="992"/>
      <c r="CE284" s="992"/>
      <c r="CF284" s="992"/>
      <c r="CG284" s="992"/>
      <c r="CH284" s="992"/>
      <c r="CI284" s="992"/>
      <c r="CJ284" s="992"/>
      <c r="CK284" s="992"/>
      <c r="CL284" s="992"/>
      <c r="CM284" s="992"/>
      <c r="CN284" s="992"/>
      <c r="CO284" s="992"/>
      <c r="CP284" s="992"/>
      <c r="CQ284" s="992"/>
      <c r="CR284" s="992"/>
      <c r="CS284" s="992"/>
      <c r="CT284" s="992"/>
      <c r="CU284" s="992"/>
      <c r="CV284" s="992"/>
      <c r="CW284" s="992"/>
      <c r="CX284" s="992"/>
      <c r="CY284" s="992"/>
    </row>
    <row r="285" spans="1:103" s="992" customFormat="1" ht="89.25" x14ac:dyDescent="0.25">
      <c r="A285" s="1010">
        <v>2022256</v>
      </c>
      <c r="B285" s="1010">
        <v>7658</v>
      </c>
      <c r="C285" s="1010" t="s">
        <v>673</v>
      </c>
      <c r="D285" s="1042" t="s">
        <v>690</v>
      </c>
      <c r="E285" s="1043">
        <v>80111600</v>
      </c>
      <c r="F285" s="1013" t="s">
        <v>1819</v>
      </c>
      <c r="G285" s="1044">
        <v>44575</v>
      </c>
      <c r="H285" s="1044">
        <v>44575</v>
      </c>
      <c r="I285" s="1045" t="s">
        <v>1782</v>
      </c>
      <c r="J285" s="1046" t="s">
        <v>1783</v>
      </c>
      <c r="K285" s="1014" t="s">
        <v>678</v>
      </c>
      <c r="L285" s="1016" t="s">
        <v>679</v>
      </c>
      <c r="M285" s="1017">
        <v>51750000</v>
      </c>
      <c r="N285" s="1034" t="s">
        <v>744</v>
      </c>
      <c r="O285" s="1034" t="s">
        <v>1815</v>
      </c>
      <c r="P285" s="1034"/>
      <c r="Q285" s="1014"/>
      <c r="R285" s="1019"/>
      <c r="S285" s="1127"/>
      <c r="T285" s="1153"/>
    </row>
    <row r="286" spans="1:103" s="992" customFormat="1" ht="89.25" x14ac:dyDescent="0.25">
      <c r="A286" s="1010">
        <v>2022257</v>
      </c>
      <c r="B286" s="1010">
        <v>7658</v>
      </c>
      <c r="C286" s="1010" t="s">
        <v>673</v>
      </c>
      <c r="D286" s="1042" t="s">
        <v>690</v>
      </c>
      <c r="E286" s="1043">
        <v>80111600</v>
      </c>
      <c r="F286" s="1013" t="s">
        <v>935</v>
      </c>
      <c r="G286" s="1044">
        <v>44575</v>
      </c>
      <c r="H286" s="1044">
        <v>44575</v>
      </c>
      <c r="I286" s="1045" t="s">
        <v>1782</v>
      </c>
      <c r="J286" s="1046" t="s">
        <v>1783</v>
      </c>
      <c r="K286" s="1014" t="s">
        <v>678</v>
      </c>
      <c r="L286" s="1016" t="s">
        <v>679</v>
      </c>
      <c r="M286" s="1017">
        <v>83950000</v>
      </c>
      <c r="N286" s="1034" t="s">
        <v>744</v>
      </c>
      <c r="O286" s="1034" t="s">
        <v>1815</v>
      </c>
      <c r="P286" s="1034"/>
      <c r="Q286" s="1014"/>
      <c r="R286" s="1019"/>
      <c r="S286" s="1127"/>
      <c r="T286" s="1153"/>
    </row>
    <row r="287" spans="1:103" s="992" customFormat="1" ht="89.25" x14ac:dyDescent="0.25">
      <c r="A287" s="1010">
        <v>2022259</v>
      </c>
      <c r="B287" s="1010">
        <v>7658</v>
      </c>
      <c r="C287" s="1010" t="s">
        <v>673</v>
      </c>
      <c r="D287" s="1042" t="s">
        <v>690</v>
      </c>
      <c r="E287" s="1043">
        <v>80111600</v>
      </c>
      <c r="F287" s="1013" t="s">
        <v>1820</v>
      </c>
      <c r="G287" s="1044">
        <v>44575</v>
      </c>
      <c r="H287" s="1044">
        <v>44575</v>
      </c>
      <c r="I287" s="1045" t="s">
        <v>1782</v>
      </c>
      <c r="J287" s="1046" t="s">
        <v>1783</v>
      </c>
      <c r="K287" s="1014" t="s">
        <v>678</v>
      </c>
      <c r="L287" s="1016" t="s">
        <v>679</v>
      </c>
      <c r="M287" s="1017">
        <v>94300000</v>
      </c>
      <c r="N287" s="1034" t="s">
        <v>744</v>
      </c>
      <c r="O287" s="1034" t="s">
        <v>1815</v>
      </c>
      <c r="P287" s="1034"/>
      <c r="Q287" s="1014"/>
      <c r="R287" s="1019"/>
      <c r="S287" s="1127"/>
      <c r="T287" s="1153"/>
    </row>
    <row r="288" spans="1:103" s="992" customFormat="1" ht="89.25" x14ac:dyDescent="0.25">
      <c r="A288" s="1010">
        <v>2022263</v>
      </c>
      <c r="B288" s="1010">
        <v>7658</v>
      </c>
      <c r="C288" s="1010" t="s">
        <v>673</v>
      </c>
      <c r="D288" s="1042" t="s">
        <v>690</v>
      </c>
      <c r="E288" s="1043">
        <v>80111600</v>
      </c>
      <c r="F288" s="1013" t="s">
        <v>935</v>
      </c>
      <c r="G288" s="1044">
        <v>44575</v>
      </c>
      <c r="H288" s="1044">
        <v>44575</v>
      </c>
      <c r="I288" s="1045" t="s">
        <v>1782</v>
      </c>
      <c r="J288" s="1046" t="s">
        <v>1783</v>
      </c>
      <c r="K288" s="1014" t="s">
        <v>678</v>
      </c>
      <c r="L288" s="1016" t="s">
        <v>679</v>
      </c>
      <c r="M288" s="1017">
        <v>78200000</v>
      </c>
      <c r="N288" s="1034" t="s">
        <v>744</v>
      </c>
      <c r="O288" s="1034" t="s">
        <v>1815</v>
      </c>
      <c r="P288" s="1034"/>
      <c r="Q288" s="1014"/>
      <c r="R288" s="1019"/>
      <c r="S288" s="1127"/>
      <c r="T288" s="1153"/>
    </row>
    <row r="289" spans="1:20" s="992" customFormat="1" ht="89.25" x14ac:dyDescent="0.25">
      <c r="A289" s="1128">
        <v>2022279</v>
      </c>
      <c r="B289" s="1128">
        <v>7658</v>
      </c>
      <c r="C289" s="1128" t="s">
        <v>673</v>
      </c>
      <c r="D289" s="1136" t="s">
        <v>690</v>
      </c>
      <c r="E289" s="1142">
        <v>80111600</v>
      </c>
      <c r="F289" s="1131" t="s">
        <v>940</v>
      </c>
      <c r="G289" s="1138">
        <v>44575</v>
      </c>
      <c r="H289" s="1138">
        <v>44575</v>
      </c>
      <c r="I289" s="1139" t="s">
        <v>1782</v>
      </c>
      <c r="J289" s="1140" t="s">
        <v>1783</v>
      </c>
      <c r="K289" s="1132" t="s">
        <v>678</v>
      </c>
      <c r="L289" s="1129" t="s">
        <v>679</v>
      </c>
      <c r="M289" s="1133">
        <v>28175000</v>
      </c>
      <c r="N289" s="1148" t="s">
        <v>744</v>
      </c>
      <c r="O289" s="1148" t="s">
        <v>1815</v>
      </c>
      <c r="P289" s="1148"/>
      <c r="Q289" s="1132"/>
      <c r="R289" s="1127">
        <v>209</v>
      </c>
      <c r="S289" s="1127"/>
      <c r="T289" s="1153"/>
    </row>
    <row r="290" spans="1:20" s="992" customFormat="1" ht="89.25" x14ac:dyDescent="0.25">
      <c r="A290" s="1010">
        <v>2022282</v>
      </c>
      <c r="B290" s="1010">
        <v>7658</v>
      </c>
      <c r="C290" s="1010" t="s">
        <v>673</v>
      </c>
      <c r="D290" s="1042" t="s">
        <v>690</v>
      </c>
      <c r="E290" s="1043">
        <v>80111600</v>
      </c>
      <c r="F290" s="1013" t="s">
        <v>1821</v>
      </c>
      <c r="G290" s="1044">
        <v>44575</v>
      </c>
      <c r="H290" s="1138">
        <v>44575</v>
      </c>
      <c r="I290" s="1045" t="s">
        <v>1782</v>
      </c>
      <c r="J290" s="1046" t="s">
        <v>1783</v>
      </c>
      <c r="K290" s="1014" t="s">
        <v>678</v>
      </c>
      <c r="L290" s="1016" t="s">
        <v>679</v>
      </c>
      <c r="M290" s="1017">
        <v>92000000</v>
      </c>
      <c r="N290" s="1034" t="s">
        <v>744</v>
      </c>
      <c r="O290" s="1034" t="s">
        <v>1815</v>
      </c>
      <c r="P290" s="1034"/>
      <c r="Q290" s="1014"/>
      <c r="R290" s="1019"/>
      <c r="S290" s="1127"/>
      <c r="T290" s="1153"/>
    </row>
    <row r="291" spans="1:20" s="992" customFormat="1" ht="89.25" x14ac:dyDescent="0.25">
      <c r="A291" s="1010">
        <v>2022285</v>
      </c>
      <c r="B291" s="1010">
        <v>7658</v>
      </c>
      <c r="C291" s="1010" t="s">
        <v>673</v>
      </c>
      <c r="D291" s="1042" t="s">
        <v>690</v>
      </c>
      <c r="E291" s="1048" t="s">
        <v>1822</v>
      </c>
      <c r="F291" s="1013" t="s">
        <v>1823</v>
      </c>
      <c r="G291" s="1044">
        <v>44774</v>
      </c>
      <c r="H291" s="1138">
        <v>44774</v>
      </c>
      <c r="I291" s="1045" t="s">
        <v>1786</v>
      </c>
      <c r="J291" s="1046" t="s">
        <v>1751</v>
      </c>
      <c r="K291" s="1014" t="s">
        <v>678</v>
      </c>
      <c r="L291" s="1016" t="s">
        <v>1824</v>
      </c>
      <c r="M291" s="1017">
        <v>100000000</v>
      </c>
      <c r="N291" s="1034" t="s">
        <v>744</v>
      </c>
      <c r="O291" s="1034" t="s">
        <v>1815</v>
      </c>
      <c r="P291" s="1034"/>
      <c r="Q291" s="1014"/>
      <c r="R291" s="1019"/>
      <c r="S291" s="1127"/>
      <c r="T291" s="1153"/>
    </row>
    <row r="292" spans="1:20" s="992" customFormat="1" ht="89.25" x14ac:dyDescent="0.25">
      <c r="A292" s="1010">
        <v>2022286</v>
      </c>
      <c r="B292" s="1010">
        <v>7658</v>
      </c>
      <c r="C292" s="1010" t="s">
        <v>673</v>
      </c>
      <c r="D292" s="1042" t="s">
        <v>690</v>
      </c>
      <c r="E292" s="1048" t="s">
        <v>942</v>
      </c>
      <c r="F292" s="1081" t="s">
        <v>1825</v>
      </c>
      <c r="G292" s="1044">
        <v>44774</v>
      </c>
      <c r="H292" s="1138">
        <v>44774</v>
      </c>
      <c r="I292" s="1045" t="s">
        <v>1786</v>
      </c>
      <c r="J292" s="1046" t="s">
        <v>1751</v>
      </c>
      <c r="K292" s="1011" t="s">
        <v>678</v>
      </c>
      <c r="L292" s="1082" t="s">
        <v>944</v>
      </c>
      <c r="M292" s="1017">
        <v>150000000</v>
      </c>
      <c r="N292" s="1034" t="s">
        <v>744</v>
      </c>
      <c r="O292" s="1034" t="s">
        <v>1815</v>
      </c>
      <c r="P292" s="1034"/>
      <c r="Q292" s="1014"/>
      <c r="R292" s="1019"/>
      <c r="S292" s="1127"/>
      <c r="T292" s="1153"/>
    </row>
    <row r="293" spans="1:20" s="992" customFormat="1" ht="89.25" x14ac:dyDescent="0.25">
      <c r="A293" s="1010">
        <v>2022287</v>
      </c>
      <c r="B293" s="1010">
        <v>7658</v>
      </c>
      <c r="C293" s="1010" t="s">
        <v>673</v>
      </c>
      <c r="D293" s="1042" t="s">
        <v>690</v>
      </c>
      <c r="E293" s="1043" t="s">
        <v>1826</v>
      </c>
      <c r="F293" s="1081" t="s">
        <v>946</v>
      </c>
      <c r="G293" s="1044">
        <v>44713</v>
      </c>
      <c r="H293" s="1138">
        <v>44713</v>
      </c>
      <c r="I293" s="1045" t="s">
        <v>1785</v>
      </c>
      <c r="J293" s="1046" t="s">
        <v>1751</v>
      </c>
      <c r="K293" s="1014" t="s">
        <v>678</v>
      </c>
      <c r="L293" s="1082" t="s">
        <v>944</v>
      </c>
      <c r="M293" s="1017">
        <v>100000000</v>
      </c>
      <c r="N293" s="1034" t="s">
        <v>744</v>
      </c>
      <c r="O293" s="1034" t="s">
        <v>1815</v>
      </c>
      <c r="P293" s="1034"/>
      <c r="Q293" s="1014"/>
      <c r="R293" s="1019"/>
      <c r="S293" s="1127"/>
      <c r="T293" s="1153"/>
    </row>
    <row r="294" spans="1:20" s="992" customFormat="1" ht="89.25" x14ac:dyDescent="0.25">
      <c r="A294" s="1010">
        <v>2022288</v>
      </c>
      <c r="B294" s="1010">
        <v>7658</v>
      </c>
      <c r="C294" s="1010" t="s">
        <v>673</v>
      </c>
      <c r="D294" s="1042" t="s">
        <v>690</v>
      </c>
      <c r="E294" s="1043" t="s">
        <v>1827</v>
      </c>
      <c r="F294" s="1081" t="s">
        <v>1828</v>
      </c>
      <c r="G294" s="1044">
        <v>44743</v>
      </c>
      <c r="H294" s="1138">
        <v>44743</v>
      </c>
      <c r="I294" s="1045" t="s">
        <v>1785</v>
      </c>
      <c r="J294" s="1046" t="s">
        <v>1751</v>
      </c>
      <c r="K294" s="1014" t="s">
        <v>678</v>
      </c>
      <c r="L294" s="1082" t="s">
        <v>944</v>
      </c>
      <c r="M294" s="1017">
        <v>80000000</v>
      </c>
      <c r="N294" s="1034" t="s">
        <v>744</v>
      </c>
      <c r="O294" s="1034" t="s">
        <v>1815</v>
      </c>
      <c r="P294" s="1034"/>
      <c r="Q294" s="1014"/>
      <c r="R294" s="1019"/>
      <c r="S294" s="1127"/>
      <c r="T294" s="1153"/>
    </row>
    <row r="295" spans="1:20" s="992" customFormat="1" ht="127.5" x14ac:dyDescent="0.25">
      <c r="A295" s="1010">
        <v>2022289</v>
      </c>
      <c r="B295" s="1010">
        <v>7658</v>
      </c>
      <c r="C295" s="1010" t="s">
        <v>673</v>
      </c>
      <c r="D295" s="1042" t="s">
        <v>690</v>
      </c>
      <c r="E295" s="1048" t="s">
        <v>1829</v>
      </c>
      <c r="F295" s="1081" t="s">
        <v>1830</v>
      </c>
      <c r="G295" s="1044">
        <v>44621</v>
      </c>
      <c r="H295" s="1138">
        <v>44621</v>
      </c>
      <c r="I295" s="1045" t="s">
        <v>1791</v>
      </c>
      <c r="J295" s="1046" t="s">
        <v>1751</v>
      </c>
      <c r="K295" s="1014" t="s">
        <v>678</v>
      </c>
      <c r="L295" s="1082" t="s">
        <v>944</v>
      </c>
      <c r="M295" s="1017">
        <v>70000000</v>
      </c>
      <c r="N295" s="1034" t="s">
        <v>744</v>
      </c>
      <c r="O295" s="1034" t="s">
        <v>1815</v>
      </c>
      <c r="P295" s="1034"/>
      <c r="Q295" s="1014"/>
      <c r="R295" s="1019"/>
      <c r="S295" s="1127"/>
      <c r="T295" s="1153"/>
    </row>
    <row r="296" spans="1:20" s="992" customFormat="1" ht="89.25" x14ac:dyDescent="0.25">
      <c r="A296" s="1010">
        <v>2022290</v>
      </c>
      <c r="B296" s="1010">
        <v>7658</v>
      </c>
      <c r="C296" s="1010" t="s">
        <v>673</v>
      </c>
      <c r="D296" s="1042" t="s">
        <v>690</v>
      </c>
      <c r="E296" s="1048" t="s">
        <v>947</v>
      </c>
      <c r="F296" s="1081" t="s">
        <v>948</v>
      </c>
      <c r="G296" s="1044">
        <v>44593</v>
      </c>
      <c r="H296" s="1138">
        <v>44593</v>
      </c>
      <c r="I296" s="1045" t="s">
        <v>1746</v>
      </c>
      <c r="J296" s="1046" t="s">
        <v>1751</v>
      </c>
      <c r="K296" s="1014" t="s">
        <v>678</v>
      </c>
      <c r="L296" s="1082" t="s">
        <v>944</v>
      </c>
      <c r="M296" s="1017">
        <v>20000000</v>
      </c>
      <c r="N296" s="1034" t="s">
        <v>744</v>
      </c>
      <c r="O296" s="1034" t="s">
        <v>1815</v>
      </c>
      <c r="P296" s="1034"/>
      <c r="Q296" s="1014"/>
      <c r="R296" s="1019"/>
      <c r="S296" s="1127"/>
      <c r="T296" s="1153"/>
    </row>
    <row r="297" spans="1:20" s="992" customFormat="1" ht="63.75" x14ac:dyDescent="0.25">
      <c r="A297" s="1010">
        <v>2022291</v>
      </c>
      <c r="B297" s="1010">
        <v>7658</v>
      </c>
      <c r="C297" s="1010" t="s">
        <v>673</v>
      </c>
      <c r="D297" s="1042" t="s">
        <v>690</v>
      </c>
      <c r="E297" s="1048" t="s">
        <v>949</v>
      </c>
      <c r="F297" s="1081" t="s">
        <v>1831</v>
      </c>
      <c r="G297" s="1044">
        <v>44593</v>
      </c>
      <c r="H297" s="1138">
        <v>44593</v>
      </c>
      <c r="I297" s="1045" t="s">
        <v>1791</v>
      </c>
      <c r="J297" s="1046" t="s">
        <v>1832</v>
      </c>
      <c r="K297" s="1014" t="s">
        <v>774</v>
      </c>
      <c r="L297" s="1016" t="s">
        <v>1833</v>
      </c>
      <c r="M297" s="1017">
        <v>900000000</v>
      </c>
      <c r="N297" s="1034" t="s">
        <v>723</v>
      </c>
      <c r="O297" s="1034" t="s">
        <v>1834</v>
      </c>
      <c r="P297" s="1034"/>
      <c r="Q297" s="1014"/>
      <c r="R297" s="1019"/>
      <c r="S297" s="1127"/>
      <c r="T297" s="1153"/>
    </row>
    <row r="298" spans="1:20" s="992" customFormat="1" ht="89.25" x14ac:dyDescent="0.25">
      <c r="A298" s="1010">
        <v>2022292</v>
      </c>
      <c r="B298" s="1010">
        <v>7658</v>
      </c>
      <c r="C298" s="1010" t="s">
        <v>673</v>
      </c>
      <c r="D298" s="1042" t="s">
        <v>690</v>
      </c>
      <c r="E298" s="1048" t="s">
        <v>952</v>
      </c>
      <c r="F298" s="1081" t="s">
        <v>1835</v>
      </c>
      <c r="G298" s="1044">
        <v>44593</v>
      </c>
      <c r="H298" s="1138">
        <v>44593</v>
      </c>
      <c r="I298" s="1045" t="s">
        <v>1746</v>
      </c>
      <c r="J298" s="1046" t="s">
        <v>1832</v>
      </c>
      <c r="K298" s="1014" t="s">
        <v>774</v>
      </c>
      <c r="L298" s="1016" t="s">
        <v>1833</v>
      </c>
      <c r="M298" s="1017">
        <v>180000000</v>
      </c>
      <c r="N298" s="1034" t="s">
        <v>723</v>
      </c>
      <c r="O298" s="1034" t="s">
        <v>1834</v>
      </c>
      <c r="P298" s="1034"/>
      <c r="Q298" s="1014"/>
      <c r="R298" s="1019"/>
      <c r="S298" s="1127"/>
      <c r="T298" s="1153"/>
    </row>
    <row r="299" spans="1:20" s="992" customFormat="1" ht="51" x14ac:dyDescent="0.25">
      <c r="A299" s="1010">
        <v>2022293</v>
      </c>
      <c r="B299" s="1010">
        <v>7658</v>
      </c>
      <c r="C299" s="1010" t="s">
        <v>673</v>
      </c>
      <c r="D299" s="1042" t="s">
        <v>690</v>
      </c>
      <c r="E299" s="1048" t="s">
        <v>949</v>
      </c>
      <c r="F299" s="1081" t="s">
        <v>1836</v>
      </c>
      <c r="G299" s="1044">
        <v>44593</v>
      </c>
      <c r="H299" s="1138">
        <v>44593</v>
      </c>
      <c r="I299" s="1045" t="s">
        <v>1791</v>
      </c>
      <c r="J299" s="1046" t="s">
        <v>1832</v>
      </c>
      <c r="K299" s="1014" t="s">
        <v>774</v>
      </c>
      <c r="L299" s="1016" t="s">
        <v>1833</v>
      </c>
      <c r="M299" s="1017">
        <v>450000000</v>
      </c>
      <c r="N299" s="1034" t="s">
        <v>723</v>
      </c>
      <c r="O299" s="1034" t="s">
        <v>1834</v>
      </c>
      <c r="P299" s="1034"/>
      <c r="Q299" s="1014"/>
      <c r="R299" s="1019"/>
      <c r="S299" s="1127"/>
      <c r="T299" s="1153"/>
    </row>
    <row r="300" spans="1:20" s="992" customFormat="1" ht="76.5" x14ac:dyDescent="0.25">
      <c r="A300" s="1010">
        <v>2022294</v>
      </c>
      <c r="B300" s="1010">
        <v>7658</v>
      </c>
      <c r="C300" s="1010" t="s">
        <v>673</v>
      </c>
      <c r="D300" s="1042" t="s">
        <v>690</v>
      </c>
      <c r="E300" s="1048" t="s">
        <v>952</v>
      </c>
      <c r="F300" s="1081" t="s">
        <v>1837</v>
      </c>
      <c r="G300" s="1044">
        <v>44593</v>
      </c>
      <c r="H300" s="1138">
        <v>44593</v>
      </c>
      <c r="I300" s="1045" t="s">
        <v>1746</v>
      </c>
      <c r="J300" s="1046" t="s">
        <v>1832</v>
      </c>
      <c r="K300" s="1014" t="s">
        <v>774</v>
      </c>
      <c r="L300" s="1016" t="s">
        <v>1833</v>
      </c>
      <c r="M300" s="1017">
        <v>90000000</v>
      </c>
      <c r="N300" s="1034" t="s">
        <v>723</v>
      </c>
      <c r="O300" s="1034" t="s">
        <v>1834</v>
      </c>
      <c r="P300" s="1034"/>
      <c r="Q300" s="1014"/>
      <c r="R300" s="1019"/>
      <c r="S300" s="1127"/>
      <c r="T300" s="1153"/>
    </row>
    <row r="301" spans="1:20" s="992" customFormat="1" ht="89.25" x14ac:dyDescent="0.25">
      <c r="A301" s="1010">
        <v>2022295</v>
      </c>
      <c r="B301" s="1010">
        <v>7658</v>
      </c>
      <c r="C301" s="1010" t="s">
        <v>673</v>
      </c>
      <c r="D301" s="1042" t="s">
        <v>690</v>
      </c>
      <c r="E301" s="1048" t="s">
        <v>954</v>
      </c>
      <c r="F301" s="1081" t="s">
        <v>955</v>
      </c>
      <c r="G301" s="1044">
        <v>44593</v>
      </c>
      <c r="H301" s="1138">
        <v>44593</v>
      </c>
      <c r="I301" s="1045" t="s">
        <v>1785</v>
      </c>
      <c r="J301" s="1046" t="s">
        <v>1751</v>
      </c>
      <c r="K301" s="1014" t="s">
        <v>678</v>
      </c>
      <c r="L301" s="1082" t="s">
        <v>944</v>
      </c>
      <c r="M301" s="1017">
        <v>70000000</v>
      </c>
      <c r="N301" s="1034" t="s">
        <v>744</v>
      </c>
      <c r="O301" s="1034" t="s">
        <v>1815</v>
      </c>
      <c r="P301" s="1034"/>
      <c r="Q301" s="1014"/>
      <c r="R301" s="1019"/>
      <c r="S301" s="1127"/>
      <c r="T301" s="1153"/>
    </row>
    <row r="302" spans="1:20" s="992" customFormat="1" ht="89.25" x14ac:dyDescent="0.25">
      <c r="A302" s="1010">
        <v>2022296</v>
      </c>
      <c r="B302" s="1010">
        <v>7658</v>
      </c>
      <c r="C302" s="1010" t="s">
        <v>673</v>
      </c>
      <c r="D302" s="1042" t="s">
        <v>690</v>
      </c>
      <c r="E302" s="1048" t="s">
        <v>1838</v>
      </c>
      <c r="F302" s="1081" t="s">
        <v>1839</v>
      </c>
      <c r="G302" s="1044">
        <v>44652</v>
      </c>
      <c r="H302" s="1138">
        <v>44652</v>
      </c>
      <c r="I302" s="1045" t="s">
        <v>1799</v>
      </c>
      <c r="J302" s="1046" t="s">
        <v>1766</v>
      </c>
      <c r="K302" s="1014" t="s">
        <v>678</v>
      </c>
      <c r="L302" s="1016" t="s">
        <v>1840</v>
      </c>
      <c r="M302" s="1017">
        <v>300000000</v>
      </c>
      <c r="N302" s="1034" t="s">
        <v>744</v>
      </c>
      <c r="O302" s="1034" t="s">
        <v>1815</v>
      </c>
      <c r="P302" s="1034"/>
      <c r="Q302" s="1014"/>
      <c r="R302" s="1019"/>
      <c r="S302" s="1127"/>
      <c r="T302" s="1153"/>
    </row>
    <row r="303" spans="1:20" s="992" customFormat="1" ht="89.25" x14ac:dyDescent="0.25">
      <c r="A303" s="1010">
        <v>2022297</v>
      </c>
      <c r="B303" s="1010">
        <v>7658</v>
      </c>
      <c r="C303" s="1010" t="s">
        <v>673</v>
      </c>
      <c r="D303" s="1042" t="s">
        <v>690</v>
      </c>
      <c r="E303" s="1048" t="s">
        <v>956</v>
      </c>
      <c r="F303" s="1081" t="s">
        <v>1841</v>
      </c>
      <c r="G303" s="1044">
        <v>44593</v>
      </c>
      <c r="H303" s="1138">
        <v>44593</v>
      </c>
      <c r="I303" s="1045" t="s">
        <v>1746</v>
      </c>
      <c r="J303" s="1046" t="s">
        <v>1842</v>
      </c>
      <c r="K303" s="1014" t="s">
        <v>678</v>
      </c>
      <c r="L303" s="1016" t="s">
        <v>1833</v>
      </c>
      <c r="M303" s="1017">
        <v>1119870000</v>
      </c>
      <c r="N303" s="1034" t="s">
        <v>744</v>
      </c>
      <c r="O303" s="1034" t="s">
        <v>1815</v>
      </c>
      <c r="P303" s="1034"/>
      <c r="Q303" s="1014"/>
      <c r="R303" s="1019"/>
      <c r="S303" s="1127"/>
      <c r="T303" s="1153"/>
    </row>
    <row r="304" spans="1:20" s="992" customFormat="1" ht="89.25" x14ac:dyDescent="0.25">
      <c r="A304" s="1010">
        <v>2022298</v>
      </c>
      <c r="B304" s="1010">
        <v>7658</v>
      </c>
      <c r="C304" s="1010" t="s">
        <v>673</v>
      </c>
      <c r="D304" s="1042" t="s">
        <v>690</v>
      </c>
      <c r="E304" s="1048" t="s">
        <v>952</v>
      </c>
      <c r="F304" s="1081" t="s">
        <v>959</v>
      </c>
      <c r="G304" s="1044">
        <v>44593</v>
      </c>
      <c r="H304" s="1138">
        <v>44593</v>
      </c>
      <c r="I304" s="1045" t="s">
        <v>1746</v>
      </c>
      <c r="J304" s="1046" t="s">
        <v>1832</v>
      </c>
      <c r="K304" s="1014" t="s">
        <v>678</v>
      </c>
      <c r="L304" s="1016" t="s">
        <v>1833</v>
      </c>
      <c r="M304" s="1017">
        <v>420000000</v>
      </c>
      <c r="N304" s="1034" t="s">
        <v>744</v>
      </c>
      <c r="O304" s="1034" t="s">
        <v>1815</v>
      </c>
      <c r="P304" s="1034"/>
      <c r="Q304" s="1014"/>
      <c r="R304" s="1019"/>
      <c r="S304" s="1127"/>
      <c r="T304" s="1153"/>
    </row>
    <row r="305" spans="1:20" s="992" customFormat="1" ht="89.25" x14ac:dyDescent="0.25">
      <c r="A305" s="1010">
        <v>2022299</v>
      </c>
      <c r="B305" s="1010">
        <v>7658</v>
      </c>
      <c r="C305" s="1010" t="s">
        <v>673</v>
      </c>
      <c r="D305" s="1042" t="s">
        <v>690</v>
      </c>
      <c r="E305" s="1048" t="s">
        <v>1843</v>
      </c>
      <c r="F305" s="1081" t="s">
        <v>1844</v>
      </c>
      <c r="G305" s="1044">
        <v>44621</v>
      </c>
      <c r="H305" s="1138">
        <v>44621</v>
      </c>
      <c r="I305" s="1045" t="s">
        <v>1845</v>
      </c>
      <c r="J305" s="1046" t="s">
        <v>1846</v>
      </c>
      <c r="K305" s="1014" t="s">
        <v>774</v>
      </c>
      <c r="L305" s="1016" t="s">
        <v>1840</v>
      </c>
      <c r="M305" s="1017">
        <v>500000000</v>
      </c>
      <c r="N305" s="1034" t="s">
        <v>744</v>
      </c>
      <c r="O305" s="1034" t="s">
        <v>1815</v>
      </c>
      <c r="P305" s="1034"/>
      <c r="Q305" s="1014"/>
      <c r="R305" s="1019"/>
      <c r="S305" s="1127"/>
      <c r="T305" s="1153"/>
    </row>
    <row r="306" spans="1:20" s="992" customFormat="1" ht="89.25" x14ac:dyDescent="0.25">
      <c r="A306" s="1010">
        <v>2022300</v>
      </c>
      <c r="B306" s="1010">
        <v>7658</v>
      </c>
      <c r="C306" s="1010" t="s">
        <v>673</v>
      </c>
      <c r="D306" s="1042" t="s">
        <v>690</v>
      </c>
      <c r="E306" s="1048" t="s">
        <v>960</v>
      </c>
      <c r="F306" s="1081" t="s">
        <v>1847</v>
      </c>
      <c r="G306" s="1044">
        <v>44621</v>
      </c>
      <c r="H306" s="1138">
        <v>44621</v>
      </c>
      <c r="I306" s="1045" t="s">
        <v>1790</v>
      </c>
      <c r="J306" s="1046" t="s">
        <v>1846</v>
      </c>
      <c r="K306" s="1014" t="s">
        <v>774</v>
      </c>
      <c r="L306" s="1016" t="s">
        <v>1840</v>
      </c>
      <c r="M306" s="1017">
        <v>300000000</v>
      </c>
      <c r="N306" s="1034" t="s">
        <v>744</v>
      </c>
      <c r="O306" s="1034" t="s">
        <v>1815</v>
      </c>
      <c r="P306" s="1034"/>
      <c r="Q306" s="1014"/>
      <c r="R306" s="1019"/>
      <c r="S306" s="1127"/>
      <c r="T306" s="1153"/>
    </row>
    <row r="307" spans="1:20" s="992" customFormat="1" ht="51" x14ac:dyDescent="0.25">
      <c r="A307" s="1010">
        <v>2022301</v>
      </c>
      <c r="B307" s="1010">
        <v>7658</v>
      </c>
      <c r="C307" s="1010" t="s">
        <v>673</v>
      </c>
      <c r="D307" s="1042" t="s">
        <v>690</v>
      </c>
      <c r="E307" s="1043" t="s">
        <v>97</v>
      </c>
      <c r="F307" s="1081" t="s">
        <v>1848</v>
      </c>
      <c r="G307" s="1044">
        <v>44621</v>
      </c>
      <c r="H307" s="1138">
        <v>44621</v>
      </c>
      <c r="I307" s="1015" t="s">
        <v>97</v>
      </c>
      <c r="J307" s="1046" t="s">
        <v>1796</v>
      </c>
      <c r="K307" s="1014" t="s">
        <v>678</v>
      </c>
      <c r="L307" s="1016" t="s">
        <v>1833</v>
      </c>
      <c r="M307" s="1017">
        <v>170000000</v>
      </c>
      <c r="N307" s="1016" t="s">
        <v>723</v>
      </c>
      <c r="O307" s="1016" t="s">
        <v>1834</v>
      </c>
      <c r="P307" s="1016"/>
      <c r="Q307" s="1014"/>
      <c r="R307" s="1019"/>
      <c r="S307" s="1127"/>
      <c r="T307" s="1153"/>
    </row>
    <row r="308" spans="1:20" s="992" customFormat="1" ht="89.25" x14ac:dyDescent="0.25">
      <c r="A308" s="1128">
        <v>2022302</v>
      </c>
      <c r="B308" s="1128">
        <v>7658</v>
      </c>
      <c r="C308" s="1128" t="s">
        <v>673</v>
      </c>
      <c r="D308" s="1136" t="s">
        <v>690</v>
      </c>
      <c r="E308" s="1137" t="s">
        <v>964</v>
      </c>
      <c r="F308" s="1149" t="s">
        <v>965</v>
      </c>
      <c r="G308" s="1138">
        <v>44652</v>
      </c>
      <c r="H308" s="1138">
        <v>44652</v>
      </c>
      <c r="I308" s="1139" t="s">
        <v>1799</v>
      </c>
      <c r="J308" s="1140" t="s">
        <v>1842</v>
      </c>
      <c r="K308" s="1132" t="s">
        <v>678</v>
      </c>
      <c r="L308" s="1129" t="s">
        <v>1849</v>
      </c>
      <c r="M308" s="1133">
        <v>308129000</v>
      </c>
      <c r="N308" s="1148" t="s">
        <v>744</v>
      </c>
      <c r="O308" s="1148" t="s">
        <v>1815</v>
      </c>
      <c r="P308" s="1148"/>
      <c r="Q308" s="1132"/>
      <c r="R308" s="1127">
        <v>594</v>
      </c>
      <c r="S308" s="1127"/>
      <c r="T308" s="1153"/>
    </row>
    <row r="309" spans="1:20" s="992" customFormat="1" ht="89.25" x14ac:dyDescent="0.25">
      <c r="A309" s="1010">
        <v>2022303</v>
      </c>
      <c r="B309" s="1010">
        <v>7658</v>
      </c>
      <c r="C309" s="1010" t="s">
        <v>673</v>
      </c>
      <c r="D309" s="1042" t="s">
        <v>690</v>
      </c>
      <c r="E309" s="1048" t="s">
        <v>967</v>
      </c>
      <c r="F309" s="1081" t="s">
        <v>1142</v>
      </c>
      <c r="G309" s="1044">
        <v>44575</v>
      </c>
      <c r="H309" s="1138">
        <v>44575</v>
      </c>
      <c r="I309" s="1045" t="s">
        <v>1850</v>
      </c>
      <c r="J309" s="1046" t="s">
        <v>1817</v>
      </c>
      <c r="K309" s="1014" t="s">
        <v>678</v>
      </c>
      <c r="L309" s="1016" t="s">
        <v>969</v>
      </c>
      <c r="M309" s="1017">
        <v>10600000</v>
      </c>
      <c r="N309" s="1034" t="s">
        <v>744</v>
      </c>
      <c r="O309" s="1034" t="s">
        <v>1815</v>
      </c>
      <c r="P309" s="1034"/>
      <c r="Q309" s="1014"/>
      <c r="R309" s="1019"/>
      <c r="S309" s="1127"/>
      <c r="T309" s="1153"/>
    </row>
    <row r="310" spans="1:20" s="992" customFormat="1" ht="51" x14ac:dyDescent="0.25">
      <c r="A310" s="1010">
        <v>2022305</v>
      </c>
      <c r="B310" s="1010">
        <v>7658</v>
      </c>
      <c r="C310" s="1010" t="s">
        <v>673</v>
      </c>
      <c r="D310" s="1042" t="s">
        <v>690</v>
      </c>
      <c r="E310" s="1043" t="s">
        <v>1851</v>
      </c>
      <c r="F310" s="1081" t="s">
        <v>1852</v>
      </c>
      <c r="G310" s="1044">
        <v>44606</v>
      </c>
      <c r="H310" s="1138">
        <v>44606</v>
      </c>
      <c r="I310" s="1045" t="s">
        <v>1786</v>
      </c>
      <c r="J310" s="1046" t="s">
        <v>1751</v>
      </c>
      <c r="K310" s="1014" t="s">
        <v>774</v>
      </c>
      <c r="L310" s="1016" t="s">
        <v>1833</v>
      </c>
      <c r="M310" s="1017">
        <v>205000000</v>
      </c>
      <c r="N310" s="1034" t="s">
        <v>723</v>
      </c>
      <c r="O310" s="1034" t="s">
        <v>1834</v>
      </c>
      <c r="P310" s="1034"/>
      <c r="Q310" s="1014"/>
      <c r="R310" s="1019"/>
      <c r="S310" s="1127"/>
      <c r="T310" s="1153"/>
    </row>
    <row r="311" spans="1:20" s="992" customFormat="1" ht="102" x14ac:dyDescent="0.25">
      <c r="A311" s="1010">
        <v>2022306</v>
      </c>
      <c r="B311" s="1010">
        <v>7658</v>
      </c>
      <c r="C311" s="1010" t="s">
        <v>673</v>
      </c>
      <c r="D311" s="1042" t="s">
        <v>690</v>
      </c>
      <c r="E311" s="1048" t="s">
        <v>952</v>
      </c>
      <c r="F311" s="1081" t="s">
        <v>1853</v>
      </c>
      <c r="G311" s="1044">
        <v>44606</v>
      </c>
      <c r="H311" s="1138">
        <v>44606</v>
      </c>
      <c r="I311" s="1045" t="s">
        <v>1799</v>
      </c>
      <c r="J311" s="1046" t="s">
        <v>1832</v>
      </c>
      <c r="K311" s="1014" t="s">
        <v>774</v>
      </c>
      <c r="L311" s="1016" t="s">
        <v>1833</v>
      </c>
      <c r="M311" s="1017">
        <v>21000000</v>
      </c>
      <c r="N311" s="1034" t="s">
        <v>723</v>
      </c>
      <c r="O311" s="1034" t="s">
        <v>1834</v>
      </c>
      <c r="P311" s="1034"/>
      <c r="Q311" s="1014"/>
      <c r="R311" s="1019"/>
      <c r="S311" s="1127"/>
      <c r="T311" s="1153"/>
    </row>
    <row r="312" spans="1:20" s="992" customFormat="1" ht="51" x14ac:dyDescent="0.25">
      <c r="A312" s="1010">
        <v>2022307</v>
      </c>
      <c r="B312" s="1010">
        <v>7658</v>
      </c>
      <c r="C312" s="1010" t="s">
        <v>673</v>
      </c>
      <c r="D312" s="1042" t="s">
        <v>690</v>
      </c>
      <c r="E312" s="1048" t="s">
        <v>954</v>
      </c>
      <c r="F312" s="1081" t="s">
        <v>1854</v>
      </c>
      <c r="G312" s="1044">
        <v>44634</v>
      </c>
      <c r="H312" s="1138">
        <v>44634</v>
      </c>
      <c r="I312" s="1045" t="s">
        <v>1800</v>
      </c>
      <c r="J312" s="1046" t="s">
        <v>1842</v>
      </c>
      <c r="K312" s="1014" t="s">
        <v>774</v>
      </c>
      <c r="L312" s="1016" t="s">
        <v>1833</v>
      </c>
      <c r="M312" s="1017">
        <v>1000000000</v>
      </c>
      <c r="N312" s="1034" t="s">
        <v>723</v>
      </c>
      <c r="O312" s="1034" t="s">
        <v>1834</v>
      </c>
      <c r="P312" s="1034"/>
      <c r="Q312" s="1014"/>
      <c r="R312" s="1019"/>
      <c r="S312" s="1127"/>
      <c r="T312" s="1153"/>
    </row>
    <row r="313" spans="1:20" s="992" customFormat="1" ht="89.25" x14ac:dyDescent="0.25">
      <c r="A313" s="1010">
        <v>2022308</v>
      </c>
      <c r="B313" s="1010">
        <v>7658</v>
      </c>
      <c r="C313" s="1010" t="s">
        <v>673</v>
      </c>
      <c r="D313" s="1042" t="s">
        <v>690</v>
      </c>
      <c r="E313" s="1048" t="s">
        <v>952</v>
      </c>
      <c r="F313" s="1081" t="s">
        <v>1855</v>
      </c>
      <c r="G313" s="1044">
        <v>44634</v>
      </c>
      <c r="H313" s="1138">
        <v>44634</v>
      </c>
      <c r="I313" s="1045" t="s">
        <v>1856</v>
      </c>
      <c r="J313" s="1046" t="s">
        <v>1832</v>
      </c>
      <c r="K313" s="1014" t="s">
        <v>774</v>
      </c>
      <c r="L313" s="1016" t="s">
        <v>1833</v>
      </c>
      <c r="M313" s="1017">
        <v>345000000</v>
      </c>
      <c r="N313" s="1034" t="s">
        <v>723</v>
      </c>
      <c r="O313" s="1034" t="s">
        <v>1834</v>
      </c>
      <c r="P313" s="1034"/>
      <c r="Q313" s="1014"/>
      <c r="R313" s="1019"/>
      <c r="S313" s="1127"/>
      <c r="T313" s="1153"/>
    </row>
    <row r="314" spans="1:20" s="992" customFormat="1" ht="114.75" x14ac:dyDescent="0.25">
      <c r="A314" s="1010">
        <v>2022309</v>
      </c>
      <c r="B314" s="1010">
        <v>7658</v>
      </c>
      <c r="C314" s="1010" t="s">
        <v>673</v>
      </c>
      <c r="D314" s="1042" t="s">
        <v>690</v>
      </c>
      <c r="E314" s="1048" t="s">
        <v>1464</v>
      </c>
      <c r="F314" s="1081" t="s">
        <v>1857</v>
      </c>
      <c r="G314" s="1044">
        <v>44695</v>
      </c>
      <c r="H314" s="1138">
        <v>44695</v>
      </c>
      <c r="I314" s="1045" t="s">
        <v>1785</v>
      </c>
      <c r="J314" s="1046" t="s">
        <v>1842</v>
      </c>
      <c r="K314" s="1014" t="s">
        <v>774</v>
      </c>
      <c r="L314" s="1016" t="s">
        <v>1833</v>
      </c>
      <c r="M314" s="1017">
        <v>175000000</v>
      </c>
      <c r="N314" s="1034" t="s">
        <v>760</v>
      </c>
      <c r="O314" s="1034" t="s">
        <v>1858</v>
      </c>
      <c r="P314" s="1034"/>
      <c r="Q314" s="1014"/>
      <c r="R314" s="1019"/>
      <c r="S314" s="1127"/>
      <c r="T314" s="1153"/>
    </row>
    <row r="315" spans="1:20" s="992" customFormat="1" ht="102" x14ac:dyDescent="0.25">
      <c r="A315" s="1010">
        <v>2022310</v>
      </c>
      <c r="B315" s="1010">
        <v>7658</v>
      </c>
      <c r="C315" s="1010" t="s">
        <v>673</v>
      </c>
      <c r="D315" s="1042" t="s">
        <v>696</v>
      </c>
      <c r="E315" s="1043">
        <v>80111600</v>
      </c>
      <c r="F315" s="1013" t="s">
        <v>976</v>
      </c>
      <c r="G315" s="1044" t="s">
        <v>1743</v>
      </c>
      <c r="H315" s="1138" t="s">
        <v>1743</v>
      </c>
      <c r="I315" s="1045" t="s">
        <v>1786</v>
      </c>
      <c r="J315" s="1046" t="s">
        <v>1783</v>
      </c>
      <c r="K315" s="1014" t="s">
        <v>678</v>
      </c>
      <c r="L315" s="1082" t="s">
        <v>679</v>
      </c>
      <c r="M315" s="1017">
        <v>30429000</v>
      </c>
      <c r="N315" s="1034" t="s">
        <v>1859</v>
      </c>
      <c r="O315" s="1034" t="s">
        <v>1860</v>
      </c>
      <c r="P315" s="1034"/>
      <c r="Q315" s="1014"/>
      <c r="R315" s="1019"/>
      <c r="S315" s="1127"/>
      <c r="T315" s="1153"/>
    </row>
    <row r="316" spans="1:20" s="992" customFormat="1" ht="102" x14ac:dyDescent="0.25">
      <c r="A316" s="1020">
        <v>2022311</v>
      </c>
      <c r="B316" s="1020">
        <v>7658</v>
      </c>
      <c r="C316" s="1020" t="s">
        <v>673</v>
      </c>
      <c r="D316" s="1036" t="s">
        <v>696</v>
      </c>
      <c r="E316" s="1037">
        <v>80111600</v>
      </c>
      <c r="F316" s="1023" t="s">
        <v>977</v>
      </c>
      <c r="G316" s="1038" t="s">
        <v>1743</v>
      </c>
      <c r="H316" s="1138" t="s">
        <v>1743</v>
      </c>
      <c r="I316" s="1039" t="s">
        <v>1746</v>
      </c>
      <c r="J316" s="1040" t="s">
        <v>1783</v>
      </c>
      <c r="K316" s="1024" t="s">
        <v>678</v>
      </c>
      <c r="L316" s="1085" t="s">
        <v>679</v>
      </c>
      <c r="M316" s="1027">
        <v>26950000</v>
      </c>
      <c r="N316" s="1080" t="s">
        <v>1859</v>
      </c>
      <c r="O316" s="1080" t="s">
        <v>1860</v>
      </c>
      <c r="P316" s="1080"/>
      <c r="Q316" s="1024"/>
      <c r="R316" s="1019"/>
      <c r="S316" s="1127">
        <v>117</v>
      </c>
      <c r="T316" s="1153">
        <v>17150000</v>
      </c>
    </row>
    <row r="317" spans="1:20" s="992" customFormat="1" ht="102" x14ac:dyDescent="0.25">
      <c r="A317" s="1020">
        <v>2022312</v>
      </c>
      <c r="B317" s="1020">
        <v>7658</v>
      </c>
      <c r="C317" s="1020" t="s">
        <v>673</v>
      </c>
      <c r="D317" s="1036" t="s">
        <v>696</v>
      </c>
      <c r="E317" s="1037">
        <v>80111600</v>
      </c>
      <c r="F317" s="1023" t="s">
        <v>977</v>
      </c>
      <c r="G317" s="1038" t="s">
        <v>1743</v>
      </c>
      <c r="H317" s="1138" t="s">
        <v>1743</v>
      </c>
      <c r="I317" s="1039" t="s">
        <v>1746</v>
      </c>
      <c r="J317" s="1040" t="s">
        <v>1783</v>
      </c>
      <c r="K317" s="1024" t="s">
        <v>678</v>
      </c>
      <c r="L317" s="1085" t="s">
        <v>679</v>
      </c>
      <c r="M317" s="1027">
        <v>26950000</v>
      </c>
      <c r="N317" s="1080" t="s">
        <v>1859</v>
      </c>
      <c r="O317" s="1080" t="s">
        <v>1860</v>
      </c>
      <c r="P317" s="1080"/>
      <c r="Q317" s="1024"/>
      <c r="R317" s="1019"/>
      <c r="S317" s="1127">
        <v>192</v>
      </c>
      <c r="T317" s="1153">
        <v>17150000</v>
      </c>
    </row>
    <row r="318" spans="1:20" s="992" customFormat="1" ht="102" x14ac:dyDescent="0.25">
      <c r="A318" s="1020">
        <v>2022313</v>
      </c>
      <c r="B318" s="1020">
        <v>7658</v>
      </c>
      <c r="C318" s="1020" t="s">
        <v>673</v>
      </c>
      <c r="D318" s="1036" t="s">
        <v>696</v>
      </c>
      <c r="E318" s="1037">
        <v>80111600</v>
      </c>
      <c r="F318" s="1023" t="s">
        <v>978</v>
      </c>
      <c r="G318" s="1038" t="s">
        <v>1743</v>
      </c>
      <c r="H318" s="1138" t="s">
        <v>1743</v>
      </c>
      <c r="I318" s="1039" t="s">
        <v>1746</v>
      </c>
      <c r="J318" s="1040" t="s">
        <v>1783</v>
      </c>
      <c r="K318" s="1024" t="s">
        <v>678</v>
      </c>
      <c r="L318" s="1085" t="s">
        <v>679</v>
      </c>
      <c r="M318" s="1027">
        <v>59202000</v>
      </c>
      <c r="N318" s="1080" t="s">
        <v>1859</v>
      </c>
      <c r="O318" s="1080" t="s">
        <v>1860</v>
      </c>
      <c r="P318" s="1080"/>
      <c r="Q318" s="1024"/>
      <c r="R318" s="1019"/>
      <c r="S318" s="1127">
        <v>60</v>
      </c>
      <c r="T318" s="1153">
        <v>48438000</v>
      </c>
    </row>
    <row r="319" spans="1:20" s="992" customFormat="1" ht="102" x14ac:dyDescent="0.25">
      <c r="A319" s="1020">
        <v>2022314</v>
      </c>
      <c r="B319" s="1020">
        <v>7658</v>
      </c>
      <c r="C319" s="1020" t="s">
        <v>673</v>
      </c>
      <c r="D319" s="1036" t="s">
        <v>696</v>
      </c>
      <c r="E319" s="1037">
        <v>80111600</v>
      </c>
      <c r="F319" s="1023" t="s">
        <v>979</v>
      </c>
      <c r="G319" s="1038" t="s">
        <v>1743</v>
      </c>
      <c r="H319" s="1138" t="s">
        <v>1743</v>
      </c>
      <c r="I319" s="1039" t="s">
        <v>1746</v>
      </c>
      <c r="J319" s="1040" t="s">
        <v>1783</v>
      </c>
      <c r="K319" s="1024" t="s">
        <v>678</v>
      </c>
      <c r="L319" s="1085" t="s">
        <v>679</v>
      </c>
      <c r="M319" s="1027">
        <v>36850000</v>
      </c>
      <c r="N319" s="1080" t="s">
        <v>1859</v>
      </c>
      <c r="O319" s="1080" t="s">
        <v>1860</v>
      </c>
      <c r="P319" s="1080"/>
      <c r="Q319" s="1024"/>
      <c r="R319" s="1019"/>
      <c r="S319" s="1127">
        <v>180</v>
      </c>
      <c r="T319" s="1153">
        <v>36850000</v>
      </c>
    </row>
    <row r="320" spans="1:20" s="992" customFormat="1" ht="102" x14ac:dyDescent="0.25">
      <c r="A320" s="1020">
        <v>2022315</v>
      </c>
      <c r="B320" s="1020">
        <v>7658</v>
      </c>
      <c r="C320" s="1020" t="s">
        <v>673</v>
      </c>
      <c r="D320" s="1036" t="s">
        <v>696</v>
      </c>
      <c r="E320" s="1037">
        <v>80111600</v>
      </c>
      <c r="F320" s="1023" t="s">
        <v>980</v>
      </c>
      <c r="G320" s="1038" t="s">
        <v>1743</v>
      </c>
      <c r="H320" s="1138" t="s">
        <v>1743</v>
      </c>
      <c r="I320" s="1039" t="s">
        <v>1746</v>
      </c>
      <c r="J320" s="1040" t="s">
        <v>1783</v>
      </c>
      <c r="K320" s="1024" t="s">
        <v>678</v>
      </c>
      <c r="L320" s="1085" t="s">
        <v>679</v>
      </c>
      <c r="M320" s="1027">
        <v>47817000</v>
      </c>
      <c r="N320" s="1080" t="s">
        <v>1859</v>
      </c>
      <c r="O320" s="1080" t="s">
        <v>1860</v>
      </c>
      <c r="P320" s="1080"/>
      <c r="Q320" s="1024"/>
      <c r="R320" s="1019"/>
      <c r="S320" s="1127">
        <v>118</v>
      </c>
      <c r="T320" s="1153">
        <v>30429000</v>
      </c>
    </row>
    <row r="321" spans="1:103" s="992" customFormat="1" ht="102" x14ac:dyDescent="0.25">
      <c r="A321" s="1020">
        <v>2022316</v>
      </c>
      <c r="B321" s="1020">
        <v>7658</v>
      </c>
      <c r="C321" s="1020" t="s">
        <v>673</v>
      </c>
      <c r="D321" s="1036" t="s">
        <v>696</v>
      </c>
      <c r="E321" s="1037">
        <v>80111600</v>
      </c>
      <c r="F321" s="1023" t="s">
        <v>981</v>
      </c>
      <c r="G321" s="1038" t="s">
        <v>1743</v>
      </c>
      <c r="H321" s="1138" t="s">
        <v>1743</v>
      </c>
      <c r="I321" s="1039" t="s">
        <v>1746</v>
      </c>
      <c r="J321" s="1040" t="s">
        <v>1783</v>
      </c>
      <c r="K321" s="1024" t="s">
        <v>678</v>
      </c>
      <c r="L321" s="1085" t="s">
        <v>679</v>
      </c>
      <c r="M321" s="1027">
        <v>59202000</v>
      </c>
      <c r="N321" s="1080" t="s">
        <v>1859</v>
      </c>
      <c r="O321" s="1080" t="s">
        <v>1860</v>
      </c>
      <c r="P321" s="1080"/>
      <c r="Q321" s="1024"/>
      <c r="R321" s="1019"/>
      <c r="S321" s="1127">
        <v>178</v>
      </c>
      <c r="T321" s="1153">
        <v>59202000</v>
      </c>
    </row>
    <row r="322" spans="1:103" s="992" customFormat="1" ht="102" x14ac:dyDescent="0.25">
      <c r="A322" s="1020">
        <v>2022317</v>
      </c>
      <c r="B322" s="1020">
        <v>7658</v>
      </c>
      <c r="C322" s="1020" t="s">
        <v>673</v>
      </c>
      <c r="D322" s="1036" t="s">
        <v>696</v>
      </c>
      <c r="E322" s="1037">
        <v>80111600</v>
      </c>
      <c r="F322" s="1023" t="s">
        <v>982</v>
      </c>
      <c r="G322" s="1038" t="s">
        <v>1743</v>
      </c>
      <c r="H322" s="1138" t="s">
        <v>1743</v>
      </c>
      <c r="I322" s="1039" t="s">
        <v>1746</v>
      </c>
      <c r="J322" s="1040" t="s">
        <v>1783</v>
      </c>
      <c r="K322" s="1024" t="s">
        <v>678</v>
      </c>
      <c r="L322" s="1085" t="s">
        <v>679</v>
      </c>
      <c r="M322" s="1027">
        <v>31880000</v>
      </c>
      <c r="N322" s="1080" t="s">
        <v>1859</v>
      </c>
      <c r="O322" s="1080" t="s">
        <v>1860</v>
      </c>
      <c r="P322" s="1080"/>
      <c r="Q322" s="1024"/>
      <c r="R322" s="1019"/>
      <c r="S322" s="1127">
        <v>186</v>
      </c>
      <c r="T322" s="1153">
        <v>27895000</v>
      </c>
    </row>
    <row r="323" spans="1:103" s="992" customFormat="1" ht="102" x14ac:dyDescent="0.25">
      <c r="A323" s="1020">
        <v>2022318</v>
      </c>
      <c r="B323" s="1020">
        <v>7658</v>
      </c>
      <c r="C323" s="1020" t="s">
        <v>673</v>
      </c>
      <c r="D323" s="1036" t="s">
        <v>696</v>
      </c>
      <c r="E323" s="1037">
        <v>80111600</v>
      </c>
      <c r="F323" s="1023" t="s">
        <v>983</v>
      </c>
      <c r="G323" s="1038" t="s">
        <v>1743</v>
      </c>
      <c r="H323" s="1138" t="s">
        <v>1743</v>
      </c>
      <c r="I323" s="1039" t="s">
        <v>1746</v>
      </c>
      <c r="J323" s="1040" t="s">
        <v>1783</v>
      </c>
      <c r="K323" s="1024" t="s">
        <v>678</v>
      </c>
      <c r="L323" s="1085" t="s">
        <v>679</v>
      </c>
      <c r="M323" s="1027">
        <v>16146000</v>
      </c>
      <c r="N323" s="1080" t="s">
        <v>1859</v>
      </c>
      <c r="O323" s="1080" t="s">
        <v>1860</v>
      </c>
      <c r="P323" s="1080"/>
      <c r="Q323" s="1024"/>
      <c r="R323" s="1019"/>
      <c r="S323" s="1127">
        <v>191</v>
      </c>
      <c r="T323" s="1153">
        <v>16146000</v>
      </c>
    </row>
    <row r="324" spans="1:103" s="992" customFormat="1" ht="102" x14ac:dyDescent="0.25">
      <c r="A324" s="1020">
        <v>2022319</v>
      </c>
      <c r="B324" s="1020">
        <v>7658</v>
      </c>
      <c r="C324" s="1020" t="s">
        <v>673</v>
      </c>
      <c r="D324" s="1036" t="s">
        <v>696</v>
      </c>
      <c r="E324" s="1037">
        <v>80111600</v>
      </c>
      <c r="F324" s="1023" t="s">
        <v>984</v>
      </c>
      <c r="G324" s="1038" t="s">
        <v>1743</v>
      </c>
      <c r="H324" s="1138" t="s">
        <v>1743</v>
      </c>
      <c r="I324" s="1039" t="s">
        <v>1746</v>
      </c>
      <c r="J324" s="1040" t="s">
        <v>1783</v>
      </c>
      <c r="K324" s="1024" t="s">
        <v>678</v>
      </c>
      <c r="L324" s="1085" t="s">
        <v>679</v>
      </c>
      <c r="M324" s="1027">
        <v>80300000</v>
      </c>
      <c r="N324" s="1080" t="s">
        <v>1859</v>
      </c>
      <c r="O324" s="1080" t="s">
        <v>1860</v>
      </c>
      <c r="P324" s="1080"/>
      <c r="Q324" s="1024"/>
      <c r="R324" s="1019"/>
      <c r="S324" s="1127">
        <v>179</v>
      </c>
      <c r="T324" s="1153">
        <v>80300000</v>
      </c>
    </row>
    <row r="325" spans="1:103" s="992" customFormat="1" ht="102" x14ac:dyDescent="0.25">
      <c r="A325" s="1020">
        <v>2022320</v>
      </c>
      <c r="B325" s="1020">
        <v>7658</v>
      </c>
      <c r="C325" s="1020" t="s">
        <v>673</v>
      </c>
      <c r="D325" s="1036" t="s">
        <v>696</v>
      </c>
      <c r="E325" s="1037">
        <v>80111600</v>
      </c>
      <c r="F325" s="1023" t="s">
        <v>985</v>
      </c>
      <c r="G325" s="1038" t="s">
        <v>1743</v>
      </c>
      <c r="H325" s="1138" t="s">
        <v>1743</v>
      </c>
      <c r="I325" s="1039" t="s">
        <v>1746</v>
      </c>
      <c r="J325" s="1040" t="s">
        <v>1783</v>
      </c>
      <c r="K325" s="1024" t="s">
        <v>678</v>
      </c>
      <c r="L325" s="1085" t="s">
        <v>679</v>
      </c>
      <c r="M325" s="1027">
        <v>56925000</v>
      </c>
      <c r="N325" s="1080" t="s">
        <v>1859</v>
      </c>
      <c r="O325" s="1080" t="s">
        <v>1860</v>
      </c>
      <c r="P325" s="1080"/>
      <c r="Q325" s="1024"/>
      <c r="R325" s="1019"/>
      <c r="S325" s="1127">
        <v>97</v>
      </c>
      <c r="T325" s="1153">
        <v>36225000</v>
      </c>
    </row>
    <row r="326" spans="1:103" s="992" customFormat="1" ht="102" x14ac:dyDescent="0.25">
      <c r="A326" s="1020">
        <v>2022321</v>
      </c>
      <c r="B326" s="1020">
        <v>7658</v>
      </c>
      <c r="C326" s="1020" t="s">
        <v>673</v>
      </c>
      <c r="D326" s="1036" t="s">
        <v>696</v>
      </c>
      <c r="E326" s="1037">
        <v>80111600</v>
      </c>
      <c r="F326" s="1023" t="s">
        <v>986</v>
      </c>
      <c r="G326" s="1038" t="s">
        <v>1743</v>
      </c>
      <c r="H326" s="1138" t="s">
        <v>1743</v>
      </c>
      <c r="I326" s="1039" t="s">
        <v>1791</v>
      </c>
      <c r="J326" s="1040" t="s">
        <v>1783</v>
      </c>
      <c r="K326" s="1024" t="s">
        <v>678</v>
      </c>
      <c r="L326" s="1085" t="s">
        <v>679</v>
      </c>
      <c r="M326" s="1027">
        <v>23100000</v>
      </c>
      <c r="N326" s="1080" t="s">
        <v>1859</v>
      </c>
      <c r="O326" s="1080" t="s">
        <v>1860</v>
      </c>
      <c r="P326" s="1080"/>
      <c r="Q326" s="1024"/>
      <c r="R326" s="1019"/>
      <c r="S326" s="1127">
        <v>235</v>
      </c>
      <c r="T326" s="1153">
        <v>11550000</v>
      </c>
    </row>
    <row r="327" spans="1:103" s="992" customFormat="1" ht="102" x14ac:dyDescent="0.25">
      <c r="A327" s="1020">
        <v>2022322</v>
      </c>
      <c r="B327" s="1020">
        <v>7658</v>
      </c>
      <c r="C327" s="1020" t="s">
        <v>673</v>
      </c>
      <c r="D327" s="1036" t="s">
        <v>696</v>
      </c>
      <c r="E327" s="1037">
        <v>80111600</v>
      </c>
      <c r="F327" s="1023" t="s">
        <v>987</v>
      </c>
      <c r="G327" s="1038" t="s">
        <v>1743</v>
      </c>
      <c r="H327" s="1138" t="s">
        <v>1743</v>
      </c>
      <c r="I327" s="1039" t="s">
        <v>1790</v>
      </c>
      <c r="J327" s="1040" t="s">
        <v>1783</v>
      </c>
      <c r="K327" s="1024" t="s">
        <v>678</v>
      </c>
      <c r="L327" s="1085" t="s">
        <v>679</v>
      </c>
      <c r="M327" s="1027">
        <v>26950000</v>
      </c>
      <c r="N327" s="1080" t="s">
        <v>1859</v>
      </c>
      <c r="O327" s="1080" t="s">
        <v>1860</v>
      </c>
      <c r="P327" s="1080"/>
      <c r="Q327" s="1024"/>
      <c r="R327" s="1019"/>
      <c r="S327" s="1127">
        <v>339</v>
      </c>
      <c r="T327" s="1153">
        <v>26950000</v>
      </c>
    </row>
    <row r="328" spans="1:103" s="992" customFormat="1" ht="102" x14ac:dyDescent="0.25">
      <c r="A328" s="1020">
        <v>2022323</v>
      </c>
      <c r="B328" s="1020">
        <v>7658</v>
      </c>
      <c r="C328" s="1020" t="s">
        <v>673</v>
      </c>
      <c r="D328" s="1036" t="s">
        <v>696</v>
      </c>
      <c r="E328" s="1037">
        <v>80111600</v>
      </c>
      <c r="F328" s="1023" t="s">
        <v>988</v>
      </c>
      <c r="G328" s="1038" t="s">
        <v>1743</v>
      </c>
      <c r="H328" s="1138" t="s">
        <v>1743</v>
      </c>
      <c r="I328" s="1039" t="s">
        <v>1746</v>
      </c>
      <c r="J328" s="1040" t="s">
        <v>1783</v>
      </c>
      <c r="K328" s="1024" t="s">
        <v>678</v>
      </c>
      <c r="L328" s="1085" t="s">
        <v>679</v>
      </c>
      <c r="M328" s="1027">
        <v>47817000</v>
      </c>
      <c r="N328" s="1080" t="s">
        <v>1859</v>
      </c>
      <c r="O328" s="1080" t="s">
        <v>1860</v>
      </c>
      <c r="P328" s="1080"/>
      <c r="Q328" s="1024"/>
      <c r="R328" s="1019"/>
      <c r="S328" s="1127">
        <v>177</v>
      </c>
      <c r="T328" s="1153">
        <v>34776000</v>
      </c>
    </row>
    <row r="329" spans="1:103" s="992" customFormat="1" ht="118.5" customHeight="1" x14ac:dyDescent="0.25">
      <c r="A329" s="1010">
        <v>2022324</v>
      </c>
      <c r="B329" s="1010">
        <v>7658</v>
      </c>
      <c r="C329" s="1010" t="s">
        <v>673</v>
      </c>
      <c r="D329" s="1042" t="s">
        <v>696</v>
      </c>
      <c r="E329" s="1048" t="s">
        <v>989</v>
      </c>
      <c r="F329" s="1013" t="s">
        <v>990</v>
      </c>
      <c r="G329" s="1044" t="s">
        <v>1749</v>
      </c>
      <c r="H329" s="1138" t="s">
        <v>1757</v>
      </c>
      <c r="I329" s="1045" t="s">
        <v>1785</v>
      </c>
      <c r="J329" s="1046" t="s">
        <v>1861</v>
      </c>
      <c r="K329" s="1014" t="s">
        <v>774</v>
      </c>
      <c r="L329" s="1016" t="s">
        <v>1840</v>
      </c>
      <c r="M329" s="1017">
        <v>200000000</v>
      </c>
      <c r="N329" s="1034" t="s">
        <v>1859</v>
      </c>
      <c r="O329" s="1034" t="s">
        <v>1860</v>
      </c>
      <c r="P329" s="1034"/>
      <c r="Q329" s="1044">
        <v>44600</v>
      </c>
      <c r="R329" s="1019"/>
      <c r="S329" s="1127"/>
      <c r="T329" s="1153"/>
    </row>
    <row r="330" spans="1:103" s="992" customFormat="1" ht="102" x14ac:dyDescent="0.25">
      <c r="A330" s="1010">
        <v>2022325</v>
      </c>
      <c r="B330" s="1010">
        <v>7658</v>
      </c>
      <c r="C330" s="1010" t="s">
        <v>673</v>
      </c>
      <c r="D330" s="1042" t="s">
        <v>696</v>
      </c>
      <c r="E330" s="1048" t="s">
        <v>991</v>
      </c>
      <c r="F330" s="1013" t="s">
        <v>1862</v>
      </c>
      <c r="G330" s="1044" t="s">
        <v>1743</v>
      </c>
      <c r="H330" s="1138" t="s">
        <v>1749</v>
      </c>
      <c r="I330" s="1045" t="s">
        <v>1785</v>
      </c>
      <c r="J330" s="1046" t="s">
        <v>1842</v>
      </c>
      <c r="K330" s="1014" t="s">
        <v>678</v>
      </c>
      <c r="L330" s="1082" t="s">
        <v>679</v>
      </c>
      <c r="M330" s="1017">
        <v>770904000</v>
      </c>
      <c r="N330" s="1034" t="s">
        <v>1859</v>
      </c>
      <c r="O330" s="1034" t="s">
        <v>1860</v>
      </c>
      <c r="P330" s="1034"/>
      <c r="Q330" s="1014"/>
      <c r="R330" s="1019"/>
      <c r="S330" s="1127"/>
      <c r="T330" s="1153"/>
    </row>
    <row r="331" spans="1:103" s="992" customFormat="1" ht="102" x14ac:dyDescent="0.25">
      <c r="A331" s="1010">
        <v>2022326</v>
      </c>
      <c r="B331" s="1010">
        <v>7658</v>
      </c>
      <c r="C331" s="1010" t="s">
        <v>673</v>
      </c>
      <c r="D331" s="1042" t="s">
        <v>696</v>
      </c>
      <c r="E331" s="1043">
        <v>46201002</v>
      </c>
      <c r="F331" s="1013" t="s">
        <v>1863</v>
      </c>
      <c r="G331" s="1044" t="s">
        <v>1743</v>
      </c>
      <c r="H331" s="1138" t="s">
        <v>1749</v>
      </c>
      <c r="I331" s="1045" t="s">
        <v>1785</v>
      </c>
      <c r="J331" s="1046" t="s">
        <v>1842</v>
      </c>
      <c r="K331" s="1014" t="s">
        <v>774</v>
      </c>
      <c r="L331" s="1016" t="s">
        <v>1840</v>
      </c>
      <c r="M331" s="1017">
        <v>1100000000</v>
      </c>
      <c r="N331" s="1034" t="s">
        <v>1859</v>
      </c>
      <c r="O331" s="1034" t="s">
        <v>1860</v>
      </c>
      <c r="P331" s="1034"/>
      <c r="Q331" s="1044">
        <v>44600</v>
      </c>
      <c r="R331" s="1019"/>
      <c r="S331" s="1127"/>
      <c r="T331" s="1153"/>
    </row>
    <row r="332" spans="1:103" s="992" customFormat="1" ht="102" x14ac:dyDescent="0.25">
      <c r="A332" s="1020">
        <v>2022327</v>
      </c>
      <c r="B332" s="1020">
        <v>7658</v>
      </c>
      <c r="C332" s="1020" t="s">
        <v>673</v>
      </c>
      <c r="D332" s="1036" t="s">
        <v>696</v>
      </c>
      <c r="E332" s="1037">
        <v>90121800</v>
      </c>
      <c r="F332" s="1023" t="s">
        <v>995</v>
      </c>
      <c r="G332" s="1038" t="s">
        <v>1743</v>
      </c>
      <c r="H332" s="1138" t="s">
        <v>1743</v>
      </c>
      <c r="I332" s="1039" t="s">
        <v>1793</v>
      </c>
      <c r="J332" s="1040" t="s">
        <v>1796</v>
      </c>
      <c r="K332" s="1024" t="s">
        <v>678</v>
      </c>
      <c r="L332" s="1085" t="s">
        <v>679</v>
      </c>
      <c r="M332" s="1027">
        <f>40000000+10000000</f>
        <v>50000000</v>
      </c>
      <c r="N332" s="1080" t="s">
        <v>1859</v>
      </c>
      <c r="O332" s="1080" t="s">
        <v>1860</v>
      </c>
      <c r="P332" s="1080"/>
      <c r="Q332" s="1038">
        <v>44600</v>
      </c>
      <c r="R332" s="1019"/>
      <c r="S332" s="1127">
        <v>388</v>
      </c>
      <c r="T332" s="1153">
        <v>306300</v>
      </c>
    </row>
    <row r="333" spans="1:103" s="1031" customFormat="1" ht="102" x14ac:dyDescent="0.25">
      <c r="A333" s="1128">
        <v>2022328</v>
      </c>
      <c r="B333" s="1128">
        <v>7658</v>
      </c>
      <c r="C333" s="1128" t="s">
        <v>673</v>
      </c>
      <c r="D333" s="1136" t="s">
        <v>696</v>
      </c>
      <c r="E333" s="1142">
        <v>90121800</v>
      </c>
      <c r="F333" s="1131" t="s">
        <v>996</v>
      </c>
      <c r="G333" s="1138" t="s">
        <v>1743</v>
      </c>
      <c r="H333" s="1138" t="s">
        <v>1743</v>
      </c>
      <c r="I333" s="1139" t="s">
        <v>1793</v>
      </c>
      <c r="J333" s="1140" t="s">
        <v>1796</v>
      </c>
      <c r="K333" s="1132" t="s">
        <v>678</v>
      </c>
      <c r="L333" s="1150" t="s">
        <v>679</v>
      </c>
      <c r="M333" s="1133">
        <v>80000000</v>
      </c>
      <c r="N333" s="1148" t="s">
        <v>1859</v>
      </c>
      <c r="O333" s="1148" t="s">
        <v>1860</v>
      </c>
      <c r="P333" s="1148"/>
      <c r="Q333" s="1132"/>
      <c r="R333" s="1127">
        <v>537</v>
      </c>
      <c r="S333" s="1127"/>
      <c r="T333" s="1153"/>
      <c r="U333" s="992"/>
      <c r="V333" s="992"/>
      <c r="W333" s="992"/>
      <c r="X333" s="992"/>
      <c r="Y333" s="992"/>
      <c r="Z333" s="992"/>
      <c r="AA333" s="992"/>
      <c r="AB333" s="992"/>
      <c r="AC333" s="992"/>
      <c r="AD333" s="992"/>
      <c r="AE333" s="992"/>
      <c r="AF333" s="992"/>
      <c r="AG333" s="992"/>
      <c r="AH333" s="992"/>
      <c r="AI333" s="992"/>
      <c r="AJ333" s="992"/>
      <c r="AK333" s="992"/>
      <c r="AL333" s="992"/>
      <c r="AM333" s="992"/>
      <c r="AN333" s="992"/>
      <c r="AO333" s="992"/>
      <c r="AP333" s="992"/>
      <c r="AQ333" s="992"/>
      <c r="AR333" s="992"/>
      <c r="AS333" s="992"/>
      <c r="AT333" s="992"/>
      <c r="AU333" s="992"/>
      <c r="AV333" s="992"/>
      <c r="AW333" s="992"/>
      <c r="AX333" s="992"/>
      <c r="AY333" s="992"/>
      <c r="AZ333" s="992"/>
      <c r="BA333" s="992"/>
      <c r="BB333" s="992"/>
      <c r="BC333" s="992"/>
      <c r="BD333" s="992"/>
      <c r="BE333" s="992"/>
      <c r="BF333" s="992"/>
      <c r="BG333" s="992"/>
      <c r="BH333" s="992"/>
      <c r="BI333" s="992"/>
      <c r="BJ333" s="992"/>
      <c r="BK333" s="992"/>
      <c r="BL333" s="992"/>
      <c r="BM333" s="992"/>
      <c r="BN333" s="992"/>
      <c r="BO333" s="992"/>
      <c r="BP333" s="992"/>
      <c r="BQ333" s="992"/>
      <c r="BR333" s="992"/>
      <c r="BS333" s="992"/>
      <c r="BT333" s="992"/>
      <c r="BU333" s="992"/>
      <c r="BV333" s="992"/>
      <c r="BW333" s="992"/>
      <c r="BX333" s="992"/>
      <c r="BY333" s="992"/>
      <c r="BZ333" s="992"/>
      <c r="CA333" s="992"/>
      <c r="CB333" s="992"/>
      <c r="CC333" s="992"/>
      <c r="CD333" s="992"/>
      <c r="CE333" s="992"/>
      <c r="CF333" s="992"/>
      <c r="CG333" s="992"/>
      <c r="CH333" s="992"/>
      <c r="CI333" s="992"/>
      <c r="CJ333" s="992"/>
      <c r="CK333" s="992"/>
      <c r="CL333" s="992"/>
      <c r="CM333" s="992"/>
      <c r="CN333" s="992"/>
      <c r="CO333" s="992"/>
      <c r="CP333" s="992"/>
      <c r="CQ333" s="992"/>
      <c r="CR333" s="992"/>
      <c r="CS333" s="992"/>
      <c r="CT333" s="992"/>
      <c r="CU333" s="992"/>
      <c r="CV333" s="992"/>
      <c r="CW333" s="992"/>
      <c r="CX333" s="992"/>
      <c r="CY333" s="992"/>
    </row>
    <row r="334" spans="1:103" s="992" customFormat="1" ht="102" x14ac:dyDescent="0.25">
      <c r="A334" s="1010">
        <v>2022329</v>
      </c>
      <c r="B334" s="1010">
        <v>7658</v>
      </c>
      <c r="C334" s="1010" t="s">
        <v>673</v>
      </c>
      <c r="D334" s="1042" t="s">
        <v>696</v>
      </c>
      <c r="E334" s="1043">
        <v>80111600</v>
      </c>
      <c r="F334" s="1013" t="s">
        <v>997</v>
      </c>
      <c r="G334" s="1044" t="s">
        <v>1743</v>
      </c>
      <c r="H334" s="1138" t="s">
        <v>1743</v>
      </c>
      <c r="I334" s="1045" t="s">
        <v>1791</v>
      </c>
      <c r="J334" s="1046" t="s">
        <v>1783</v>
      </c>
      <c r="K334" s="1014" t="s">
        <v>678</v>
      </c>
      <c r="L334" s="1082" t="s">
        <v>679</v>
      </c>
      <c r="M334" s="1017">
        <v>39357000</v>
      </c>
      <c r="N334" s="1034" t="s">
        <v>1859</v>
      </c>
      <c r="O334" s="1034" t="s">
        <v>1860</v>
      </c>
      <c r="P334" s="1034"/>
      <c r="Q334" s="1014"/>
      <c r="R334" s="1019"/>
      <c r="S334" s="1127"/>
      <c r="T334" s="1153"/>
    </row>
    <row r="335" spans="1:103" s="992" customFormat="1" ht="89.25" x14ac:dyDescent="0.25">
      <c r="A335" s="1010">
        <v>2022330</v>
      </c>
      <c r="B335" s="1010">
        <v>7658</v>
      </c>
      <c r="C335" s="1010" t="s">
        <v>673</v>
      </c>
      <c r="D335" s="1042" t="s">
        <v>702</v>
      </c>
      <c r="E335" s="1048" t="s">
        <v>998</v>
      </c>
      <c r="F335" s="1013" t="s">
        <v>999</v>
      </c>
      <c r="G335" s="1044" t="s">
        <v>1743</v>
      </c>
      <c r="H335" s="1138" t="s">
        <v>1749</v>
      </c>
      <c r="I335" s="1045" t="s">
        <v>1793</v>
      </c>
      <c r="J335" s="1046" t="s">
        <v>1842</v>
      </c>
      <c r="K335" s="1014" t="s">
        <v>774</v>
      </c>
      <c r="L335" s="1016" t="s">
        <v>962</v>
      </c>
      <c r="M335" s="1017">
        <v>5600000000</v>
      </c>
      <c r="N335" s="1034" t="s">
        <v>752</v>
      </c>
      <c r="O335" s="1034" t="s">
        <v>1815</v>
      </c>
      <c r="P335" s="1034"/>
      <c r="Q335" s="1014"/>
      <c r="R335" s="1019"/>
      <c r="S335" s="1127"/>
      <c r="T335" s="1153"/>
    </row>
    <row r="336" spans="1:103" s="992" customFormat="1" ht="89.25" x14ac:dyDescent="0.25">
      <c r="A336" s="1010">
        <v>2022331</v>
      </c>
      <c r="B336" s="1010">
        <v>7658</v>
      </c>
      <c r="C336" s="1010" t="s">
        <v>673</v>
      </c>
      <c r="D336" s="1042" t="s">
        <v>702</v>
      </c>
      <c r="E336" s="1048" t="s">
        <v>1000</v>
      </c>
      <c r="F336" s="1013" t="s">
        <v>1001</v>
      </c>
      <c r="G336" s="1044" t="s">
        <v>1743</v>
      </c>
      <c r="H336" s="1138" t="s">
        <v>1749</v>
      </c>
      <c r="I336" s="1045" t="s">
        <v>1864</v>
      </c>
      <c r="J336" s="1046" t="s">
        <v>1842</v>
      </c>
      <c r="K336" s="1014" t="s">
        <v>774</v>
      </c>
      <c r="L336" s="1016" t="s">
        <v>962</v>
      </c>
      <c r="M336" s="1017">
        <v>1325000000</v>
      </c>
      <c r="N336" s="1034" t="s">
        <v>747</v>
      </c>
      <c r="O336" s="1034" t="s">
        <v>1815</v>
      </c>
      <c r="P336" s="1034"/>
      <c r="Q336" s="1014"/>
      <c r="R336" s="1019"/>
      <c r="S336" s="1127"/>
      <c r="T336" s="1153"/>
    </row>
    <row r="337" spans="1:20" s="992" customFormat="1" ht="89.25" x14ac:dyDescent="0.25">
      <c r="A337" s="1010">
        <v>2022332</v>
      </c>
      <c r="B337" s="1010">
        <v>7658</v>
      </c>
      <c r="C337" s="1010" t="s">
        <v>673</v>
      </c>
      <c r="D337" s="1042" t="s">
        <v>702</v>
      </c>
      <c r="E337" s="1048" t="s">
        <v>1000</v>
      </c>
      <c r="F337" s="1013" t="s">
        <v>1001</v>
      </c>
      <c r="G337" s="1044" t="s">
        <v>1743</v>
      </c>
      <c r="H337" s="1138" t="s">
        <v>1749</v>
      </c>
      <c r="I337" s="1045" t="s">
        <v>1864</v>
      </c>
      <c r="J337" s="1046" t="s">
        <v>1842</v>
      </c>
      <c r="K337" s="1014" t="s">
        <v>678</v>
      </c>
      <c r="L337" s="1016" t="s">
        <v>962</v>
      </c>
      <c r="M337" s="1017">
        <v>548720000</v>
      </c>
      <c r="N337" s="1034" t="s">
        <v>747</v>
      </c>
      <c r="O337" s="1034" t="s">
        <v>1815</v>
      </c>
      <c r="P337" s="1034"/>
      <c r="Q337" s="1014"/>
      <c r="R337" s="1019"/>
      <c r="S337" s="1127"/>
      <c r="T337" s="1153"/>
    </row>
    <row r="338" spans="1:20" s="992" customFormat="1" ht="89.25" x14ac:dyDescent="0.25">
      <c r="A338" s="1010">
        <v>2022333</v>
      </c>
      <c r="B338" s="1010">
        <v>7658</v>
      </c>
      <c r="C338" s="1010" t="s">
        <v>673</v>
      </c>
      <c r="D338" s="1042" t="s">
        <v>702</v>
      </c>
      <c r="E338" s="1048" t="s">
        <v>1865</v>
      </c>
      <c r="F338" s="1013" t="s">
        <v>1005</v>
      </c>
      <c r="G338" s="1044" t="s">
        <v>1743</v>
      </c>
      <c r="H338" s="1138" t="s">
        <v>1866</v>
      </c>
      <c r="I338" s="1045" t="s">
        <v>1864</v>
      </c>
      <c r="J338" s="1046" t="s">
        <v>1842</v>
      </c>
      <c r="K338" s="1014" t="s">
        <v>774</v>
      </c>
      <c r="L338" s="1016" t="s">
        <v>962</v>
      </c>
      <c r="M338" s="1017">
        <v>1078000000</v>
      </c>
      <c r="N338" s="1034" t="s">
        <v>747</v>
      </c>
      <c r="O338" s="1034" t="s">
        <v>1815</v>
      </c>
      <c r="P338" s="1034"/>
      <c r="Q338" s="1014"/>
      <c r="R338" s="1019"/>
      <c r="S338" s="1127"/>
      <c r="T338" s="1153"/>
    </row>
    <row r="339" spans="1:20" s="992" customFormat="1" ht="89.25" x14ac:dyDescent="0.25">
      <c r="A339" s="1010">
        <v>2022334</v>
      </c>
      <c r="B339" s="1010">
        <v>7658</v>
      </c>
      <c r="C339" s="1010" t="s">
        <v>673</v>
      </c>
      <c r="D339" s="1042" t="s">
        <v>702</v>
      </c>
      <c r="E339" s="1048" t="s">
        <v>1865</v>
      </c>
      <c r="F339" s="1013" t="s">
        <v>1005</v>
      </c>
      <c r="G339" s="1044" t="s">
        <v>1743</v>
      </c>
      <c r="H339" s="1138" t="s">
        <v>1866</v>
      </c>
      <c r="I339" s="1045" t="s">
        <v>1864</v>
      </c>
      <c r="J339" s="1046" t="s">
        <v>1842</v>
      </c>
      <c r="K339" s="1014" t="s">
        <v>678</v>
      </c>
      <c r="L339" s="1016" t="s">
        <v>962</v>
      </c>
      <c r="M339" s="1017">
        <v>204051000</v>
      </c>
      <c r="N339" s="1034" t="s">
        <v>747</v>
      </c>
      <c r="O339" s="1034" t="s">
        <v>1815</v>
      </c>
      <c r="P339" s="1034"/>
      <c r="Q339" s="1014"/>
      <c r="R339" s="1019"/>
      <c r="S339" s="1127"/>
      <c r="T339" s="1153"/>
    </row>
    <row r="340" spans="1:20" s="992" customFormat="1" ht="89.25" x14ac:dyDescent="0.25">
      <c r="A340" s="1010">
        <v>2022335</v>
      </c>
      <c r="B340" s="1010">
        <v>7658</v>
      </c>
      <c r="C340" s="1010" t="s">
        <v>673</v>
      </c>
      <c r="D340" s="1042" t="s">
        <v>702</v>
      </c>
      <c r="E340" s="1048" t="s">
        <v>1867</v>
      </c>
      <c r="F340" s="1013" t="s">
        <v>1868</v>
      </c>
      <c r="G340" s="1044" t="s">
        <v>1743</v>
      </c>
      <c r="H340" s="1138" t="s">
        <v>1866</v>
      </c>
      <c r="I340" s="1045" t="s">
        <v>1869</v>
      </c>
      <c r="J340" s="1046" t="s">
        <v>1751</v>
      </c>
      <c r="K340" s="1014" t="s">
        <v>678</v>
      </c>
      <c r="L340" s="1016" t="s">
        <v>962</v>
      </c>
      <c r="M340" s="1017">
        <v>40000000</v>
      </c>
      <c r="N340" s="1034" t="s">
        <v>747</v>
      </c>
      <c r="O340" s="1034" t="s">
        <v>1815</v>
      </c>
      <c r="P340" s="1034"/>
      <c r="Q340" s="1014"/>
      <c r="R340" s="1019"/>
      <c r="S340" s="1127"/>
      <c r="T340" s="1153"/>
    </row>
    <row r="341" spans="1:20" s="992" customFormat="1" ht="89.25" x14ac:dyDescent="0.25">
      <c r="A341" s="1010">
        <v>2022336</v>
      </c>
      <c r="B341" s="1010">
        <v>7658</v>
      </c>
      <c r="C341" s="1010" t="s">
        <v>673</v>
      </c>
      <c r="D341" s="1042" t="s">
        <v>702</v>
      </c>
      <c r="E341" s="1048" t="s">
        <v>1006</v>
      </c>
      <c r="F341" s="1013" t="s">
        <v>1007</v>
      </c>
      <c r="G341" s="1044" t="s">
        <v>1743</v>
      </c>
      <c r="H341" s="1138" t="s">
        <v>1753</v>
      </c>
      <c r="I341" s="1045" t="s">
        <v>1869</v>
      </c>
      <c r="J341" s="1046" t="s">
        <v>1751</v>
      </c>
      <c r="K341" s="1014" t="s">
        <v>678</v>
      </c>
      <c r="L341" s="1016" t="s">
        <v>962</v>
      </c>
      <c r="M341" s="1017">
        <v>125000000</v>
      </c>
      <c r="N341" s="1034" t="s">
        <v>747</v>
      </c>
      <c r="O341" s="1034" t="s">
        <v>1815</v>
      </c>
      <c r="P341" s="1034"/>
      <c r="Q341" s="1014"/>
      <c r="R341" s="1019"/>
      <c r="S341" s="1127"/>
      <c r="T341" s="1153"/>
    </row>
    <row r="342" spans="1:20" s="992" customFormat="1" ht="89.25" x14ac:dyDescent="0.25">
      <c r="A342" s="1020">
        <v>2022337</v>
      </c>
      <c r="B342" s="1020">
        <v>7658</v>
      </c>
      <c r="C342" s="1020" t="s">
        <v>673</v>
      </c>
      <c r="D342" s="1036" t="s">
        <v>702</v>
      </c>
      <c r="E342" s="1037">
        <v>80111600</v>
      </c>
      <c r="F342" s="1023" t="s">
        <v>1008</v>
      </c>
      <c r="G342" s="1038" t="s">
        <v>1743</v>
      </c>
      <c r="H342" s="1138" t="s">
        <v>1743</v>
      </c>
      <c r="I342" s="1039" t="s">
        <v>1793</v>
      </c>
      <c r="J342" s="1040" t="s">
        <v>1783</v>
      </c>
      <c r="K342" s="1024" t="s">
        <v>678</v>
      </c>
      <c r="L342" s="1085" t="s">
        <v>679</v>
      </c>
      <c r="M342" s="1027">
        <v>25980000</v>
      </c>
      <c r="N342" s="1080" t="s">
        <v>747</v>
      </c>
      <c r="O342" s="1080" t="s">
        <v>1815</v>
      </c>
      <c r="P342" s="1080"/>
      <c r="Q342" s="1024"/>
      <c r="R342" s="1019"/>
      <c r="S342" s="1127">
        <v>242</v>
      </c>
      <c r="T342" s="1153">
        <v>25200000</v>
      </c>
    </row>
    <row r="343" spans="1:20" s="992" customFormat="1" ht="89.25" x14ac:dyDescent="0.25">
      <c r="A343" s="1020">
        <v>2022338</v>
      </c>
      <c r="B343" s="1020">
        <v>7658</v>
      </c>
      <c r="C343" s="1020" t="s">
        <v>673</v>
      </c>
      <c r="D343" s="1036" t="s">
        <v>702</v>
      </c>
      <c r="E343" s="1037">
        <v>80111600</v>
      </c>
      <c r="F343" s="1023" t="s">
        <v>1008</v>
      </c>
      <c r="G343" s="1038" t="s">
        <v>1743</v>
      </c>
      <c r="H343" s="1138" t="s">
        <v>1743</v>
      </c>
      <c r="I343" s="1039" t="s">
        <v>1793</v>
      </c>
      <c r="J343" s="1040" t="s">
        <v>1783</v>
      </c>
      <c r="K343" s="1024" t="s">
        <v>678</v>
      </c>
      <c r="L343" s="1085" t="s">
        <v>679</v>
      </c>
      <c r="M343" s="1027">
        <v>25980000</v>
      </c>
      <c r="N343" s="1080" t="s">
        <v>747</v>
      </c>
      <c r="O343" s="1080" t="s">
        <v>1815</v>
      </c>
      <c r="P343" s="1080"/>
      <c r="Q343" s="1024"/>
      <c r="R343" s="1019"/>
      <c r="S343" s="1127">
        <v>251</v>
      </c>
      <c r="T343" s="1153">
        <v>25200000</v>
      </c>
    </row>
    <row r="344" spans="1:20" s="992" customFormat="1" ht="89.25" x14ac:dyDescent="0.25">
      <c r="A344" s="1020">
        <v>2022339</v>
      </c>
      <c r="B344" s="1020">
        <v>7658</v>
      </c>
      <c r="C344" s="1020" t="s">
        <v>673</v>
      </c>
      <c r="D344" s="1036" t="s">
        <v>702</v>
      </c>
      <c r="E344" s="1037">
        <v>80111600</v>
      </c>
      <c r="F344" s="1023" t="s">
        <v>1008</v>
      </c>
      <c r="G344" s="1038" t="s">
        <v>1743</v>
      </c>
      <c r="H344" s="1138" t="s">
        <v>1743</v>
      </c>
      <c r="I344" s="1039" t="s">
        <v>1793</v>
      </c>
      <c r="J344" s="1040" t="s">
        <v>1783</v>
      </c>
      <c r="K344" s="1024" t="s">
        <v>678</v>
      </c>
      <c r="L344" s="1085" t="s">
        <v>679</v>
      </c>
      <c r="M344" s="1027">
        <v>25980000</v>
      </c>
      <c r="N344" s="1080" t="s">
        <v>747</v>
      </c>
      <c r="O344" s="1080" t="s">
        <v>1815</v>
      </c>
      <c r="P344" s="1080"/>
      <c r="Q344" s="1024"/>
      <c r="R344" s="1019"/>
      <c r="S344" s="1127">
        <v>349</v>
      </c>
      <c r="T344" s="1153">
        <v>25200000</v>
      </c>
    </row>
    <row r="345" spans="1:20" s="992" customFormat="1" ht="89.25" x14ac:dyDescent="0.25">
      <c r="A345" s="1020">
        <v>2022340</v>
      </c>
      <c r="B345" s="1020">
        <v>7658</v>
      </c>
      <c r="C345" s="1020" t="s">
        <v>673</v>
      </c>
      <c r="D345" s="1036" t="s">
        <v>702</v>
      </c>
      <c r="E345" s="1037">
        <v>80111600</v>
      </c>
      <c r="F345" s="1023" t="s">
        <v>1008</v>
      </c>
      <c r="G345" s="1038" t="s">
        <v>1743</v>
      </c>
      <c r="H345" s="1138" t="s">
        <v>1743</v>
      </c>
      <c r="I345" s="1039" t="s">
        <v>1793</v>
      </c>
      <c r="J345" s="1040" t="s">
        <v>1783</v>
      </c>
      <c r="K345" s="1024" t="s">
        <v>678</v>
      </c>
      <c r="L345" s="1085" t="s">
        <v>679</v>
      </c>
      <c r="M345" s="1027">
        <v>25980000</v>
      </c>
      <c r="N345" s="1080" t="s">
        <v>747</v>
      </c>
      <c r="O345" s="1080" t="s">
        <v>1815</v>
      </c>
      <c r="P345" s="1080"/>
      <c r="Q345" s="1024"/>
      <c r="R345" s="1019"/>
      <c r="S345" s="1127">
        <v>252</v>
      </c>
      <c r="T345" s="1153">
        <v>25200000</v>
      </c>
    </row>
    <row r="346" spans="1:20" s="992" customFormat="1" ht="89.25" x14ac:dyDescent="0.25">
      <c r="A346" s="1020">
        <v>2022341</v>
      </c>
      <c r="B346" s="1020">
        <v>7658</v>
      </c>
      <c r="C346" s="1020" t="s">
        <v>673</v>
      </c>
      <c r="D346" s="1036" t="s">
        <v>702</v>
      </c>
      <c r="E346" s="1037">
        <v>80111600</v>
      </c>
      <c r="F346" s="1023" t="s">
        <v>1008</v>
      </c>
      <c r="G346" s="1038" t="s">
        <v>1743</v>
      </c>
      <c r="H346" s="1138" t="s">
        <v>1743</v>
      </c>
      <c r="I346" s="1039" t="s">
        <v>1793</v>
      </c>
      <c r="J346" s="1040" t="s">
        <v>1783</v>
      </c>
      <c r="K346" s="1024" t="s">
        <v>678</v>
      </c>
      <c r="L346" s="1085" t="s">
        <v>679</v>
      </c>
      <c r="M346" s="1027">
        <v>25980000</v>
      </c>
      <c r="N346" s="1080" t="s">
        <v>747</v>
      </c>
      <c r="O346" s="1080" t="s">
        <v>1815</v>
      </c>
      <c r="P346" s="1080"/>
      <c r="Q346" s="1024"/>
      <c r="R346" s="1019"/>
      <c r="S346" s="1127">
        <v>321</v>
      </c>
      <c r="T346" s="1153">
        <v>25200000</v>
      </c>
    </row>
    <row r="347" spans="1:20" s="992" customFormat="1" ht="89.25" x14ac:dyDescent="0.25">
      <c r="A347" s="1020">
        <v>2022342</v>
      </c>
      <c r="B347" s="1020">
        <v>7658</v>
      </c>
      <c r="C347" s="1020" t="s">
        <v>673</v>
      </c>
      <c r="D347" s="1036" t="s">
        <v>702</v>
      </c>
      <c r="E347" s="1037">
        <v>80111600</v>
      </c>
      <c r="F347" s="1023" t="s">
        <v>1008</v>
      </c>
      <c r="G347" s="1038" t="s">
        <v>1743</v>
      </c>
      <c r="H347" s="1138" t="s">
        <v>1743</v>
      </c>
      <c r="I347" s="1039" t="s">
        <v>1793</v>
      </c>
      <c r="J347" s="1040" t="s">
        <v>1783</v>
      </c>
      <c r="K347" s="1024" t="s">
        <v>678</v>
      </c>
      <c r="L347" s="1085" t="s">
        <v>679</v>
      </c>
      <c r="M347" s="1027">
        <v>25980000</v>
      </c>
      <c r="N347" s="1080" t="s">
        <v>747</v>
      </c>
      <c r="O347" s="1080" t="s">
        <v>1815</v>
      </c>
      <c r="P347" s="1080"/>
      <c r="Q347" s="1024"/>
      <c r="R347" s="1019"/>
      <c r="S347" s="1127">
        <v>241</v>
      </c>
      <c r="T347" s="1153">
        <v>25200000</v>
      </c>
    </row>
    <row r="348" spans="1:20" s="992" customFormat="1" ht="89.25" x14ac:dyDescent="0.25">
      <c r="A348" s="1020">
        <v>2022343</v>
      </c>
      <c r="B348" s="1020">
        <v>7658</v>
      </c>
      <c r="C348" s="1020" t="s">
        <v>673</v>
      </c>
      <c r="D348" s="1036" t="s">
        <v>702</v>
      </c>
      <c r="E348" s="1037">
        <v>80111600</v>
      </c>
      <c r="F348" s="1023" t="s">
        <v>1008</v>
      </c>
      <c r="G348" s="1038" t="s">
        <v>1743</v>
      </c>
      <c r="H348" s="1138" t="s">
        <v>1743</v>
      </c>
      <c r="I348" s="1039" t="s">
        <v>1793</v>
      </c>
      <c r="J348" s="1040" t="s">
        <v>1783</v>
      </c>
      <c r="K348" s="1024" t="s">
        <v>678</v>
      </c>
      <c r="L348" s="1085" t="s">
        <v>679</v>
      </c>
      <c r="M348" s="1027">
        <v>25980000</v>
      </c>
      <c r="N348" s="1080" t="s">
        <v>747</v>
      </c>
      <c r="O348" s="1080" t="s">
        <v>1815</v>
      </c>
      <c r="P348" s="1080"/>
      <c r="Q348" s="1024"/>
      <c r="R348" s="1019"/>
      <c r="S348" s="1127">
        <v>254</v>
      </c>
      <c r="T348" s="1153">
        <v>25200000</v>
      </c>
    </row>
    <row r="349" spans="1:20" s="992" customFormat="1" ht="89.25" x14ac:dyDescent="0.25">
      <c r="A349" s="1020">
        <v>2022344</v>
      </c>
      <c r="B349" s="1020">
        <v>7658</v>
      </c>
      <c r="C349" s="1020" t="s">
        <v>673</v>
      </c>
      <c r="D349" s="1036" t="s">
        <v>702</v>
      </c>
      <c r="E349" s="1037">
        <v>80111600</v>
      </c>
      <c r="F349" s="1023" t="s">
        <v>1008</v>
      </c>
      <c r="G349" s="1038" t="s">
        <v>1743</v>
      </c>
      <c r="H349" s="1138" t="s">
        <v>1743</v>
      </c>
      <c r="I349" s="1039" t="s">
        <v>1793</v>
      </c>
      <c r="J349" s="1040" t="s">
        <v>1783</v>
      </c>
      <c r="K349" s="1024" t="s">
        <v>678</v>
      </c>
      <c r="L349" s="1085" t="s">
        <v>679</v>
      </c>
      <c r="M349" s="1027">
        <v>25980000</v>
      </c>
      <c r="N349" s="1080" t="s">
        <v>747</v>
      </c>
      <c r="O349" s="1080" t="s">
        <v>1815</v>
      </c>
      <c r="P349" s="1080"/>
      <c r="Q349" s="1024"/>
      <c r="R349" s="1019"/>
      <c r="S349" s="1127">
        <v>271</v>
      </c>
      <c r="T349" s="1153">
        <v>25200000</v>
      </c>
    </row>
    <row r="350" spans="1:20" s="992" customFormat="1" ht="89.25" x14ac:dyDescent="0.25">
      <c r="A350" s="1020">
        <v>2022345</v>
      </c>
      <c r="B350" s="1020">
        <v>7658</v>
      </c>
      <c r="C350" s="1020" t="s">
        <v>673</v>
      </c>
      <c r="D350" s="1036" t="s">
        <v>702</v>
      </c>
      <c r="E350" s="1037">
        <v>80111600</v>
      </c>
      <c r="F350" s="1023" t="s">
        <v>1008</v>
      </c>
      <c r="G350" s="1038" t="s">
        <v>1743</v>
      </c>
      <c r="H350" s="1138" t="s">
        <v>1743</v>
      </c>
      <c r="I350" s="1039" t="s">
        <v>1793</v>
      </c>
      <c r="J350" s="1040" t="s">
        <v>1783</v>
      </c>
      <c r="K350" s="1024" t="s">
        <v>678</v>
      </c>
      <c r="L350" s="1085" t="s">
        <v>679</v>
      </c>
      <c r="M350" s="1027">
        <v>25980000</v>
      </c>
      <c r="N350" s="1080" t="s">
        <v>747</v>
      </c>
      <c r="O350" s="1080" t="s">
        <v>1815</v>
      </c>
      <c r="P350" s="1080"/>
      <c r="Q350" s="1024"/>
      <c r="R350" s="1019"/>
      <c r="S350" s="1127">
        <v>245</v>
      </c>
      <c r="T350" s="1153">
        <v>25200000</v>
      </c>
    </row>
    <row r="351" spans="1:20" s="992" customFormat="1" ht="89.25" x14ac:dyDescent="0.25">
      <c r="A351" s="1020">
        <v>2022346</v>
      </c>
      <c r="B351" s="1020">
        <v>7658</v>
      </c>
      <c r="C351" s="1020" t="s">
        <v>673</v>
      </c>
      <c r="D351" s="1036" t="s">
        <v>702</v>
      </c>
      <c r="E351" s="1037">
        <v>80111600</v>
      </c>
      <c r="F351" s="1023" t="s">
        <v>1008</v>
      </c>
      <c r="G351" s="1038" t="s">
        <v>1743</v>
      </c>
      <c r="H351" s="1138" t="s">
        <v>1743</v>
      </c>
      <c r="I351" s="1039" t="s">
        <v>1793</v>
      </c>
      <c r="J351" s="1040" t="s">
        <v>1783</v>
      </c>
      <c r="K351" s="1024" t="s">
        <v>678</v>
      </c>
      <c r="L351" s="1085" t="s">
        <v>679</v>
      </c>
      <c r="M351" s="1027">
        <v>25980000</v>
      </c>
      <c r="N351" s="1080" t="s">
        <v>747</v>
      </c>
      <c r="O351" s="1080" t="s">
        <v>1815</v>
      </c>
      <c r="P351" s="1080"/>
      <c r="Q351" s="1024"/>
      <c r="R351" s="1019"/>
      <c r="S351" s="1127">
        <v>246</v>
      </c>
      <c r="T351" s="1153">
        <v>25200000</v>
      </c>
    </row>
    <row r="352" spans="1:20" s="1019" customFormat="1" ht="89.25" x14ac:dyDescent="0.25">
      <c r="A352" s="1010">
        <v>2022347</v>
      </c>
      <c r="B352" s="1010">
        <v>7658</v>
      </c>
      <c r="C352" s="1010" t="s">
        <v>673</v>
      </c>
      <c r="D352" s="1042" t="s">
        <v>702</v>
      </c>
      <c r="E352" s="1043">
        <v>80111600</v>
      </c>
      <c r="F352" s="1013" t="s">
        <v>1008</v>
      </c>
      <c r="G352" s="1044" t="s">
        <v>1743</v>
      </c>
      <c r="H352" s="1138" t="s">
        <v>1743</v>
      </c>
      <c r="I352" s="1045" t="s">
        <v>1793</v>
      </c>
      <c r="J352" s="1046" t="s">
        <v>1783</v>
      </c>
      <c r="K352" s="1014" t="s">
        <v>678</v>
      </c>
      <c r="L352" s="1082" t="s">
        <v>679</v>
      </c>
      <c r="M352" s="1017">
        <f>25980000-25980000</f>
        <v>0</v>
      </c>
      <c r="N352" s="1034" t="s">
        <v>747</v>
      </c>
      <c r="O352" s="1034" t="s">
        <v>1815</v>
      </c>
      <c r="P352" s="1034"/>
      <c r="Q352" s="1014"/>
      <c r="S352" s="1127"/>
      <c r="T352" s="1153"/>
    </row>
    <row r="353" spans="1:20" s="992" customFormat="1" ht="89.25" x14ac:dyDescent="0.25">
      <c r="A353" s="1020">
        <v>2022348</v>
      </c>
      <c r="B353" s="1020">
        <v>7658</v>
      </c>
      <c r="C353" s="1020" t="s">
        <v>673</v>
      </c>
      <c r="D353" s="1036" t="s">
        <v>702</v>
      </c>
      <c r="E353" s="1037">
        <v>80111600</v>
      </c>
      <c r="F353" s="1023" t="s">
        <v>1008</v>
      </c>
      <c r="G353" s="1038" t="s">
        <v>1743</v>
      </c>
      <c r="H353" s="1138" t="s">
        <v>1743</v>
      </c>
      <c r="I353" s="1039" t="s">
        <v>1793</v>
      </c>
      <c r="J353" s="1040" t="s">
        <v>1783</v>
      </c>
      <c r="K353" s="1024" t="s">
        <v>678</v>
      </c>
      <c r="L353" s="1085" t="s">
        <v>679</v>
      </c>
      <c r="M353" s="1027">
        <v>25980000</v>
      </c>
      <c r="N353" s="1080" t="s">
        <v>747</v>
      </c>
      <c r="O353" s="1080" t="s">
        <v>1815</v>
      </c>
      <c r="P353" s="1080"/>
      <c r="Q353" s="1024"/>
      <c r="R353" s="1019"/>
      <c r="S353" s="1127">
        <v>253</v>
      </c>
      <c r="T353" s="1153">
        <v>25200000</v>
      </c>
    </row>
    <row r="354" spans="1:20" s="992" customFormat="1" ht="89.25" x14ac:dyDescent="0.25">
      <c r="A354" s="1020">
        <v>2022349</v>
      </c>
      <c r="B354" s="1020">
        <v>7658</v>
      </c>
      <c r="C354" s="1020" t="s">
        <v>673</v>
      </c>
      <c r="D354" s="1036" t="s">
        <v>702</v>
      </c>
      <c r="E354" s="1037">
        <v>80111600</v>
      </c>
      <c r="F354" s="1023" t="s">
        <v>1008</v>
      </c>
      <c r="G354" s="1038" t="s">
        <v>1743</v>
      </c>
      <c r="H354" s="1138" t="s">
        <v>1743</v>
      </c>
      <c r="I354" s="1039" t="s">
        <v>1793</v>
      </c>
      <c r="J354" s="1040" t="s">
        <v>1783</v>
      </c>
      <c r="K354" s="1024" t="s">
        <v>678</v>
      </c>
      <c r="L354" s="1085" t="s">
        <v>679</v>
      </c>
      <c r="M354" s="1027">
        <v>25980000</v>
      </c>
      <c r="N354" s="1080" t="s">
        <v>747</v>
      </c>
      <c r="O354" s="1080" t="s">
        <v>1815</v>
      </c>
      <c r="P354" s="1080"/>
      <c r="Q354" s="1024"/>
      <c r="R354" s="1019"/>
      <c r="S354" s="1127">
        <v>247</v>
      </c>
      <c r="T354" s="1153">
        <v>25200000</v>
      </c>
    </row>
    <row r="355" spans="1:20" s="992" customFormat="1" ht="89.25" x14ac:dyDescent="0.25">
      <c r="A355" s="1020">
        <v>2022350</v>
      </c>
      <c r="B355" s="1020">
        <v>7658</v>
      </c>
      <c r="C355" s="1020" t="s">
        <v>673</v>
      </c>
      <c r="D355" s="1036" t="s">
        <v>702</v>
      </c>
      <c r="E355" s="1037">
        <v>80111600</v>
      </c>
      <c r="F355" s="1023" t="s">
        <v>1008</v>
      </c>
      <c r="G355" s="1038" t="s">
        <v>1743</v>
      </c>
      <c r="H355" s="1138" t="s">
        <v>1743</v>
      </c>
      <c r="I355" s="1039" t="s">
        <v>1793</v>
      </c>
      <c r="J355" s="1040" t="s">
        <v>1783</v>
      </c>
      <c r="K355" s="1024" t="s">
        <v>678</v>
      </c>
      <c r="L355" s="1085" t="s">
        <v>679</v>
      </c>
      <c r="M355" s="1027">
        <v>25980000</v>
      </c>
      <c r="N355" s="1080" t="s">
        <v>747</v>
      </c>
      <c r="O355" s="1080" t="s">
        <v>1815</v>
      </c>
      <c r="P355" s="1080"/>
      <c r="Q355" s="1024"/>
      <c r="R355" s="1019"/>
      <c r="S355" s="1127">
        <v>322</v>
      </c>
      <c r="T355" s="1153">
        <v>25200000</v>
      </c>
    </row>
    <row r="356" spans="1:20" s="992" customFormat="1" ht="89.25" x14ac:dyDescent="0.25">
      <c r="A356" s="1020">
        <v>2022351</v>
      </c>
      <c r="B356" s="1020">
        <v>7658</v>
      </c>
      <c r="C356" s="1020" t="s">
        <v>673</v>
      </c>
      <c r="D356" s="1036" t="s">
        <v>702</v>
      </c>
      <c r="E356" s="1037">
        <v>80111600</v>
      </c>
      <c r="F356" s="1023" t="s">
        <v>1008</v>
      </c>
      <c r="G356" s="1038" t="s">
        <v>1743</v>
      </c>
      <c r="H356" s="1138" t="s">
        <v>1743</v>
      </c>
      <c r="I356" s="1039" t="s">
        <v>1793</v>
      </c>
      <c r="J356" s="1040" t="s">
        <v>1783</v>
      </c>
      <c r="K356" s="1024" t="s">
        <v>678</v>
      </c>
      <c r="L356" s="1085" t="s">
        <v>679</v>
      </c>
      <c r="M356" s="1027">
        <v>25980000</v>
      </c>
      <c r="N356" s="1080" t="s">
        <v>747</v>
      </c>
      <c r="O356" s="1080" t="s">
        <v>1815</v>
      </c>
      <c r="P356" s="1080"/>
      <c r="Q356" s="1024"/>
      <c r="R356" s="1019"/>
      <c r="S356" s="1127">
        <v>272</v>
      </c>
      <c r="T356" s="1153">
        <v>25200000</v>
      </c>
    </row>
    <row r="357" spans="1:20" s="992" customFormat="1" ht="89.25" x14ac:dyDescent="0.25">
      <c r="A357" s="1020">
        <v>2022352</v>
      </c>
      <c r="B357" s="1020">
        <v>7658</v>
      </c>
      <c r="C357" s="1020" t="s">
        <v>673</v>
      </c>
      <c r="D357" s="1036" t="s">
        <v>702</v>
      </c>
      <c r="E357" s="1037">
        <v>80111600</v>
      </c>
      <c r="F357" s="1023" t="s">
        <v>1008</v>
      </c>
      <c r="G357" s="1038" t="s">
        <v>1743</v>
      </c>
      <c r="H357" s="1138" t="s">
        <v>1743</v>
      </c>
      <c r="I357" s="1039" t="s">
        <v>1793</v>
      </c>
      <c r="J357" s="1040" t="s">
        <v>1783</v>
      </c>
      <c r="K357" s="1024" t="s">
        <v>678</v>
      </c>
      <c r="L357" s="1085" t="s">
        <v>679</v>
      </c>
      <c r="M357" s="1027">
        <v>25980000</v>
      </c>
      <c r="N357" s="1080" t="s">
        <v>747</v>
      </c>
      <c r="O357" s="1080" t="s">
        <v>1815</v>
      </c>
      <c r="P357" s="1080"/>
      <c r="Q357" s="1024"/>
      <c r="R357" s="1019"/>
      <c r="S357" s="1127">
        <v>288</v>
      </c>
      <c r="T357" s="1153">
        <v>25200000</v>
      </c>
    </row>
    <row r="358" spans="1:20" s="992" customFormat="1" ht="89.25" x14ac:dyDescent="0.25">
      <c r="A358" s="1020">
        <v>2022353</v>
      </c>
      <c r="B358" s="1020">
        <v>7658</v>
      </c>
      <c r="C358" s="1020" t="s">
        <v>673</v>
      </c>
      <c r="D358" s="1036" t="s">
        <v>702</v>
      </c>
      <c r="E358" s="1037">
        <v>80111600</v>
      </c>
      <c r="F358" s="1023" t="s">
        <v>1008</v>
      </c>
      <c r="G358" s="1038" t="s">
        <v>1743</v>
      </c>
      <c r="H358" s="1138" t="s">
        <v>1743</v>
      </c>
      <c r="I358" s="1039" t="s">
        <v>1793</v>
      </c>
      <c r="J358" s="1040" t="s">
        <v>1783</v>
      </c>
      <c r="K358" s="1024" t="s">
        <v>678</v>
      </c>
      <c r="L358" s="1085" t="s">
        <v>679</v>
      </c>
      <c r="M358" s="1027">
        <f>25980000+25980000</f>
        <v>51960000</v>
      </c>
      <c r="N358" s="1080" t="s">
        <v>747</v>
      </c>
      <c r="O358" s="1080" t="s">
        <v>1815</v>
      </c>
      <c r="P358" s="1080"/>
      <c r="Q358" s="1024"/>
      <c r="R358" s="1019"/>
      <c r="S358" s="1127">
        <v>328</v>
      </c>
      <c r="T358" s="1153">
        <v>25200000</v>
      </c>
    </row>
    <row r="359" spans="1:20" s="992" customFormat="1" ht="89.25" x14ac:dyDescent="0.25">
      <c r="A359" s="1020">
        <v>2022354</v>
      </c>
      <c r="B359" s="1020">
        <v>7658</v>
      </c>
      <c r="C359" s="1020" t="s">
        <v>673</v>
      </c>
      <c r="D359" s="1036" t="s">
        <v>702</v>
      </c>
      <c r="E359" s="1037">
        <v>80111600</v>
      </c>
      <c r="F359" s="1023" t="s">
        <v>1009</v>
      </c>
      <c r="G359" s="1038" t="s">
        <v>1743</v>
      </c>
      <c r="H359" s="1138" t="s">
        <v>1743</v>
      </c>
      <c r="I359" s="1039" t="s">
        <v>1793</v>
      </c>
      <c r="J359" s="1040" t="s">
        <v>1783</v>
      </c>
      <c r="K359" s="1024" t="s">
        <v>678</v>
      </c>
      <c r="L359" s="1085" t="s">
        <v>679</v>
      </c>
      <c r="M359" s="1027">
        <v>30300000</v>
      </c>
      <c r="N359" s="1080" t="s">
        <v>747</v>
      </c>
      <c r="O359" s="1080" t="s">
        <v>1815</v>
      </c>
      <c r="P359" s="1080"/>
      <c r="Q359" s="1024"/>
      <c r="R359" s="1019"/>
      <c r="S359" s="1127">
        <v>345</v>
      </c>
      <c r="T359" s="1153">
        <v>29400000</v>
      </c>
    </row>
    <row r="360" spans="1:20" s="992" customFormat="1" ht="89.25" x14ac:dyDescent="0.25">
      <c r="A360" s="1020">
        <v>2022355</v>
      </c>
      <c r="B360" s="1020">
        <v>7658</v>
      </c>
      <c r="C360" s="1020" t="s">
        <v>673</v>
      </c>
      <c r="D360" s="1036" t="s">
        <v>702</v>
      </c>
      <c r="E360" s="1037">
        <v>80111600</v>
      </c>
      <c r="F360" s="1023" t="s">
        <v>1009</v>
      </c>
      <c r="G360" s="1038" t="s">
        <v>1743</v>
      </c>
      <c r="H360" s="1138" t="s">
        <v>1743</v>
      </c>
      <c r="I360" s="1039" t="s">
        <v>1793</v>
      </c>
      <c r="J360" s="1040" t="s">
        <v>1783</v>
      </c>
      <c r="K360" s="1024" t="s">
        <v>678</v>
      </c>
      <c r="L360" s="1085" t="s">
        <v>679</v>
      </c>
      <c r="M360" s="1027">
        <v>30300000</v>
      </c>
      <c r="N360" s="1080" t="s">
        <v>747</v>
      </c>
      <c r="O360" s="1080" t="s">
        <v>1815</v>
      </c>
      <c r="P360" s="1080"/>
      <c r="Q360" s="1024"/>
      <c r="R360" s="1019"/>
      <c r="S360" s="1127">
        <v>353</v>
      </c>
      <c r="T360" s="1153">
        <v>29400000</v>
      </c>
    </row>
    <row r="361" spans="1:20" s="992" customFormat="1" ht="89.25" x14ac:dyDescent="0.25">
      <c r="A361" s="1020">
        <v>2022356</v>
      </c>
      <c r="B361" s="1020">
        <v>7658</v>
      </c>
      <c r="C361" s="1020" t="s">
        <v>673</v>
      </c>
      <c r="D361" s="1036" t="s">
        <v>702</v>
      </c>
      <c r="E361" s="1037">
        <v>80111600</v>
      </c>
      <c r="F361" s="1023" t="s">
        <v>1009</v>
      </c>
      <c r="G361" s="1038" t="s">
        <v>1743</v>
      </c>
      <c r="H361" s="1138" t="s">
        <v>1743</v>
      </c>
      <c r="I361" s="1039" t="s">
        <v>1793</v>
      </c>
      <c r="J361" s="1040" t="s">
        <v>1783</v>
      </c>
      <c r="K361" s="1024" t="s">
        <v>678</v>
      </c>
      <c r="L361" s="1085" t="s">
        <v>679</v>
      </c>
      <c r="M361" s="1027">
        <v>30300000</v>
      </c>
      <c r="N361" s="1080" t="s">
        <v>747</v>
      </c>
      <c r="O361" s="1080" t="s">
        <v>1815</v>
      </c>
      <c r="P361" s="1080"/>
      <c r="Q361" s="1024"/>
      <c r="R361" s="1019"/>
      <c r="S361" s="1127">
        <v>421</v>
      </c>
      <c r="T361" s="1153">
        <v>29400000</v>
      </c>
    </row>
    <row r="362" spans="1:20" s="992" customFormat="1" ht="89.25" x14ac:dyDescent="0.25">
      <c r="A362" s="1020">
        <v>2022357</v>
      </c>
      <c r="B362" s="1020">
        <v>7658</v>
      </c>
      <c r="C362" s="1020" t="s">
        <v>673</v>
      </c>
      <c r="D362" s="1036" t="s">
        <v>702</v>
      </c>
      <c r="E362" s="1037">
        <v>80111600</v>
      </c>
      <c r="F362" s="1023" t="s">
        <v>1009</v>
      </c>
      <c r="G362" s="1038" t="s">
        <v>1743</v>
      </c>
      <c r="H362" s="1138" t="s">
        <v>1743</v>
      </c>
      <c r="I362" s="1039" t="s">
        <v>1793</v>
      </c>
      <c r="J362" s="1040" t="s">
        <v>1783</v>
      </c>
      <c r="K362" s="1024" t="s">
        <v>678</v>
      </c>
      <c r="L362" s="1085" t="s">
        <v>679</v>
      </c>
      <c r="M362" s="1027">
        <v>30300000</v>
      </c>
      <c r="N362" s="1080" t="s">
        <v>747</v>
      </c>
      <c r="O362" s="1080" t="s">
        <v>1815</v>
      </c>
      <c r="P362" s="1080"/>
      <c r="Q362" s="1024"/>
      <c r="R362" s="1019"/>
      <c r="S362" s="1127">
        <v>420</v>
      </c>
      <c r="T362" s="1153">
        <v>29400000</v>
      </c>
    </row>
    <row r="363" spans="1:20" s="992" customFormat="1" ht="89.25" x14ac:dyDescent="0.25">
      <c r="A363" s="1020">
        <v>2022358</v>
      </c>
      <c r="B363" s="1020">
        <v>7658</v>
      </c>
      <c r="C363" s="1020" t="s">
        <v>673</v>
      </c>
      <c r="D363" s="1036" t="s">
        <v>702</v>
      </c>
      <c r="E363" s="1037">
        <v>80111600</v>
      </c>
      <c r="F363" s="1023" t="s">
        <v>1009</v>
      </c>
      <c r="G363" s="1038" t="s">
        <v>1743</v>
      </c>
      <c r="H363" s="1138" t="s">
        <v>1743</v>
      </c>
      <c r="I363" s="1039" t="s">
        <v>1746</v>
      </c>
      <c r="J363" s="1040" t="s">
        <v>1783</v>
      </c>
      <c r="K363" s="1024" t="s">
        <v>678</v>
      </c>
      <c r="L363" s="1085" t="s">
        <v>679</v>
      </c>
      <c r="M363" s="1027">
        <v>27775000</v>
      </c>
      <c r="N363" s="1080" t="s">
        <v>747</v>
      </c>
      <c r="O363" s="1080" t="s">
        <v>1815</v>
      </c>
      <c r="P363" s="1080"/>
      <c r="Q363" s="1024"/>
      <c r="R363" s="1019"/>
      <c r="S363" s="1127">
        <v>411</v>
      </c>
      <c r="T363" s="1153">
        <v>26950000</v>
      </c>
    </row>
    <row r="364" spans="1:20" s="992" customFormat="1" ht="89.25" x14ac:dyDescent="0.25">
      <c r="A364" s="1020">
        <v>2022359</v>
      </c>
      <c r="B364" s="1020">
        <v>7658</v>
      </c>
      <c r="C364" s="1020" t="s">
        <v>673</v>
      </c>
      <c r="D364" s="1036" t="s">
        <v>702</v>
      </c>
      <c r="E364" s="1037">
        <v>80111600</v>
      </c>
      <c r="F364" s="1023" t="s">
        <v>1009</v>
      </c>
      <c r="G364" s="1038" t="s">
        <v>1743</v>
      </c>
      <c r="H364" s="1138" t="s">
        <v>1743</v>
      </c>
      <c r="I364" s="1039" t="s">
        <v>1746</v>
      </c>
      <c r="J364" s="1040" t="s">
        <v>1783</v>
      </c>
      <c r="K364" s="1024" t="s">
        <v>678</v>
      </c>
      <c r="L364" s="1085" t="s">
        <v>679</v>
      </c>
      <c r="M364" s="1027">
        <v>27775000</v>
      </c>
      <c r="N364" s="1080" t="s">
        <v>747</v>
      </c>
      <c r="O364" s="1080" t="s">
        <v>1815</v>
      </c>
      <c r="P364" s="1080"/>
      <c r="Q364" s="1024"/>
      <c r="R364" s="1019"/>
      <c r="S364" s="1127">
        <v>403</v>
      </c>
      <c r="T364" s="1153">
        <v>26950000</v>
      </c>
    </row>
    <row r="365" spans="1:20" s="992" customFormat="1" ht="89.25" x14ac:dyDescent="0.25">
      <c r="A365" s="1020">
        <v>2022360</v>
      </c>
      <c r="B365" s="1020">
        <v>7658</v>
      </c>
      <c r="C365" s="1020" t="s">
        <v>673</v>
      </c>
      <c r="D365" s="1036" t="s">
        <v>702</v>
      </c>
      <c r="E365" s="1037">
        <v>80111600</v>
      </c>
      <c r="F365" s="1023" t="s">
        <v>1009</v>
      </c>
      <c r="G365" s="1038" t="s">
        <v>1743</v>
      </c>
      <c r="H365" s="1138" t="s">
        <v>1743</v>
      </c>
      <c r="I365" s="1039" t="s">
        <v>1746</v>
      </c>
      <c r="J365" s="1040" t="s">
        <v>1783</v>
      </c>
      <c r="K365" s="1024" t="s">
        <v>678</v>
      </c>
      <c r="L365" s="1085" t="s">
        <v>679</v>
      </c>
      <c r="M365" s="1027">
        <v>27775000</v>
      </c>
      <c r="N365" s="1080" t="s">
        <v>747</v>
      </c>
      <c r="O365" s="1080" t="s">
        <v>1815</v>
      </c>
      <c r="P365" s="1080"/>
      <c r="Q365" s="1024"/>
      <c r="R365" s="1019"/>
      <c r="S365" s="1127">
        <v>368</v>
      </c>
      <c r="T365" s="1153">
        <v>26950000</v>
      </c>
    </row>
    <row r="366" spans="1:20" s="992" customFormat="1" ht="89.25" x14ac:dyDescent="0.25">
      <c r="A366" s="1020">
        <v>2022361</v>
      </c>
      <c r="B366" s="1020">
        <v>7658</v>
      </c>
      <c r="C366" s="1020" t="s">
        <v>673</v>
      </c>
      <c r="D366" s="1036" t="s">
        <v>702</v>
      </c>
      <c r="E366" s="1037">
        <v>80111600</v>
      </c>
      <c r="F366" s="1023" t="s">
        <v>1009</v>
      </c>
      <c r="G366" s="1038" t="s">
        <v>1743</v>
      </c>
      <c r="H366" s="1138" t="s">
        <v>1743</v>
      </c>
      <c r="I366" s="1039" t="s">
        <v>1746</v>
      </c>
      <c r="J366" s="1040" t="s">
        <v>1783</v>
      </c>
      <c r="K366" s="1024" t="s">
        <v>678</v>
      </c>
      <c r="L366" s="1085" t="s">
        <v>679</v>
      </c>
      <c r="M366" s="1027">
        <v>27775000</v>
      </c>
      <c r="N366" s="1080" t="s">
        <v>747</v>
      </c>
      <c r="O366" s="1080" t="s">
        <v>1815</v>
      </c>
      <c r="P366" s="1080"/>
      <c r="Q366" s="1024"/>
      <c r="R366" s="1019"/>
      <c r="S366" s="1127">
        <v>378</v>
      </c>
      <c r="T366" s="1153">
        <v>26950000</v>
      </c>
    </row>
    <row r="367" spans="1:20" s="992" customFormat="1" ht="89.25" x14ac:dyDescent="0.25">
      <c r="A367" s="1020">
        <v>2022362</v>
      </c>
      <c r="B367" s="1020">
        <v>7658</v>
      </c>
      <c r="C367" s="1020" t="s">
        <v>673</v>
      </c>
      <c r="D367" s="1036" t="s">
        <v>702</v>
      </c>
      <c r="E367" s="1037">
        <v>80111600</v>
      </c>
      <c r="F367" s="1023" t="s">
        <v>1009</v>
      </c>
      <c r="G367" s="1038" t="s">
        <v>1743</v>
      </c>
      <c r="H367" s="1138" t="s">
        <v>1743</v>
      </c>
      <c r="I367" s="1039" t="s">
        <v>1746</v>
      </c>
      <c r="J367" s="1040" t="s">
        <v>1783</v>
      </c>
      <c r="K367" s="1024" t="s">
        <v>678</v>
      </c>
      <c r="L367" s="1085" t="s">
        <v>679</v>
      </c>
      <c r="M367" s="1027">
        <v>27775000</v>
      </c>
      <c r="N367" s="1080" t="s">
        <v>747</v>
      </c>
      <c r="O367" s="1080" t="s">
        <v>1815</v>
      </c>
      <c r="P367" s="1080"/>
      <c r="Q367" s="1024"/>
      <c r="R367" s="1019"/>
      <c r="S367" s="1127">
        <v>344</v>
      </c>
      <c r="T367" s="1153">
        <v>26950000</v>
      </c>
    </row>
    <row r="368" spans="1:20" s="992" customFormat="1" ht="89.25" x14ac:dyDescent="0.25">
      <c r="A368" s="1020">
        <v>2022363</v>
      </c>
      <c r="B368" s="1020">
        <v>7658</v>
      </c>
      <c r="C368" s="1020" t="s">
        <v>673</v>
      </c>
      <c r="D368" s="1036" t="s">
        <v>702</v>
      </c>
      <c r="E368" s="1037">
        <v>80111600</v>
      </c>
      <c r="F368" s="1023" t="s">
        <v>1009</v>
      </c>
      <c r="G368" s="1038" t="s">
        <v>1743</v>
      </c>
      <c r="H368" s="1138" t="s">
        <v>1743</v>
      </c>
      <c r="I368" s="1039" t="s">
        <v>1746</v>
      </c>
      <c r="J368" s="1040" t="s">
        <v>1783</v>
      </c>
      <c r="K368" s="1024" t="s">
        <v>678</v>
      </c>
      <c r="L368" s="1085" t="s">
        <v>679</v>
      </c>
      <c r="M368" s="1027">
        <v>27775000</v>
      </c>
      <c r="N368" s="1080" t="s">
        <v>747</v>
      </c>
      <c r="O368" s="1080" t="s">
        <v>1815</v>
      </c>
      <c r="P368" s="1080"/>
      <c r="Q368" s="1024"/>
      <c r="R368" s="1019"/>
      <c r="S368" s="1127">
        <v>381</v>
      </c>
      <c r="T368" s="1153">
        <v>26950000</v>
      </c>
    </row>
    <row r="369" spans="1:103" s="992" customFormat="1" ht="89.25" x14ac:dyDescent="0.25">
      <c r="A369" s="1020">
        <v>2022364</v>
      </c>
      <c r="B369" s="1020">
        <v>7658</v>
      </c>
      <c r="C369" s="1020" t="s">
        <v>673</v>
      </c>
      <c r="D369" s="1036" t="s">
        <v>702</v>
      </c>
      <c r="E369" s="1037">
        <v>80111600</v>
      </c>
      <c r="F369" s="1023" t="s">
        <v>1009</v>
      </c>
      <c r="G369" s="1038" t="s">
        <v>1743</v>
      </c>
      <c r="H369" s="1138" t="s">
        <v>1743</v>
      </c>
      <c r="I369" s="1039" t="s">
        <v>1791</v>
      </c>
      <c r="J369" s="1040" t="s">
        <v>1783</v>
      </c>
      <c r="K369" s="1024" t="s">
        <v>678</v>
      </c>
      <c r="L369" s="1085" t="s">
        <v>679</v>
      </c>
      <c r="M369" s="1027">
        <v>25250000</v>
      </c>
      <c r="N369" s="1080" t="s">
        <v>747</v>
      </c>
      <c r="O369" s="1080" t="s">
        <v>1815</v>
      </c>
      <c r="P369" s="1080"/>
      <c r="Q369" s="1024"/>
      <c r="R369" s="1019"/>
      <c r="S369" s="1127">
        <v>385</v>
      </c>
      <c r="T369" s="1153">
        <v>24500000</v>
      </c>
    </row>
    <row r="370" spans="1:103" s="992" customFormat="1" ht="89.25" x14ac:dyDescent="0.25">
      <c r="A370" s="1020">
        <v>2022365</v>
      </c>
      <c r="B370" s="1020">
        <v>7658</v>
      </c>
      <c r="C370" s="1020" t="s">
        <v>673</v>
      </c>
      <c r="D370" s="1036" t="s">
        <v>702</v>
      </c>
      <c r="E370" s="1037">
        <v>80111600</v>
      </c>
      <c r="F370" s="1023" t="s">
        <v>1009</v>
      </c>
      <c r="G370" s="1038" t="s">
        <v>1743</v>
      </c>
      <c r="H370" s="1138" t="s">
        <v>1743</v>
      </c>
      <c r="I370" s="1039" t="s">
        <v>1791</v>
      </c>
      <c r="J370" s="1040" t="s">
        <v>1783</v>
      </c>
      <c r="K370" s="1024" t="s">
        <v>678</v>
      </c>
      <c r="L370" s="1085" t="s">
        <v>679</v>
      </c>
      <c r="M370" s="1027">
        <v>25250000</v>
      </c>
      <c r="N370" s="1080" t="s">
        <v>747</v>
      </c>
      <c r="O370" s="1080" t="s">
        <v>1815</v>
      </c>
      <c r="P370" s="1080"/>
      <c r="Q370" s="1024"/>
      <c r="R370" s="1019"/>
      <c r="S370" s="1127">
        <v>402</v>
      </c>
      <c r="T370" s="1153">
        <v>24500000</v>
      </c>
    </row>
    <row r="371" spans="1:103" s="992" customFormat="1" ht="89.25" x14ac:dyDescent="0.25">
      <c r="A371" s="1020">
        <v>2022366</v>
      </c>
      <c r="B371" s="1020">
        <v>7658</v>
      </c>
      <c r="C371" s="1020" t="s">
        <v>673</v>
      </c>
      <c r="D371" s="1036" t="s">
        <v>702</v>
      </c>
      <c r="E371" s="1037">
        <v>80111600</v>
      </c>
      <c r="F371" s="1023" t="s">
        <v>1010</v>
      </c>
      <c r="G371" s="1038" t="s">
        <v>1743</v>
      </c>
      <c r="H371" s="1138" t="s">
        <v>1743</v>
      </c>
      <c r="I371" s="1039" t="s">
        <v>1793</v>
      </c>
      <c r="J371" s="1040" t="s">
        <v>1783</v>
      </c>
      <c r="K371" s="1024" t="s">
        <v>678</v>
      </c>
      <c r="L371" s="1085" t="s">
        <v>679</v>
      </c>
      <c r="M371" s="1027">
        <v>25956000</v>
      </c>
      <c r="N371" s="1080" t="s">
        <v>747</v>
      </c>
      <c r="O371" s="1080" t="s">
        <v>1815</v>
      </c>
      <c r="P371" s="1080"/>
      <c r="Q371" s="1024"/>
      <c r="R371" s="1019"/>
      <c r="S371" s="1127">
        <v>360</v>
      </c>
      <c r="T371" s="1153">
        <v>25200000</v>
      </c>
    </row>
    <row r="372" spans="1:103" s="992" customFormat="1" ht="89.25" x14ac:dyDescent="0.25">
      <c r="A372" s="1020">
        <v>2022367</v>
      </c>
      <c r="B372" s="1020">
        <v>7658</v>
      </c>
      <c r="C372" s="1020" t="s">
        <v>673</v>
      </c>
      <c r="D372" s="1036" t="s">
        <v>702</v>
      </c>
      <c r="E372" s="1037">
        <v>80111600</v>
      </c>
      <c r="F372" s="1023" t="s">
        <v>1011</v>
      </c>
      <c r="G372" s="1038" t="s">
        <v>1743</v>
      </c>
      <c r="H372" s="1138" t="s">
        <v>1743</v>
      </c>
      <c r="I372" s="1039" t="s">
        <v>1793</v>
      </c>
      <c r="J372" s="1040" t="s">
        <v>1783</v>
      </c>
      <c r="K372" s="1024" t="s">
        <v>678</v>
      </c>
      <c r="L372" s="1085" t="s">
        <v>679</v>
      </c>
      <c r="M372" s="1027">
        <v>41400000</v>
      </c>
      <c r="N372" s="1080" t="s">
        <v>747</v>
      </c>
      <c r="O372" s="1080" t="s">
        <v>1815</v>
      </c>
      <c r="P372" s="1080"/>
      <c r="Q372" s="1024"/>
      <c r="R372" s="1019"/>
      <c r="S372" s="1127">
        <v>290</v>
      </c>
      <c r="T372" s="1153">
        <v>40200000</v>
      </c>
    </row>
    <row r="373" spans="1:103" s="992" customFormat="1" ht="89.25" x14ac:dyDescent="0.25">
      <c r="A373" s="1020">
        <v>2022368</v>
      </c>
      <c r="B373" s="1020">
        <v>7658</v>
      </c>
      <c r="C373" s="1020" t="s">
        <v>673</v>
      </c>
      <c r="D373" s="1036" t="s">
        <v>702</v>
      </c>
      <c r="E373" s="1037">
        <v>80111600</v>
      </c>
      <c r="F373" s="1023" t="s">
        <v>1012</v>
      </c>
      <c r="G373" s="1038" t="s">
        <v>1743</v>
      </c>
      <c r="H373" s="1138" t="s">
        <v>1743</v>
      </c>
      <c r="I373" s="1039" t="s">
        <v>1793</v>
      </c>
      <c r="J373" s="1040" t="s">
        <v>1783</v>
      </c>
      <c r="K373" s="1024" t="s">
        <v>678</v>
      </c>
      <c r="L373" s="1085" t="s">
        <v>679</v>
      </c>
      <c r="M373" s="1027">
        <v>25200000</v>
      </c>
      <c r="N373" s="1080" t="s">
        <v>747</v>
      </c>
      <c r="O373" s="1080" t="s">
        <v>1815</v>
      </c>
      <c r="P373" s="1080"/>
      <c r="Q373" s="1024"/>
      <c r="R373" s="1019"/>
      <c r="S373" s="1127">
        <v>428</v>
      </c>
      <c r="T373" s="1153">
        <v>20100000</v>
      </c>
    </row>
    <row r="374" spans="1:103" s="992" customFormat="1" ht="89.25" x14ac:dyDescent="0.25">
      <c r="A374" s="1020">
        <v>2022369</v>
      </c>
      <c r="B374" s="1020">
        <v>7658</v>
      </c>
      <c r="C374" s="1020" t="s">
        <v>673</v>
      </c>
      <c r="D374" s="1036" t="s">
        <v>702</v>
      </c>
      <c r="E374" s="1037">
        <v>80111600</v>
      </c>
      <c r="F374" s="1023" t="s">
        <v>1013</v>
      </c>
      <c r="G374" s="1038" t="s">
        <v>1743</v>
      </c>
      <c r="H374" s="1138" t="s">
        <v>1743</v>
      </c>
      <c r="I374" s="1039" t="s">
        <v>1746</v>
      </c>
      <c r="J374" s="1040" t="s">
        <v>1783</v>
      </c>
      <c r="K374" s="1024" t="s">
        <v>678</v>
      </c>
      <c r="L374" s="1085" t="s">
        <v>679</v>
      </c>
      <c r="M374" s="1027">
        <v>37950000</v>
      </c>
      <c r="N374" s="1080" t="s">
        <v>747</v>
      </c>
      <c r="O374" s="1080" t="s">
        <v>1815</v>
      </c>
      <c r="P374" s="1080"/>
      <c r="Q374" s="1024"/>
      <c r="R374" s="1019"/>
      <c r="S374" s="1127">
        <v>207</v>
      </c>
      <c r="T374" s="1153">
        <v>36850000</v>
      </c>
    </row>
    <row r="375" spans="1:103" s="992" customFormat="1" ht="89.25" x14ac:dyDescent="0.25">
      <c r="A375" s="1020">
        <v>2022370</v>
      </c>
      <c r="B375" s="1020">
        <v>7658</v>
      </c>
      <c r="C375" s="1020" t="s">
        <v>673</v>
      </c>
      <c r="D375" s="1036" t="s">
        <v>702</v>
      </c>
      <c r="E375" s="1037">
        <v>80111600</v>
      </c>
      <c r="F375" s="1023" t="s">
        <v>1014</v>
      </c>
      <c r="G375" s="1038" t="s">
        <v>1743</v>
      </c>
      <c r="H375" s="1138" t="s">
        <v>1743</v>
      </c>
      <c r="I375" s="1039" t="s">
        <v>1793</v>
      </c>
      <c r="J375" s="1040" t="s">
        <v>1783</v>
      </c>
      <c r="K375" s="1024" t="s">
        <v>678</v>
      </c>
      <c r="L375" s="1085" t="s">
        <v>679</v>
      </c>
      <c r="M375" s="1027">
        <v>47586000</v>
      </c>
      <c r="N375" s="1080" t="s">
        <v>747</v>
      </c>
      <c r="O375" s="1080" t="s">
        <v>1815</v>
      </c>
      <c r="P375" s="1080"/>
      <c r="Q375" s="1024"/>
      <c r="R375" s="1019"/>
      <c r="S375" s="1127">
        <v>208</v>
      </c>
      <c r="T375" s="1153">
        <v>46200000</v>
      </c>
    </row>
    <row r="376" spans="1:103" s="1031" customFormat="1" ht="89.25" x14ac:dyDescent="0.25">
      <c r="A376" s="1128">
        <v>2022371</v>
      </c>
      <c r="B376" s="1128">
        <v>7658</v>
      </c>
      <c r="C376" s="1128" t="s">
        <v>673</v>
      </c>
      <c r="D376" s="1136" t="s">
        <v>702</v>
      </c>
      <c r="E376" s="1142">
        <v>80111600</v>
      </c>
      <c r="F376" s="1131" t="s">
        <v>1015</v>
      </c>
      <c r="G376" s="1138" t="s">
        <v>1743</v>
      </c>
      <c r="H376" s="1138" t="s">
        <v>1743</v>
      </c>
      <c r="I376" s="1139" t="s">
        <v>1746</v>
      </c>
      <c r="J376" s="1140" t="s">
        <v>1783</v>
      </c>
      <c r="K376" s="1132" t="s">
        <v>678</v>
      </c>
      <c r="L376" s="1150" t="s">
        <v>679</v>
      </c>
      <c r="M376" s="1133">
        <v>37956000</v>
      </c>
      <c r="N376" s="1148" t="s">
        <v>747</v>
      </c>
      <c r="O376" s="1148" t="s">
        <v>1815</v>
      </c>
      <c r="P376" s="1148"/>
      <c r="Q376" s="1132"/>
      <c r="R376" s="1127">
        <v>388</v>
      </c>
      <c r="S376" s="1127"/>
      <c r="T376" s="1153"/>
      <c r="U376" s="992"/>
      <c r="V376" s="992"/>
      <c r="W376" s="992"/>
      <c r="X376" s="992"/>
      <c r="Y376" s="992"/>
      <c r="Z376" s="992"/>
      <c r="AA376" s="992"/>
      <c r="AB376" s="992"/>
      <c r="AC376" s="992"/>
      <c r="AD376" s="992"/>
      <c r="AE376" s="992"/>
      <c r="AF376" s="992"/>
      <c r="AG376" s="992"/>
      <c r="AH376" s="992"/>
      <c r="AI376" s="992"/>
      <c r="AJ376" s="992"/>
      <c r="AK376" s="992"/>
      <c r="AL376" s="992"/>
      <c r="AM376" s="992"/>
      <c r="AN376" s="992"/>
      <c r="AO376" s="992"/>
      <c r="AP376" s="992"/>
      <c r="AQ376" s="992"/>
      <c r="AR376" s="992"/>
      <c r="AS376" s="992"/>
      <c r="AT376" s="992"/>
      <c r="AU376" s="992"/>
      <c r="AV376" s="992"/>
      <c r="AW376" s="992"/>
      <c r="AX376" s="992"/>
      <c r="AY376" s="992"/>
      <c r="AZ376" s="992"/>
      <c r="BA376" s="992"/>
      <c r="BB376" s="992"/>
      <c r="BC376" s="992"/>
      <c r="BD376" s="992"/>
      <c r="BE376" s="992"/>
      <c r="BF376" s="992"/>
      <c r="BG376" s="992"/>
      <c r="BH376" s="992"/>
      <c r="BI376" s="992"/>
      <c r="BJ376" s="992"/>
      <c r="BK376" s="992"/>
      <c r="BL376" s="992"/>
      <c r="BM376" s="992"/>
      <c r="BN376" s="992"/>
      <c r="BO376" s="992"/>
      <c r="BP376" s="992"/>
      <c r="BQ376" s="992"/>
      <c r="BR376" s="992"/>
      <c r="BS376" s="992"/>
      <c r="BT376" s="992"/>
      <c r="BU376" s="992"/>
      <c r="BV376" s="992"/>
      <c r="BW376" s="992"/>
      <c r="BX376" s="992"/>
      <c r="BY376" s="992"/>
      <c r="BZ376" s="992"/>
      <c r="CA376" s="992"/>
      <c r="CB376" s="992"/>
      <c r="CC376" s="992"/>
      <c r="CD376" s="992"/>
      <c r="CE376" s="992"/>
      <c r="CF376" s="992"/>
      <c r="CG376" s="992"/>
      <c r="CH376" s="992"/>
      <c r="CI376" s="992"/>
      <c r="CJ376" s="992"/>
      <c r="CK376" s="992"/>
      <c r="CL376" s="992"/>
      <c r="CM376" s="992"/>
      <c r="CN376" s="992"/>
      <c r="CO376" s="992"/>
      <c r="CP376" s="992"/>
      <c r="CQ376" s="992"/>
      <c r="CR376" s="992"/>
      <c r="CS376" s="992"/>
      <c r="CT376" s="992"/>
      <c r="CU376" s="992"/>
      <c r="CV376" s="992"/>
      <c r="CW376" s="992"/>
      <c r="CX376" s="992"/>
      <c r="CY376" s="992"/>
    </row>
    <row r="377" spans="1:103" s="992" customFormat="1" ht="89.25" x14ac:dyDescent="0.25">
      <c r="A377" s="1020">
        <v>2022372</v>
      </c>
      <c r="B377" s="1020">
        <v>7658</v>
      </c>
      <c r="C377" s="1020" t="s">
        <v>673</v>
      </c>
      <c r="D377" s="1036" t="s">
        <v>702</v>
      </c>
      <c r="E377" s="1037">
        <v>80111600</v>
      </c>
      <c r="F377" s="1023" t="s">
        <v>1016</v>
      </c>
      <c r="G377" s="1038" t="s">
        <v>1743</v>
      </c>
      <c r="H377" s="1138" t="s">
        <v>1743</v>
      </c>
      <c r="I377" s="1039" t="s">
        <v>1793</v>
      </c>
      <c r="J377" s="1040" t="s">
        <v>1783</v>
      </c>
      <c r="K377" s="1024" t="s">
        <v>678</v>
      </c>
      <c r="L377" s="1085" t="s">
        <v>679</v>
      </c>
      <c r="M377" s="1027">
        <v>63036000</v>
      </c>
      <c r="N377" s="1080" t="s">
        <v>747</v>
      </c>
      <c r="O377" s="1080" t="s">
        <v>1815</v>
      </c>
      <c r="P377" s="1080"/>
      <c r="Q377" s="1024"/>
      <c r="R377" s="1019"/>
      <c r="S377" s="1127">
        <v>367</v>
      </c>
      <c r="T377" s="1153">
        <v>61200000</v>
      </c>
    </row>
    <row r="378" spans="1:103" s="992" customFormat="1" ht="89.25" x14ac:dyDescent="0.25">
      <c r="A378" s="1020">
        <v>2022373</v>
      </c>
      <c r="B378" s="1020">
        <v>7658</v>
      </c>
      <c r="C378" s="1020" t="s">
        <v>673</v>
      </c>
      <c r="D378" s="1036" t="s">
        <v>702</v>
      </c>
      <c r="E378" s="1037">
        <v>80111600</v>
      </c>
      <c r="F378" s="1023" t="s">
        <v>1016</v>
      </c>
      <c r="G378" s="1038" t="s">
        <v>1743</v>
      </c>
      <c r="H378" s="1138" t="s">
        <v>1743</v>
      </c>
      <c r="I378" s="1039" t="s">
        <v>1791</v>
      </c>
      <c r="J378" s="1040" t="s">
        <v>1783</v>
      </c>
      <c r="K378" s="1024" t="s">
        <v>678</v>
      </c>
      <c r="L378" s="1085" t="s">
        <v>679</v>
      </c>
      <c r="M378" s="1027">
        <v>39700000</v>
      </c>
      <c r="N378" s="1080" t="s">
        <v>747</v>
      </c>
      <c r="O378" s="1080" t="s">
        <v>1815</v>
      </c>
      <c r="P378" s="1080"/>
      <c r="Q378" s="1024"/>
      <c r="R378" s="1019"/>
      <c r="S378" s="1127">
        <v>291</v>
      </c>
      <c r="T378" s="1153">
        <v>38500000</v>
      </c>
    </row>
    <row r="379" spans="1:103" s="992" customFormat="1" ht="89.25" x14ac:dyDescent="0.25">
      <c r="A379" s="1020">
        <v>2022374</v>
      </c>
      <c r="B379" s="1020">
        <v>7658</v>
      </c>
      <c r="C379" s="1020" t="s">
        <v>673</v>
      </c>
      <c r="D379" s="1036" t="s">
        <v>702</v>
      </c>
      <c r="E379" s="1037">
        <v>80111600</v>
      </c>
      <c r="F379" s="1023" t="s">
        <v>1016</v>
      </c>
      <c r="G379" s="1038" t="s">
        <v>1743</v>
      </c>
      <c r="H379" s="1138" t="s">
        <v>1743</v>
      </c>
      <c r="I379" s="1039" t="s">
        <v>1746</v>
      </c>
      <c r="J379" s="1040" t="s">
        <v>1783</v>
      </c>
      <c r="K379" s="1024" t="s">
        <v>678</v>
      </c>
      <c r="L379" s="1085" t="s">
        <v>679</v>
      </c>
      <c r="M379" s="1027">
        <v>50985000</v>
      </c>
      <c r="N379" s="1080" t="s">
        <v>747</v>
      </c>
      <c r="O379" s="1080" t="s">
        <v>1815</v>
      </c>
      <c r="P379" s="1080"/>
      <c r="Q379" s="1024"/>
      <c r="R379" s="1019"/>
      <c r="S379" s="1127">
        <v>330</v>
      </c>
      <c r="T379" s="1153">
        <v>49500000</v>
      </c>
    </row>
    <row r="380" spans="1:103" s="992" customFormat="1" ht="89.25" x14ac:dyDescent="0.25">
      <c r="A380" s="1020">
        <v>2022375</v>
      </c>
      <c r="B380" s="1020">
        <v>7658</v>
      </c>
      <c r="C380" s="1020" t="s">
        <v>673</v>
      </c>
      <c r="D380" s="1036" t="s">
        <v>702</v>
      </c>
      <c r="E380" s="1037">
        <v>80111600</v>
      </c>
      <c r="F380" s="1023" t="s">
        <v>1017</v>
      </c>
      <c r="G380" s="1038" t="s">
        <v>1743</v>
      </c>
      <c r="H380" s="1138" t="s">
        <v>1743</v>
      </c>
      <c r="I380" s="1039" t="s">
        <v>1793</v>
      </c>
      <c r="J380" s="1040" t="s">
        <v>1783</v>
      </c>
      <c r="K380" s="1024" t="s">
        <v>678</v>
      </c>
      <c r="L380" s="1085" t="s">
        <v>679</v>
      </c>
      <c r="M380" s="1027">
        <v>55620000</v>
      </c>
      <c r="N380" s="1080" t="s">
        <v>747</v>
      </c>
      <c r="O380" s="1080" t="s">
        <v>1815</v>
      </c>
      <c r="P380" s="1080"/>
      <c r="Q380" s="1024"/>
      <c r="R380" s="1019"/>
      <c r="S380" s="1127">
        <v>211</v>
      </c>
      <c r="T380" s="1153">
        <v>54000000</v>
      </c>
    </row>
    <row r="381" spans="1:103" s="992" customFormat="1" ht="89.25" x14ac:dyDescent="0.25">
      <c r="A381" s="1020">
        <v>2022376</v>
      </c>
      <c r="B381" s="1020">
        <v>7658</v>
      </c>
      <c r="C381" s="1020" t="s">
        <v>673</v>
      </c>
      <c r="D381" s="1036" t="s">
        <v>702</v>
      </c>
      <c r="E381" s="1037">
        <v>80111600</v>
      </c>
      <c r="F381" s="1023" t="s">
        <v>1018</v>
      </c>
      <c r="G381" s="1038" t="s">
        <v>1743</v>
      </c>
      <c r="H381" s="1138" t="s">
        <v>1743</v>
      </c>
      <c r="I381" s="1039" t="s">
        <v>1793</v>
      </c>
      <c r="J381" s="1040" t="s">
        <v>1783</v>
      </c>
      <c r="K381" s="1024" t="s">
        <v>678</v>
      </c>
      <c r="L381" s="1085" t="s">
        <v>679</v>
      </c>
      <c r="M381" s="1027">
        <v>55620000</v>
      </c>
      <c r="N381" s="1080" t="s">
        <v>747</v>
      </c>
      <c r="O381" s="1080" t="s">
        <v>1815</v>
      </c>
      <c r="P381" s="1080"/>
      <c r="Q381" s="1024"/>
      <c r="R381" s="1019"/>
      <c r="S381" s="1127">
        <v>269</v>
      </c>
      <c r="T381" s="1153">
        <v>54000000</v>
      </c>
    </row>
    <row r="382" spans="1:103" s="992" customFormat="1" ht="89.25" x14ac:dyDescent="0.25">
      <c r="A382" s="1020">
        <v>2022377</v>
      </c>
      <c r="B382" s="1020">
        <v>7658</v>
      </c>
      <c r="C382" s="1020" t="s">
        <v>673</v>
      </c>
      <c r="D382" s="1036" t="s">
        <v>702</v>
      </c>
      <c r="E382" s="1037">
        <v>80111600</v>
      </c>
      <c r="F382" s="1023" t="s">
        <v>1019</v>
      </c>
      <c r="G382" s="1038" t="s">
        <v>1743</v>
      </c>
      <c r="H382" s="1138" t="s">
        <v>1743</v>
      </c>
      <c r="I382" s="1039" t="s">
        <v>1793</v>
      </c>
      <c r="J382" s="1040" t="s">
        <v>1783</v>
      </c>
      <c r="K382" s="1024" t="s">
        <v>678</v>
      </c>
      <c r="L382" s="1085" t="s">
        <v>679</v>
      </c>
      <c r="M382" s="1027">
        <v>55620000</v>
      </c>
      <c r="N382" s="1080" t="s">
        <v>747</v>
      </c>
      <c r="O382" s="1080" t="s">
        <v>1815</v>
      </c>
      <c r="P382" s="1080"/>
      <c r="Q382" s="1024"/>
      <c r="R382" s="1019"/>
      <c r="S382" s="1127">
        <v>270</v>
      </c>
      <c r="T382" s="1153">
        <v>54000000</v>
      </c>
    </row>
    <row r="383" spans="1:103" s="992" customFormat="1" ht="89.25" x14ac:dyDescent="0.25">
      <c r="A383" s="1020">
        <v>2022378</v>
      </c>
      <c r="B383" s="1020">
        <v>7658</v>
      </c>
      <c r="C383" s="1020" t="s">
        <v>673</v>
      </c>
      <c r="D383" s="1036" t="s">
        <v>702</v>
      </c>
      <c r="E383" s="1037">
        <v>80111600</v>
      </c>
      <c r="F383" s="1023" t="s">
        <v>1020</v>
      </c>
      <c r="G383" s="1038" t="s">
        <v>1743</v>
      </c>
      <c r="H383" s="1138" t="s">
        <v>1743</v>
      </c>
      <c r="I383" s="1039" t="s">
        <v>1793</v>
      </c>
      <c r="J383" s="1040" t="s">
        <v>1783</v>
      </c>
      <c r="K383" s="1024" t="s">
        <v>678</v>
      </c>
      <c r="L383" s="1085" t="s">
        <v>679</v>
      </c>
      <c r="M383" s="1027">
        <v>55620000</v>
      </c>
      <c r="N383" s="1080" t="s">
        <v>747</v>
      </c>
      <c r="O383" s="1080" t="s">
        <v>1815</v>
      </c>
      <c r="P383" s="1080"/>
      <c r="Q383" s="1024"/>
      <c r="R383" s="1019"/>
      <c r="S383" s="1127">
        <v>201</v>
      </c>
      <c r="T383" s="1153">
        <v>54000000</v>
      </c>
    </row>
    <row r="384" spans="1:103" s="992" customFormat="1" ht="89.25" x14ac:dyDescent="0.25">
      <c r="A384" s="1020">
        <v>2022379</v>
      </c>
      <c r="B384" s="1020">
        <v>7658</v>
      </c>
      <c r="C384" s="1020" t="s">
        <v>673</v>
      </c>
      <c r="D384" s="1036" t="s">
        <v>702</v>
      </c>
      <c r="E384" s="1037">
        <v>80111600</v>
      </c>
      <c r="F384" s="1023" t="s">
        <v>1021</v>
      </c>
      <c r="G384" s="1038" t="s">
        <v>1743</v>
      </c>
      <c r="H384" s="1138" t="s">
        <v>1743</v>
      </c>
      <c r="I384" s="1039" t="s">
        <v>1746</v>
      </c>
      <c r="J384" s="1040" t="s">
        <v>1783</v>
      </c>
      <c r="K384" s="1024" t="s">
        <v>678</v>
      </c>
      <c r="L384" s="1085" t="s">
        <v>679</v>
      </c>
      <c r="M384" s="1027">
        <v>50985000</v>
      </c>
      <c r="N384" s="1080" t="s">
        <v>747</v>
      </c>
      <c r="O384" s="1080" t="s">
        <v>1815</v>
      </c>
      <c r="P384" s="1080"/>
      <c r="Q384" s="1024"/>
      <c r="R384" s="1019"/>
      <c r="S384" s="1127">
        <v>296</v>
      </c>
      <c r="T384" s="1153">
        <v>49500000</v>
      </c>
    </row>
    <row r="385" spans="1:20" s="992" customFormat="1" ht="89.25" x14ac:dyDescent="0.25">
      <c r="A385" s="1020">
        <v>2022380</v>
      </c>
      <c r="B385" s="1020">
        <v>7658</v>
      </c>
      <c r="C385" s="1020" t="s">
        <v>673</v>
      </c>
      <c r="D385" s="1036" t="s">
        <v>702</v>
      </c>
      <c r="E385" s="1037">
        <v>80111600</v>
      </c>
      <c r="F385" s="1023" t="s">
        <v>1022</v>
      </c>
      <c r="G385" s="1038" t="s">
        <v>1743</v>
      </c>
      <c r="H385" s="1138" t="s">
        <v>1743</v>
      </c>
      <c r="I385" s="1039" t="s">
        <v>1746</v>
      </c>
      <c r="J385" s="1040" t="s">
        <v>1783</v>
      </c>
      <c r="K385" s="1024" t="s">
        <v>678</v>
      </c>
      <c r="L385" s="1085" t="s">
        <v>679</v>
      </c>
      <c r="M385" s="1027">
        <v>50985000</v>
      </c>
      <c r="N385" s="1080" t="s">
        <v>747</v>
      </c>
      <c r="O385" s="1080" t="s">
        <v>1815</v>
      </c>
      <c r="P385" s="1080"/>
      <c r="Q385" s="1024"/>
      <c r="R385" s="1019"/>
      <c r="S385" s="1127">
        <v>356</v>
      </c>
      <c r="T385" s="1153">
        <v>49500000</v>
      </c>
    </row>
    <row r="386" spans="1:20" s="992" customFormat="1" ht="89.25" x14ac:dyDescent="0.25">
      <c r="A386" s="1020">
        <v>2022381</v>
      </c>
      <c r="B386" s="1020">
        <v>7658</v>
      </c>
      <c r="C386" s="1020" t="s">
        <v>673</v>
      </c>
      <c r="D386" s="1036" t="s">
        <v>702</v>
      </c>
      <c r="E386" s="1037">
        <v>80111600</v>
      </c>
      <c r="F386" s="1023" t="s">
        <v>1023</v>
      </c>
      <c r="G386" s="1038" t="s">
        <v>1743</v>
      </c>
      <c r="H386" s="1138" t="s">
        <v>1743</v>
      </c>
      <c r="I386" s="1039" t="s">
        <v>1793</v>
      </c>
      <c r="J386" s="1040" t="s">
        <v>1783</v>
      </c>
      <c r="K386" s="1024" t="s">
        <v>678</v>
      </c>
      <c r="L386" s="1085" t="s">
        <v>679</v>
      </c>
      <c r="M386" s="1027">
        <v>84000000</v>
      </c>
      <c r="N386" s="1080" t="s">
        <v>747</v>
      </c>
      <c r="O386" s="1080" t="s">
        <v>1815</v>
      </c>
      <c r="P386" s="1080"/>
      <c r="Q386" s="1024"/>
      <c r="R386" s="1019"/>
      <c r="S386" s="1127">
        <v>202</v>
      </c>
      <c r="T386" s="1153">
        <v>81600000</v>
      </c>
    </row>
    <row r="387" spans="1:20" s="992" customFormat="1" ht="89.25" x14ac:dyDescent="0.25">
      <c r="A387" s="1020">
        <v>2022382</v>
      </c>
      <c r="B387" s="1020">
        <v>7658</v>
      </c>
      <c r="C387" s="1020" t="s">
        <v>673</v>
      </c>
      <c r="D387" s="1036" t="s">
        <v>702</v>
      </c>
      <c r="E387" s="1037">
        <v>80111600</v>
      </c>
      <c r="F387" s="1023" t="s">
        <v>1024</v>
      </c>
      <c r="G387" s="1038" t="s">
        <v>1743</v>
      </c>
      <c r="H387" s="1138" t="s">
        <v>1743</v>
      </c>
      <c r="I387" s="1039" t="s">
        <v>1793</v>
      </c>
      <c r="J387" s="1040" t="s">
        <v>1783</v>
      </c>
      <c r="K387" s="1024" t="s">
        <v>678</v>
      </c>
      <c r="L387" s="1085" t="s">
        <v>679</v>
      </c>
      <c r="M387" s="1027">
        <v>84000000</v>
      </c>
      <c r="N387" s="1080" t="s">
        <v>747</v>
      </c>
      <c r="O387" s="1080" t="s">
        <v>1815</v>
      </c>
      <c r="P387" s="1080"/>
      <c r="Q387" s="1024"/>
      <c r="R387" s="1019"/>
      <c r="S387" s="1127">
        <v>343</v>
      </c>
      <c r="T387" s="1153">
        <v>81600000</v>
      </c>
    </row>
    <row r="388" spans="1:20" s="992" customFormat="1" ht="89.25" x14ac:dyDescent="0.25">
      <c r="A388" s="1020">
        <v>2022383</v>
      </c>
      <c r="B388" s="1020">
        <v>7658</v>
      </c>
      <c r="C388" s="1020" t="s">
        <v>673</v>
      </c>
      <c r="D388" s="1036" t="s">
        <v>702</v>
      </c>
      <c r="E388" s="1037">
        <v>80111600</v>
      </c>
      <c r="F388" s="1023" t="s">
        <v>1025</v>
      </c>
      <c r="G388" s="1038" t="s">
        <v>1743</v>
      </c>
      <c r="H388" s="1138" t="s">
        <v>1743</v>
      </c>
      <c r="I388" s="1039" t="s">
        <v>1793</v>
      </c>
      <c r="J388" s="1040" t="s">
        <v>1783</v>
      </c>
      <c r="K388" s="1024" t="s">
        <v>678</v>
      </c>
      <c r="L388" s="1085" t="s">
        <v>679</v>
      </c>
      <c r="M388" s="1027">
        <v>84000000</v>
      </c>
      <c r="N388" s="1080" t="s">
        <v>747</v>
      </c>
      <c r="O388" s="1080" t="s">
        <v>1815</v>
      </c>
      <c r="P388" s="1080"/>
      <c r="Q388" s="1024"/>
      <c r="R388" s="1019"/>
      <c r="S388" s="1127">
        <v>323</v>
      </c>
      <c r="T388" s="1153">
        <v>81600000</v>
      </c>
    </row>
    <row r="389" spans="1:20" s="992" customFormat="1" ht="89.25" x14ac:dyDescent="0.25">
      <c r="A389" s="1020">
        <v>2022384</v>
      </c>
      <c r="B389" s="1020">
        <v>7658</v>
      </c>
      <c r="C389" s="1020" t="s">
        <v>673</v>
      </c>
      <c r="D389" s="1036" t="s">
        <v>702</v>
      </c>
      <c r="E389" s="1037">
        <v>80111600</v>
      </c>
      <c r="F389" s="1023" t="s">
        <v>1026</v>
      </c>
      <c r="G389" s="1038" t="s">
        <v>1743</v>
      </c>
      <c r="H389" s="1138" t="s">
        <v>1743</v>
      </c>
      <c r="I389" s="1039" t="s">
        <v>1793</v>
      </c>
      <c r="J389" s="1040" t="s">
        <v>1783</v>
      </c>
      <c r="K389" s="1024" t="s">
        <v>678</v>
      </c>
      <c r="L389" s="1085" t="s">
        <v>679</v>
      </c>
      <c r="M389" s="1027">
        <v>84000000</v>
      </c>
      <c r="N389" s="1080" t="s">
        <v>747</v>
      </c>
      <c r="O389" s="1080" t="s">
        <v>1815</v>
      </c>
      <c r="P389" s="1080"/>
      <c r="Q389" s="1024"/>
      <c r="R389" s="1019"/>
      <c r="S389" s="1127">
        <v>475</v>
      </c>
      <c r="T389" s="1153">
        <v>27000000</v>
      </c>
    </row>
    <row r="390" spans="1:20" s="992" customFormat="1" ht="89.25" x14ac:dyDescent="0.25">
      <c r="A390" s="1020">
        <v>2022385</v>
      </c>
      <c r="B390" s="1020">
        <v>7658</v>
      </c>
      <c r="C390" s="1020" t="s">
        <v>673</v>
      </c>
      <c r="D390" s="1036" t="s">
        <v>702</v>
      </c>
      <c r="E390" s="1037">
        <v>80111600</v>
      </c>
      <c r="F390" s="1023" t="s">
        <v>1027</v>
      </c>
      <c r="G390" s="1038" t="s">
        <v>1743</v>
      </c>
      <c r="H390" s="1138" t="s">
        <v>1743</v>
      </c>
      <c r="I390" s="1039" t="s">
        <v>1793</v>
      </c>
      <c r="J390" s="1040" t="s">
        <v>1783</v>
      </c>
      <c r="K390" s="1024" t="s">
        <v>678</v>
      </c>
      <c r="L390" s="1085" t="s">
        <v>679</v>
      </c>
      <c r="M390" s="1027">
        <v>84000000</v>
      </c>
      <c r="N390" s="1080" t="s">
        <v>747</v>
      </c>
      <c r="O390" s="1080" t="s">
        <v>1815</v>
      </c>
      <c r="P390" s="1080"/>
      <c r="Q390" s="1024"/>
      <c r="R390" s="1019"/>
      <c r="S390" s="1127">
        <v>342</v>
      </c>
      <c r="T390" s="1153">
        <v>81600000</v>
      </c>
    </row>
    <row r="391" spans="1:20" s="992" customFormat="1" ht="89.25" x14ac:dyDescent="0.25">
      <c r="A391" s="1020">
        <v>2022386</v>
      </c>
      <c r="B391" s="1020">
        <v>7658</v>
      </c>
      <c r="C391" s="1020" t="s">
        <v>673</v>
      </c>
      <c r="D391" s="1036" t="s">
        <v>702</v>
      </c>
      <c r="E391" s="1037">
        <v>80111600</v>
      </c>
      <c r="F391" s="1023" t="s">
        <v>1028</v>
      </c>
      <c r="G391" s="1038" t="s">
        <v>1743</v>
      </c>
      <c r="H391" s="1138" t="s">
        <v>1743</v>
      </c>
      <c r="I391" s="1039" t="s">
        <v>1793</v>
      </c>
      <c r="J391" s="1040" t="s">
        <v>1783</v>
      </c>
      <c r="K391" s="1024" t="s">
        <v>678</v>
      </c>
      <c r="L391" s="1085" t="s">
        <v>679</v>
      </c>
      <c r="M391" s="1027">
        <v>84000000</v>
      </c>
      <c r="N391" s="1080" t="s">
        <v>747</v>
      </c>
      <c r="O391" s="1080" t="s">
        <v>1815</v>
      </c>
      <c r="P391" s="1080"/>
      <c r="Q391" s="1024"/>
      <c r="R391" s="1019"/>
      <c r="S391" s="1127">
        <v>327</v>
      </c>
      <c r="T391" s="1153">
        <v>81600000</v>
      </c>
    </row>
    <row r="392" spans="1:20" s="992" customFormat="1" ht="89.25" x14ac:dyDescent="0.25">
      <c r="A392" s="1020">
        <v>2022387</v>
      </c>
      <c r="B392" s="1020">
        <v>7658</v>
      </c>
      <c r="C392" s="1020" t="s">
        <v>673</v>
      </c>
      <c r="D392" s="1036" t="s">
        <v>702</v>
      </c>
      <c r="E392" s="1037">
        <v>80111600</v>
      </c>
      <c r="F392" s="1023" t="s">
        <v>1029</v>
      </c>
      <c r="G392" s="1038" t="s">
        <v>1743</v>
      </c>
      <c r="H392" s="1138" t="s">
        <v>1743</v>
      </c>
      <c r="I392" s="1039" t="s">
        <v>1793</v>
      </c>
      <c r="J392" s="1040" t="s">
        <v>1783</v>
      </c>
      <c r="K392" s="1024" t="s">
        <v>678</v>
      </c>
      <c r="L392" s="1085" t="s">
        <v>679</v>
      </c>
      <c r="M392" s="1027">
        <v>90000000</v>
      </c>
      <c r="N392" s="1080" t="s">
        <v>747</v>
      </c>
      <c r="O392" s="1080" t="s">
        <v>1815</v>
      </c>
      <c r="P392" s="1080"/>
      <c r="Q392" s="1024"/>
      <c r="R392" s="1019"/>
      <c r="S392" s="1127">
        <v>329</v>
      </c>
      <c r="T392" s="1153">
        <v>87600000</v>
      </c>
    </row>
    <row r="393" spans="1:20" s="992" customFormat="1" ht="102" x14ac:dyDescent="0.25">
      <c r="A393" s="1010">
        <v>2022388</v>
      </c>
      <c r="B393" s="1010">
        <v>7658</v>
      </c>
      <c r="C393" s="1010" t="s">
        <v>673</v>
      </c>
      <c r="D393" s="1042" t="s">
        <v>693</v>
      </c>
      <c r="E393" s="1048" t="s">
        <v>1870</v>
      </c>
      <c r="F393" s="1013" t="s">
        <v>1871</v>
      </c>
      <c r="G393" s="1015" t="s">
        <v>1872</v>
      </c>
      <c r="H393" s="1138" t="s">
        <v>1873</v>
      </c>
      <c r="I393" s="1015">
        <v>10</v>
      </c>
      <c r="J393" s="1046" t="s">
        <v>1874</v>
      </c>
      <c r="K393" s="1014" t="s">
        <v>678</v>
      </c>
      <c r="L393" s="1016" t="s">
        <v>679</v>
      </c>
      <c r="M393" s="1017">
        <v>650000000</v>
      </c>
      <c r="N393" s="1034" t="s">
        <v>741</v>
      </c>
      <c r="O393" s="1034" t="s">
        <v>1875</v>
      </c>
      <c r="P393" s="1034"/>
      <c r="Q393" s="1014"/>
      <c r="R393" s="1019"/>
      <c r="S393" s="1127"/>
      <c r="T393" s="1153"/>
    </row>
    <row r="394" spans="1:20" s="992" customFormat="1" ht="102" x14ac:dyDescent="0.25">
      <c r="A394" s="1010">
        <v>2022389</v>
      </c>
      <c r="B394" s="1010">
        <v>7658</v>
      </c>
      <c r="C394" s="1010" t="s">
        <v>673</v>
      </c>
      <c r="D394" s="1042" t="s">
        <v>693</v>
      </c>
      <c r="E394" s="1048" t="s">
        <v>1030</v>
      </c>
      <c r="F394" s="1013" t="s">
        <v>1876</v>
      </c>
      <c r="G394" s="1015" t="s">
        <v>1872</v>
      </c>
      <c r="H394" s="1138" t="s">
        <v>1873</v>
      </c>
      <c r="I394" s="1015">
        <v>8</v>
      </c>
      <c r="J394" s="1046" t="s">
        <v>1874</v>
      </c>
      <c r="K394" s="1014" t="s">
        <v>678</v>
      </c>
      <c r="L394" s="1016" t="s">
        <v>679</v>
      </c>
      <c r="M394" s="1017">
        <v>816036232</v>
      </c>
      <c r="N394" s="1034" t="s">
        <v>741</v>
      </c>
      <c r="O394" s="1034" t="s">
        <v>1875</v>
      </c>
      <c r="P394" s="1034"/>
      <c r="Q394" s="1014"/>
      <c r="R394" s="1019"/>
      <c r="S394" s="1127"/>
      <c r="T394" s="1153"/>
    </row>
    <row r="395" spans="1:20" s="992" customFormat="1" ht="114.75" x14ac:dyDescent="0.25">
      <c r="A395" s="1020">
        <v>2022390</v>
      </c>
      <c r="B395" s="1020">
        <v>7658</v>
      </c>
      <c r="C395" s="1020" t="s">
        <v>673</v>
      </c>
      <c r="D395" s="1036" t="s">
        <v>693</v>
      </c>
      <c r="E395" s="1083" t="s">
        <v>1030</v>
      </c>
      <c r="F395" s="1023" t="s">
        <v>1034</v>
      </c>
      <c r="G395" s="1038" t="s">
        <v>1743</v>
      </c>
      <c r="H395" s="1138" t="s">
        <v>1749</v>
      </c>
      <c r="I395" s="1025">
        <v>2</v>
      </c>
      <c r="J395" s="1040" t="s">
        <v>1874</v>
      </c>
      <c r="K395" s="1024" t="s">
        <v>678</v>
      </c>
      <c r="L395" s="1026" t="s">
        <v>679</v>
      </c>
      <c r="M395" s="1027">
        <v>183963768</v>
      </c>
      <c r="N395" s="1080" t="s">
        <v>741</v>
      </c>
      <c r="O395" s="1080" t="s">
        <v>1875</v>
      </c>
      <c r="P395" s="1080"/>
      <c r="Q395" s="1024"/>
      <c r="R395" s="1019"/>
      <c r="S395" s="1127">
        <v>519</v>
      </c>
      <c r="T395" s="1153">
        <v>183963768</v>
      </c>
    </row>
    <row r="396" spans="1:20" s="992" customFormat="1" ht="102" x14ac:dyDescent="0.25">
      <c r="A396" s="1010">
        <v>2022391</v>
      </c>
      <c r="B396" s="1010">
        <v>7658</v>
      </c>
      <c r="C396" s="1010" t="s">
        <v>673</v>
      </c>
      <c r="D396" s="1042" t="s">
        <v>693</v>
      </c>
      <c r="E396" s="1048" t="s">
        <v>1877</v>
      </c>
      <c r="F396" s="1013" t="s">
        <v>1878</v>
      </c>
      <c r="G396" s="1015" t="s">
        <v>1879</v>
      </c>
      <c r="H396" s="1138" t="s">
        <v>1880</v>
      </c>
      <c r="I396" s="1015">
        <v>8</v>
      </c>
      <c r="J396" s="1046" t="s">
        <v>1874</v>
      </c>
      <c r="K396" s="1014" t="s">
        <v>774</v>
      </c>
      <c r="L396" s="1016" t="s">
        <v>962</v>
      </c>
      <c r="M396" s="1017">
        <v>617440000</v>
      </c>
      <c r="N396" s="1034" t="s">
        <v>741</v>
      </c>
      <c r="O396" s="1034" t="s">
        <v>1875</v>
      </c>
      <c r="P396" s="1034"/>
      <c r="Q396" s="1014"/>
      <c r="R396" s="1019"/>
      <c r="S396" s="1127"/>
      <c r="T396" s="1153"/>
    </row>
    <row r="397" spans="1:20" s="992" customFormat="1" ht="114.75" x14ac:dyDescent="0.25">
      <c r="A397" s="1010">
        <v>2022392</v>
      </c>
      <c r="B397" s="1010">
        <v>7658</v>
      </c>
      <c r="C397" s="1010" t="s">
        <v>673</v>
      </c>
      <c r="D397" s="1042" t="s">
        <v>693</v>
      </c>
      <c r="E397" s="1086" t="s">
        <v>1881</v>
      </c>
      <c r="F397" s="1013" t="s">
        <v>1882</v>
      </c>
      <c r="G397" s="1015" t="s">
        <v>1879</v>
      </c>
      <c r="H397" s="1138" t="s">
        <v>1880</v>
      </c>
      <c r="I397" s="1015">
        <v>8</v>
      </c>
      <c r="J397" s="1046" t="s">
        <v>1861</v>
      </c>
      <c r="K397" s="1014" t="s">
        <v>678</v>
      </c>
      <c r="L397" s="1016" t="s">
        <v>679</v>
      </c>
      <c r="M397" s="1017">
        <v>300000000</v>
      </c>
      <c r="N397" s="1034" t="s">
        <v>741</v>
      </c>
      <c r="O397" s="1034" t="s">
        <v>1875</v>
      </c>
      <c r="P397" s="1034"/>
      <c r="Q397" s="1014"/>
      <c r="R397" s="1019"/>
      <c r="S397" s="1127"/>
      <c r="T397" s="1153"/>
    </row>
    <row r="398" spans="1:20" s="992" customFormat="1" ht="102" x14ac:dyDescent="0.25">
      <c r="A398" s="1010">
        <v>2022393</v>
      </c>
      <c r="B398" s="1010">
        <v>7658</v>
      </c>
      <c r="C398" s="1010" t="s">
        <v>673</v>
      </c>
      <c r="D398" s="1042" t="s">
        <v>693</v>
      </c>
      <c r="E398" s="1086" t="s">
        <v>1883</v>
      </c>
      <c r="F398" s="1013" t="s">
        <v>1039</v>
      </c>
      <c r="G398" s="1015" t="s">
        <v>1879</v>
      </c>
      <c r="H398" s="1138" t="s">
        <v>1880</v>
      </c>
      <c r="I398" s="1015">
        <v>8</v>
      </c>
      <c r="J398" s="1046" t="s">
        <v>1884</v>
      </c>
      <c r="K398" s="1014" t="s">
        <v>678</v>
      </c>
      <c r="L398" s="1016" t="s">
        <v>679</v>
      </c>
      <c r="M398" s="1017">
        <v>200000000</v>
      </c>
      <c r="N398" s="1034" t="s">
        <v>741</v>
      </c>
      <c r="O398" s="1034" t="s">
        <v>1875</v>
      </c>
      <c r="P398" s="1034"/>
      <c r="Q398" s="1014"/>
      <c r="R398" s="1019"/>
      <c r="S398" s="1127"/>
      <c r="T398" s="1153"/>
    </row>
    <row r="399" spans="1:20" s="992" customFormat="1" ht="102" x14ac:dyDescent="0.25">
      <c r="A399" s="1010">
        <v>2022394</v>
      </c>
      <c r="B399" s="1010">
        <v>7658</v>
      </c>
      <c r="C399" s="1010" t="s">
        <v>673</v>
      </c>
      <c r="D399" s="1042" t="s">
        <v>693</v>
      </c>
      <c r="E399" s="1087" t="s">
        <v>1885</v>
      </c>
      <c r="F399" s="1013" t="s">
        <v>1886</v>
      </c>
      <c r="G399" s="1014" t="s">
        <v>1880</v>
      </c>
      <c r="H399" s="1138" t="s">
        <v>1887</v>
      </c>
      <c r="I399" s="1014">
        <v>6</v>
      </c>
      <c r="J399" s="1046" t="s">
        <v>1884</v>
      </c>
      <c r="K399" s="1014" t="s">
        <v>678</v>
      </c>
      <c r="L399" s="1016" t="s">
        <v>679</v>
      </c>
      <c r="M399" s="1017">
        <f>150000000-76286376</f>
        <v>73713624</v>
      </c>
      <c r="N399" s="1034" t="s">
        <v>741</v>
      </c>
      <c r="O399" s="1034" t="s">
        <v>1875</v>
      </c>
      <c r="P399" s="1034"/>
      <c r="Q399" s="1044">
        <v>44600</v>
      </c>
      <c r="R399" s="1019"/>
      <c r="S399" s="1127"/>
      <c r="T399" s="1153"/>
    </row>
    <row r="400" spans="1:20" s="992" customFormat="1" ht="102" x14ac:dyDescent="0.25">
      <c r="A400" s="1010">
        <v>2022395</v>
      </c>
      <c r="B400" s="1010">
        <v>7658</v>
      </c>
      <c r="C400" s="1010" t="s">
        <v>673</v>
      </c>
      <c r="D400" s="1042" t="s">
        <v>693</v>
      </c>
      <c r="E400" s="1087" t="s">
        <v>1888</v>
      </c>
      <c r="F400" s="1013" t="s">
        <v>1889</v>
      </c>
      <c r="G400" s="1014" t="s">
        <v>1887</v>
      </c>
      <c r="H400" s="1138" t="s">
        <v>1890</v>
      </c>
      <c r="I400" s="1014">
        <v>3</v>
      </c>
      <c r="J400" s="1046" t="s">
        <v>1874</v>
      </c>
      <c r="K400" s="1014" t="s">
        <v>774</v>
      </c>
      <c r="L400" s="1016" t="s">
        <v>962</v>
      </c>
      <c r="M400" s="1017">
        <v>400000000</v>
      </c>
      <c r="N400" s="1034" t="s">
        <v>741</v>
      </c>
      <c r="O400" s="1034" t="s">
        <v>1875</v>
      </c>
      <c r="P400" s="1034"/>
      <c r="Q400" s="1014"/>
      <c r="R400" s="1019"/>
      <c r="S400" s="1127"/>
      <c r="T400" s="1153"/>
    </row>
    <row r="401" spans="1:20" s="992" customFormat="1" ht="102" x14ac:dyDescent="0.25">
      <c r="A401" s="1010">
        <v>2022396</v>
      </c>
      <c r="B401" s="1010">
        <v>7658</v>
      </c>
      <c r="C401" s="1010" t="s">
        <v>673</v>
      </c>
      <c r="D401" s="1042" t="s">
        <v>693</v>
      </c>
      <c r="E401" s="1087" t="s">
        <v>1883</v>
      </c>
      <c r="F401" s="1013" t="s">
        <v>1891</v>
      </c>
      <c r="G401" s="1014" t="s">
        <v>1892</v>
      </c>
      <c r="H401" s="1138" t="s">
        <v>1893</v>
      </c>
      <c r="I401" s="1014">
        <v>3</v>
      </c>
      <c r="J401" s="1046" t="s">
        <v>1874</v>
      </c>
      <c r="K401" s="1014" t="s">
        <v>678</v>
      </c>
      <c r="L401" s="1016" t="s">
        <v>679</v>
      </c>
      <c r="M401" s="1017">
        <v>300000000</v>
      </c>
      <c r="N401" s="1034" t="s">
        <v>741</v>
      </c>
      <c r="O401" s="1034" t="s">
        <v>1875</v>
      </c>
      <c r="P401" s="1034"/>
      <c r="Q401" s="1014"/>
      <c r="R401" s="1019"/>
      <c r="S401" s="1127"/>
      <c r="T401" s="1153"/>
    </row>
    <row r="402" spans="1:20" s="992" customFormat="1" ht="102" x14ac:dyDescent="0.25">
      <c r="A402" s="1010">
        <v>2022397</v>
      </c>
      <c r="B402" s="1010">
        <v>7658</v>
      </c>
      <c r="C402" s="1010" t="s">
        <v>673</v>
      </c>
      <c r="D402" s="1042" t="s">
        <v>693</v>
      </c>
      <c r="E402" s="1087" t="s">
        <v>1894</v>
      </c>
      <c r="F402" s="1013" t="s">
        <v>1895</v>
      </c>
      <c r="G402" s="1014" t="s">
        <v>1873</v>
      </c>
      <c r="H402" s="1138" t="s">
        <v>1892</v>
      </c>
      <c r="I402" s="1014">
        <v>2</v>
      </c>
      <c r="J402" s="1046" t="s">
        <v>1884</v>
      </c>
      <c r="K402" s="1014" t="s">
        <v>678</v>
      </c>
      <c r="L402" s="1016" t="s">
        <v>679</v>
      </c>
      <c r="M402" s="1017">
        <v>30000000</v>
      </c>
      <c r="N402" s="1034" t="s">
        <v>741</v>
      </c>
      <c r="O402" s="1034" t="s">
        <v>1875</v>
      </c>
      <c r="P402" s="1034"/>
      <c r="Q402" s="1014"/>
      <c r="R402" s="1019"/>
      <c r="S402" s="1127"/>
      <c r="T402" s="1153"/>
    </row>
    <row r="403" spans="1:20" s="992" customFormat="1" ht="102" x14ac:dyDescent="0.25">
      <c r="A403" s="1010">
        <v>2022398</v>
      </c>
      <c r="B403" s="1010">
        <v>7658</v>
      </c>
      <c r="C403" s="1010" t="s">
        <v>673</v>
      </c>
      <c r="D403" s="1042" t="s">
        <v>693</v>
      </c>
      <c r="E403" s="1087" t="s">
        <v>1896</v>
      </c>
      <c r="F403" s="1013" t="s">
        <v>1897</v>
      </c>
      <c r="G403" s="1014" t="s">
        <v>1880</v>
      </c>
      <c r="H403" s="1138" t="s">
        <v>1893</v>
      </c>
      <c r="I403" s="1014">
        <v>8</v>
      </c>
      <c r="J403" s="1046" t="s">
        <v>1884</v>
      </c>
      <c r="K403" s="1014" t="s">
        <v>678</v>
      </c>
      <c r="L403" s="1016" t="s">
        <v>679</v>
      </c>
      <c r="M403" s="1017">
        <v>10000000</v>
      </c>
      <c r="N403" s="1034" t="s">
        <v>741</v>
      </c>
      <c r="O403" s="1034" t="s">
        <v>1875</v>
      </c>
      <c r="P403" s="1034"/>
      <c r="Q403" s="1014"/>
      <c r="R403" s="1019"/>
      <c r="S403" s="1127"/>
      <c r="T403" s="1153"/>
    </row>
    <row r="404" spans="1:20" s="992" customFormat="1" ht="102" x14ac:dyDescent="0.25">
      <c r="A404" s="1010">
        <v>2022399</v>
      </c>
      <c r="B404" s="1010">
        <v>7658</v>
      </c>
      <c r="C404" s="1010" t="s">
        <v>673</v>
      </c>
      <c r="D404" s="1042" t="s">
        <v>693</v>
      </c>
      <c r="E404" s="1087" t="s">
        <v>1898</v>
      </c>
      <c r="F404" s="1013" t="s">
        <v>1899</v>
      </c>
      <c r="G404" s="1014" t="s">
        <v>1880</v>
      </c>
      <c r="H404" s="1138" t="s">
        <v>1893</v>
      </c>
      <c r="I404" s="1014">
        <v>8</v>
      </c>
      <c r="J404" s="1046" t="s">
        <v>1884</v>
      </c>
      <c r="K404" s="1014" t="s">
        <v>678</v>
      </c>
      <c r="L404" s="1016" t="s">
        <v>679</v>
      </c>
      <c r="M404" s="1017">
        <v>20000000</v>
      </c>
      <c r="N404" s="1034" t="s">
        <v>741</v>
      </c>
      <c r="O404" s="1034" t="s">
        <v>1875</v>
      </c>
      <c r="P404" s="1034"/>
      <c r="Q404" s="1014"/>
      <c r="R404" s="1019"/>
      <c r="S404" s="1127"/>
      <c r="T404" s="1153"/>
    </row>
    <row r="405" spans="1:20" s="992" customFormat="1" ht="102" x14ac:dyDescent="0.25">
      <c r="A405" s="1010">
        <v>2022400</v>
      </c>
      <c r="B405" s="1010">
        <v>7658</v>
      </c>
      <c r="C405" s="1010" t="s">
        <v>673</v>
      </c>
      <c r="D405" s="1042" t="s">
        <v>693</v>
      </c>
      <c r="E405" s="1087" t="s">
        <v>1044</v>
      </c>
      <c r="F405" s="1013" t="s">
        <v>1045</v>
      </c>
      <c r="G405" s="1014" t="s">
        <v>1880</v>
      </c>
      <c r="H405" s="1138" t="s">
        <v>1893</v>
      </c>
      <c r="I405" s="1014">
        <v>2</v>
      </c>
      <c r="J405" s="1046" t="s">
        <v>1884</v>
      </c>
      <c r="K405" s="1014" t="s">
        <v>678</v>
      </c>
      <c r="L405" s="1016" t="s">
        <v>679</v>
      </c>
      <c r="M405" s="1017">
        <v>50000000</v>
      </c>
      <c r="N405" s="1034" t="s">
        <v>741</v>
      </c>
      <c r="O405" s="1034" t="s">
        <v>1875</v>
      </c>
      <c r="P405" s="1034"/>
      <c r="Q405" s="1014"/>
      <c r="R405" s="1019"/>
      <c r="S405" s="1127"/>
      <c r="T405" s="1153"/>
    </row>
    <row r="406" spans="1:20" s="992" customFormat="1" ht="102" x14ac:dyDescent="0.25">
      <c r="A406" s="1010">
        <v>2022401</v>
      </c>
      <c r="B406" s="1010">
        <v>7658</v>
      </c>
      <c r="C406" s="1010" t="s">
        <v>673</v>
      </c>
      <c r="D406" s="1042" t="s">
        <v>693</v>
      </c>
      <c r="E406" s="1087" t="s">
        <v>1900</v>
      </c>
      <c r="F406" s="1013" t="s">
        <v>1901</v>
      </c>
      <c r="G406" s="1014" t="s">
        <v>1892</v>
      </c>
      <c r="H406" s="1138" t="s">
        <v>1890</v>
      </c>
      <c r="I406" s="1014">
        <v>6</v>
      </c>
      <c r="J406" s="1046" t="s">
        <v>1884</v>
      </c>
      <c r="K406" s="1014" t="s">
        <v>678</v>
      </c>
      <c r="L406" s="1016" t="s">
        <v>679</v>
      </c>
      <c r="M406" s="1017">
        <v>30000000</v>
      </c>
      <c r="N406" s="1034" t="s">
        <v>741</v>
      </c>
      <c r="O406" s="1034" t="s">
        <v>1875</v>
      </c>
      <c r="P406" s="1034"/>
      <c r="Q406" s="1014"/>
      <c r="R406" s="1019"/>
      <c r="S406" s="1127"/>
      <c r="T406" s="1153"/>
    </row>
    <row r="407" spans="1:20" s="992" customFormat="1" ht="102" x14ac:dyDescent="0.25">
      <c r="A407" s="1010">
        <v>2022402</v>
      </c>
      <c r="B407" s="1010">
        <v>7658</v>
      </c>
      <c r="C407" s="1010" t="s">
        <v>673</v>
      </c>
      <c r="D407" s="1042" t="s">
        <v>693</v>
      </c>
      <c r="E407" s="1088">
        <v>43232500</v>
      </c>
      <c r="F407" s="1013" t="s">
        <v>1902</v>
      </c>
      <c r="G407" s="1014" t="s">
        <v>1880</v>
      </c>
      <c r="H407" s="1138" t="s">
        <v>1893</v>
      </c>
      <c r="I407" s="1014">
        <v>6</v>
      </c>
      <c r="J407" s="1046" t="s">
        <v>1884</v>
      </c>
      <c r="K407" s="1014" t="s">
        <v>678</v>
      </c>
      <c r="L407" s="1016" t="s">
        <v>679</v>
      </c>
      <c r="M407" s="1017">
        <v>24560000</v>
      </c>
      <c r="N407" s="1034" t="s">
        <v>741</v>
      </c>
      <c r="O407" s="1034" t="s">
        <v>1875</v>
      </c>
      <c r="P407" s="1034"/>
      <c r="Q407" s="1014"/>
      <c r="R407" s="1019"/>
      <c r="S407" s="1127"/>
      <c r="T407" s="1153"/>
    </row>
    <row r="408" spans="1:20" s="992" customFormat="1" ht="102" x14ac:dyDescent="0.25">
      <c r="A408" s="1010">
        <v>2022403</v>
      </c>
      <c r="B408" s="1010">
        <v>7658</v>
      </c>
      <c r="C408" s="1010" t="s">
        <v>673</v>
      </c>
      <c r="D408" s="1042" t="s">
        <v>693</v>
      </c>
      <c r="E408" s="1087" t="s">
        <v>1900</v>
      </c>
      <c r="F408" s="1013" t="s">
        <v>1903</v>
      </c>
      <c r="G408" s="1014" t="s">
        <v>1880</v>
      </c>
      <c r="H408" s="1138" t="s">
        <v>1893</v>
      </c>
      <c r="I408" s="1014">
        <v>6</v>
      </c>
      <c r="J408" s="1046" t="s">
        <v>1884</v>
      </c>
      <c r="K408" s="1014" t="s">
        <v>678</v>
      </c>
      <c r="L408" s="1016" t="s">
        <v>679</v>
      </c>
      <c r="M408" s="1017">
        <v>20000000</v>
      </c>
      <c r="N408" s="1034" t="s">
        <v>741</v>
      </c>
      <c r="O408" s="1034" t="s">
        <v>1875</v>
      </c>
      <c r="P408" s="1034"/>
      <c r="Q408" s="1014"/>
      <c r="R408" s="1019"/>
      <c r="S408" s="1127"/>
      <c r="T408" s="1153"/>
    </row>
    <row r="409" spans="1:20" s="992" customFormat="1" ht="102" x14ac:dyDescent="0.25">
      <c r="A409" s="1020">
        <v>2022404</v>
      </c>
      <c r="B409" s="1020">
        <v>7658</v>
      </c>
      <c r="C409" s="1020" t="s">
        <v>673</v>
      </c>
      <c r="D409" s="1036" t="s">
        <v>693</v>
      </c>
      <c r="E409" s="1037">
        <v>80111600</v>
      </c>
      <c r="F409" s="1023" t="s">
        <v>1046</v>
      </c>
      <c r="G409" s="1024" t="s">
        <v>1872</v>
      </c>
      <c r="H409" s="1138" t="s">
        <v>1872</v>
      </c>
      <c r="I409" s="1024">
        <v>7</v>
      </c>
      <c r="J409" s="1024" t="s">
        <v>1904</v>
      </c>
      <c r="K409" s="1024" t="s">
        <v>678</v>
      </c>
      <c r="L409" s="1026" t="s">
        <v>679</v>
      </c>
      <c r="M409" s="1089">
        <v>26950000</v>
      </c>
      <c r="N409" s="1080" t="s">
        <v>741</v>
      </c>
      <c r="O409" s="1080" t="s">
        <v>1875</v>
      </c>
      <c r="P409" s="1080"/>
      <c r="Q409" s="1024"/>
      <c r="R409" s="1019"/>
      <c r="S409" s="1127">
        <v>99</v>
      </c>
      <c r="T409" s="1153">
        <v>26950000</v>
      </c>
    </row>
    <row r="410" spans="1:20" s="992" customFormat="1" ht="102" x14ac:dyDescent="0.25">
      <c r="A410" s="1010">
        <v>2022405</v>
      </c>
      <c r="B410" s="1010">
        <v>7658</v>
      </c>
      <c r="C410" s="1010" t="s">
        <v>673</v>
      </c>
      <c r="D410" s="1042" t="s">
        <v>693</v>
      </c>
      <c r="E410" s="1043">
        <v>80111600</v>
      </c>
      <c r="F410" s="1013" t="s">
        <v>1046</v>
      </c>
      <c r="G410" s="1014" t="s">
        <v>1872</v>
      </c>
      <c r="H410" s="1138" t="s">
        <v>1872</v>
      </c>
      <c r="I410" s="1014">
        <v>3</v>
      </c>
      <c r="J410" s="1014" t="s">
        <v>1904</v>
      </c>
      <c r="K410" s="1014" t="s">
        <v>678</v>
      </c>
      <c r="L410" s="1016" t="s">
        <v>679</v>
      </c>
      <c r="M410" s="1090">
        <v>13500000</v>
      </c>
      <c r="N410" s="1034" t="s">
        <v>741</v>
      </c>
      <c r="O410" s="1034" t="s">
        <v>1875</v>
      </c>
      <c r="P410" s="1034"/>
      <c r="Q410" s="1014"/>
      <c r="R410" s="1019"/>
      <c r="S410" s="1127"/>
      <c r="T410" s="1153"/>
    </row>
    <row r="411" spans="1:20" s="992" customFormat="1" ht="102" x14ac:dyDescent="0.25">
      <c r="A411" s="1020">
        <v>2022406</v>
      </c>
      <c r="B411" s="1020">
        <v>7658</v>
      </c>
      <c r="C411" s="1020" t="s">
        <v>673</v>
      </c>
      <c r="D411" s="1036" t="s">
        <v>693</v>
      </c>
      <c r="E411" s="1037">
        <v>80111600</v>
      </c>
      <c r="F411" s="1023" t="s">
        <v>1047</v>
      </c>
      <c r="G411" s="1024" t="s">
        <v>1872</v>
      </c>
      <c r="H411" s="1138" t="s">
        <v>1872</v>
      </c>
      <c r="I411" s="1024">
        <v>10</v>
      </c>
      <c r="J411" s="1024" t="s">
        <v>1904</v>
      </c>
      <c r="K411" s="1024" t="s">
        <v>678</v>
      </c>
      <c r="L411" s="1026" t="s">
        <v>679</v>
      </c>
      <c r="M411" s="1089">
        <v>82400000</v>
      </c>
      <c r="N411" s="1080" t="s">
        <v>741</v>
      </c>
      <c r="O411" s="1080" t="s">
        <v>1875</v>
      </c>
      <c r="P411" s="1080"/>
      <c r="Q411" s="1024"/>
      <c r="R411" s="1019"/>
      <c r="S411" s="1127">
        <v>100</v>
      </c>
      <c r="T411" s="1153">
        <v>82400000</v>
      </c>
    </row>
    <row r="412" spans="1:20" s="992" customFormat="1" ht="102" x14ac:dyDescent="0.25">
      <c r="A412" s="1020">
        <v>2022407</v>
      </c>
      <c r="B412" s="1020">
        <v>7658</v>
      </c>
      <c r="C412" s="1020" t="s">
        <v>673</v>
      </c>
      <c r="D412" s="1036" t="s">
        <v>693</v>
      </c>
      <c r="E412" s="1037">
        <v>80111600</v>
      </c>
      <c r="F412" s="1023" t="s">
        <v>1048</v>
      </c>
      <c r="G412" s="1024" t="s">
        <v>1872</v>
      </c>
      <c r="H412" s="1138" t="s">
        <v>1872</v>
      </c>
      <c r="I412" s="1024">
        <v>6</v>
      </c>
      <c r="J412" s="1024" t="s">
        <v>1904</v>
      </c>
      <c r="K412" s="1024" t="s">
        <v>678</v>
      </c>
      <c r="L412" s="1026" t="s">
        <v>679</v>
      </c>
      <c r="M412" s="1089">
        <v>49440000</v>
      </c>
      <c r="N412" s="1080" t="s">
        <v>741</v>
      </c>
      <c r="O412" s="1080" t="s">
        <v>1875</v>
      </c>
      <c r="P412" s="1080"/>
      <c r="Q412" s="1024"/>
      <c r="R412" s="1019"/>
      <c r="S412" s="1127">
        <v>101</v>
      </c>
      <c r="T412" s="1153">
        <v>49440000</v>
      </c>
    </row>
    <row r="413" spans="1:20" s="992" customFormat="1" ht="102" x14ac:dyDescent="0.25">
      <c r="A413" s="1020">
        <v>2022408</v>
      </c>
      <c r="B413" s="1020">
        <v>7658</v>
      </c>
      <c r="C413" s="1020" t="s">
        <v>673</v>
      </c>
      <c r="D413" s="1036" t="s">
        <v>693</v>
      </c>
      <c r="E413" s="1037">
        <v>80111600</v>
      </c>
      <c r="F413" s="1023" t="s">
        <v>1048</v>
      </c>
      <c r="G413" s="1024" t="s">
        <v>1872</v>
      </c>
      <c r="H413" s="1138" t="s">
        <v>1872</v>
      </c>
      <c r="I413" s="1024">
        <v>4</v>
      </c>
      <c r="J413" s="1024" t="s">
        <v>1904</v>
      </c>
      <c r="K413" s="1024" t="s">
        <v>678</v>
      </c>
      <c r="L413" s="1026" t="s">
        <v>679</v>
      </c>
      <c r="M413" s="1089">
        <v>32960000</v>
      </c>
      <c r="N413" s="1080" t="s">
        <v>741</v>
      </c>
      <c r="O413" s="1080" t="s">
        <v>1875</v>
      </c>
      <c r="P413" s="1080"/>
      <c r="Q413" s="1024"/>
      <c r="R413" s="1019"/>
      <c r="S413" s="1127">
        <v>102</v>
      </c>
      <c r="T413" s="1153">
        <v>42000000</v>
      </c>
    </row>
    <row r="414" spans="1:20" s="992" customFormat="1" ht="102" x14ac:dyDescent="0.25">
      <c r="A414" s="1010">
        <v>2022409</v>
      </c>
      <c r="B414" s="1010">
        <v>7658</v>
      </c>
      <c r="C414" s="1010" t="s">
        <v>673</v>
      </c>
      <c r="D414" s="1042" t="s">
        <v>693</v>
      </c>
      <c r="E414" s="1043">
        <v>80111601</v>
      </c>
      <c r="F414" s="1013" t="s">
        <v>1049</v>
      </c>
      <c r="G414" s="1014" t="s">
        <v>1872</v>
      </c>
      <c r="H414" s="1138" t="s">
        <v>1872</v>
      </c>
      <c r="I414" s="1014">
        <v>6</v>
      </c>
      <c r="J414" s="1014" t="s">
        <v>1904</v>
      </c>
      <c r="K414" s="1014" t="s">
        <v>678</v>
      </c>
      <c r="L414" s="1016" t="s">
        <v>679</v>
      </c>
      <c r="M414" s="1090">
        <v>42000000</v>
      </c>
      <c r="N414" s="1034" t="s">
        <v>741</v>
      </c>
      <c r="O414" s="1034" t="s">
        <v>1875</v>
      </c>
      <c r="P414" s="1034"/>
      <c r="Q414" s="1014"/>
      <c r="R414" s="1019"/>
      <c r="S414" s="1127"/>
      <c r="T414" s="1153"/>
    </row>
    <row r="415" spans="1:20" s="992" customFormat="1" ht="102" x14ac:dyDescent="0.25">
      <c r="A415" s="1010">
        <v>2022410</v>
      </c>
      <c r="B415" s="1010">
        <v>7658</v>
      </c>
      <c r="C415" s="1010" t="s">
        <v>673</v>
      </c>
      <c r="D415" s="1042" t="s">
        <v>693</v>
      </c>
      <c r="E415" s="1043">
        <v>80111601</v>
      </c>
      <c r="F415" s="1013" t="s">
        <v>1049</v>
      </c>
      <c r="G415" s="1014" t="s">
        <v>1872</v>
      </c>
      <c r="H415" s="1138" t="s">
        <v>1872</v>
      </c>
      <c r="I415" s="1014">
        <v>4</v>
      </c>
      <c r="J415" s="1014" t="s">
        <v>1904</v>
      </c>
      <c r="K415" s="1014" t="s">
        <v>678</v>
      </c>
      <c r="L415" s="1016" t="s">
        <v>679</v>
      </c>
      <c r="M415" s="1090">
        <v>28000000</v>
      </c>
      <c r="N415" s="1034" t="s">
        <v>741</v>
      </c>
      <c r="O415" s="1034" t="s">
        <v>1875</v>
      </c>
      <c r="P415" s="1034"/>
      <c r="Q415" s="1014"/>
      <c r="R415" s="1019"/>
      <c r="S415" s="1127"/>
      <c r="T415" s="1153"/>
    </row>
    <row r="416" spans="1:20" s="992" customFormat="1" ht="102" x14ac:dyDescent="0.25">
      <c r="A416" s="1020">
        <v>2022411</v>
      </c>
      <c r="B416" s="1020">
        <v>7658</v>
      </c>
      <c r="C416" s="1020" t="s">
        <v>673</v>
      </c>
      <c r="D416" s="1036" t="s">
        <v>693</v>
      </c>
      <c r="E416" s="1037">
        <v>80111601</v>
      </c>
      <c r="F416" s="1023" t="s">
        <v>1051</v>
      </c>
      <c r="G416" s="1024" t="s">
        <v>1872</v>
      </c>
      <c r="H416" s="1138" t="s">
        <v>1872</v>
      </c>
      <c r="I416" s="1024">
        <v>10</v>
      </c>
      <c r="J416" s="1024" t="s">
        <v>1904</v>
      </c>
      <c r="K416" s="1024" t="s">
        <v>678</v>
      </c>
      <c r="L416" s="1026" t="s">
        <v>679</v>
      </c>
      <c r="M416" s="1089">
        <v>60000000</v>
      </c>
      <c r="N416" s="1080" t="s">
        <v>741</v>
      </c>
      <c r="O416" s="1080" t="s">
        <v>1875</v>
      </c>
      <c r="P416" s="1080"/>
      <c r="Q416" s="1024"/>
      <c r="R416" s="1019"/>
      <c r="S416" s="1127">
        <v>264</v>
      </c>
      <c r="T416" s="1153">
        <v>60000000</v>
      </c>
    </row>
    <row r="417" spans="1:20" s="992" customFormat="1" ht="102" x14ac:dyDescent="0.25">
      <c r="A417" s="1020">
        <v>2022412</v>
      </c>
      <c r="B417" s="1020">
        <v>7658</v>
      </c>
      <c r="C417" s="1020" t="s">
        <v>673</v>
      </c>
      <c r="D417" s="1036" t="s">
        <v>693</v>
      </c>
      <c r="E417" s="1037">
        <v>80111600</v>
      </c>
      <c r="F417" s="1023" t="s">
        <v>1052</v>
      </c>
      <c r="G417" s="1024" t="s">
        <v>1872</v>
      </c>
      <c r="H417" s="1138" t="s">
        <v>1872</v>
      </c>
      <c r="I417" s="1024">
        <v>10</v>
      </c>
      <c r="J417" s="1024" t="s">
        <v>1904</v>
      </c>
      <c r="K417" s="1024" t="s">
        <v>678</v>
      </c>
      <c r="L417" s="1026" t="s">
        <v>679</v>
      </c>
      <c r="M417" s="1089">
        <v>42000000</v>
      </c>
      <c r="N417" s="1080" t="s">
        <v>741</v>
      </c>
      <c r="O417" s="1080" t="s">
        <v>1875</v>
      </c>
      <c r="P417" s="1080"/>
      <c r="Q417" s="1024"/>
      <c r="R417" s="1019"/>
      <c r="S417" s="1127">
        <v>133</v>
      </c>
      <c r="T417" s="1153">
        <v>42000000</v>
      </c>
    </row>
    <row r="418" spans="1:20" s="992" customFormat="1" ht="102" x14ac:dyDescent="0.25">
      <c r="A418" s="1020">
        <v>2022413</v>
      </c>
      <c r="B418" s="1020">
        <v>7658</v>
      </c>
      <c r="C418" s="1020" t="s">
        <v>673</v>
      </c>
      <c r="D418" s="1036" t="s">
        <v>693</v>
      </c>
      <c r="E418" s="1037">
        <v>80111600</v>
      </c>
      <c r="F418" s="1023" t="s">
        <v>1053</v>
      </c>
      <c r="G418" s="1024" t="s">
        <v>1872</v>
      </c>
      <c r="H418" s="1138" t="s">
        <v>1872</v>
      </c>
      <c r="I418" s="1024">
        <v>10</v>
      </c>
      <c r="J418" s="1024" t="s">
        <v>1904</v>
      </c>
      <c r="K418" s="1024" t="s">
        <v>678</v>
      </c>
      <c r="L418" s="1026" t="s">
        <v>679</v>
      </c>
      <c r="M418" s="1089">
        <v>82400000</v>
      </c>
      <c r="N418" s="1080" t="s">
        <v>741</v>
      </c>
      <c r="O418" s="1080" t="s">
        <v>1875</v>
      </c>
      <c r="P418" s="1080"/>
      <c r="Q418" s="1024"/>
      <c r="R418" s="1019"/>
      <c r="S418" s="1127">
        <v>76</v>
      </c>
      <c r="T418" s="1153">
        <v>82400000</v>
      </c>
    </row>
    <row r="419" spans="1:20" s="992" customFormat="1" ht="102" x14ac:dyDescent="0.25">
      <c r="A419" s="1020">
        <v>2022414</v>
      </c>
      <c r="B419" s="1020">
        <v>7658</v>
      </c>
      <c r="C419" s="1020" t="s">
        <v>673</v>
      </c>
      <c r="D419" s="1036" t="s">
        <v>693</v>
      </c>
      <c r="E419" s="1037">
        <v>80111600</v>
      </c>
      <c r="F419" s="1023" t="s">
        <v>1054</v>
      </c>
      <c r="G419" s="1024" t="s">
        <v>1872</v>
      </c>
      <c r="H419" s="1138" t="s">
        <v>1872</v>
      </c>
      <c r="I419" s="1024">
        <v>10</v>
      </c>
      <c r="J419" s="1024" t="s">
        <v>1904</v>
      </c>
      <c r="K419" s="1024" t="s">
        <v>678</v>
      </c>
      <c r="L419" s="1026" t="s">
        <v>679</v>
      </c>
      <c r="M419" s="1089">
        <v>42000000</v>
      </c>
      <c r="N419" s="1080" t="s">
        <v>741</v>
      </c>
      <c r="O419" s="1080" t="s">
        <v>1875</v>
      </c>
      <c r="P419" s="1080"/>
      <c r="Q419" s="1024"/>
      <c r="R419" s="1019"/>
      <c r="S419" s="1127">
        <v>108</v>
      </c>
      <c r="T419" s="1153">
        <v>42000000</v>
      </c>
    </row>
    <row r="420" spans="1:20" s="992" customFormat="1" ht="102" x14ac:dyDescent="0.25">
      <c r="A420" s="1020">
        <v>2022415</v>
      </c>
      <c r="B420" s="1020">
        <v>7658</v>
      </c>
      <c r="C420" s="1020" t="s">
        <v>673</v>
      </c>
      <c r="D420" s="1036" t="s">
        <v>693</v>
      </c>
      <c r="E420" s="1037">
        <v>80111600</v>
      </c>
      <c r="F420" s="1023" t="s">
        <v>1055</v>
      </c>
      <c r="G420" s="1024" t="s">
        <v>1872</v>
      </c>
      <c r="H420" s="1138" t="s">
        <v>1872</v>
      </c>
      <c r="I420" s="1024">
        <v>10</v>
      </c>
      <c r="J420" s="1024" t="s">
        <v>1904</v>
      </c>
      <c r="K420" s="1024" t="s">
        <v>678</v>
      </c>
      <c r="L420" s="1026" t="s">
        <v>679</v>
      </c>
      <c r="M420" s="1089">
        <v>50000000</v>
      </c>
      <c r="N420" s="1080" t="s">
        <v>741</v>
      </c>
      <c r="O420" s="1080" t="s">
        <v>1875</v>
      </c>
      <c r="P420" s="1080"/>
      <c r="Q420" s="1024"/>
      <c r="R420" s="1019"/>
      <c r="S420" s="1127">
        <v>333</v>
      </c>
      <c r="T420" s="1153">
        <v>50000000</v>
      </c>
    </row>
    <row r="421" spans="1:20" s="992" customFormat="1" ht="102" x14ac:dyDescent="0.25">
      <c r="A421" s="1020">
        <v>2022416</v>
      </c>
      <c r="B421" s="1020">
        <v>7658</v>
      </c>
      <c r="C421" s="1020" t="s">
        <v>673</v>
      </c>
      <c r="D421" s="1036" t="s">
        <v>693</v>
      </c>
      <c r="E421" s="1037">
        <v>80111600</v>
      </c>
      <c r="F421" s="1023" t="s">
        <v>1056</v>
      </c>
      <c r="G421" s="1024" t="s">
        <v>1872</v>
      </c>
      <c r="H421" s="1138" t="s">
        <v>1872</v>
      </c>
      <c r="I421" s="1024">
        <v>6</v>
      </c>
      <c r="J421" s="1024" t="s">
        <v>1904</v>
      </c>
      <c r="K421" s="1024" t="s">
        <v>678</v>
      </c>
      <c r="L421" s="1026" t="s">
        <v>679</v>
      </c>
      <c r="M421" s="1089">
        <v>20100000</v>
      </c>
      <c r="N421" s="1080" t="s">
        <v>741</v>
      </c>
      <c r="O421" s="1080" t="s">
        <v>1875</v>
      </c>
      <c r="P421" s="1080"/>
      <c r="Q421" s="1024"/>
      <c r="R421" s="1019"/>
      <c r="S421" s="1127">
        <v>109</v>
      </c>
      <c r="T421" s="1153">
        <v>13400000</v>
      </c>
    </row>
    <row r="422" spans="1:20" s="992" customFormat="1" ht="102" x14ac:dyDescent="0.25">
      <c r="A422" s="1020">
        <v>2022417</v>
      </c>
      <c r="B422" s="1020">
        <v>7658</v>
      </c>
      <c r="C422" s="1020" t="s">
        <v>673</v>
      </c>
      <c r="D422" s="1036" t="s">
        <v>693</v>
      </c>
      <c r="E422" s="1037">
        <v>80111600</v>
      </c>
      <c r="F422" s="1023" t="s">
        <v>1057</v>
      </c>
      <c r="G422" s="1024" t="s">
        <v>1872</v>
      </c>
      <c r="H422" s="1138" t="s">
        <v>1872</v>
      </c>
      <c r="I422" s="1024">
        <v>4</v>
      </c>
      <c r="J422" s="1024" t="s">
        <v>1904</v>
      </c>
      <c r="K422" s="1024" t="s">
        <v>678</v>
      </c>
      <c r="L422" s="1026" t="s">
        <v>679</v>
      </c>
      <c r="M422" s="1089">
        <v>20600000</v>
      </c>
      <c r="N422" s="1080" t="s">
        <v>741</v>
      </c>
      <c r="O422" s="1080" t="s">
        <v>1875</v>
      </c>
      <c r="P422" s="1080"/>
      <c r="Q422" s="1024"/>
      <c r="R422" s="1019"/>
      <c r="S422" s="1127">
        <v>106</v>
      </c>
      <c r="T422" s="1153">
        <v>20600000</v>
      </c>
    </row>
    <row r="423" spans="1:20" s="992" customFormat="1" ht="102" x14ac:dyDescent="0.25">
      <c r="A423" s="1010">
        <v>2022418</v>
      </c>
      <c r="B423" s="1010">
        <v>7658</v>
      </c>
      <c r="C423" s="1010" t="s">
        <v>673</v>
      </c>
      <c r="D423" s="1042" t="s">
        <v>693</v>
      </c>
      <c r="E423" s="1043">
        <v>80111600</v>
      </c>
      <c r="F423" s="1013" t="s">
        <v>1057</v>
      </c>
      <c r="G423" s="1014" t="s">
        <v>1872</v>
      </c>
      <c r="H423" s="1138" t="s">
        <v>1872</v>
      </c>
      <c r="I423" s="1014">
        <v>6</v>
      </c>
      <c r="J423" s="1014" t="s">
        <v>1904</v>
      </c>
      <c r="K423" s="1014" t="s">
        <v>678</v>
      </c>
      <c r="L423" s="1016" t="s">
        <v>679</v>
      </c>
      <c r="M423" s="1090">
        <v>30900000</v>
      </c>
      <c r="N423" s="1034" t="s">
        <v>741</v>
      </c>
      <c r="O423" s="1034" t="s">
        <v>1875</v>
      </c>
      <c r="P423" s="1034"/>
      <c r="Q423" s="1014"/>
      <c r="R423" s="1019"/>
      <c r="S423" s="1127"/>
      <c r="T423" s="1153"/>
    </row>
    <row r="424" spans="1:20" s="992" customFormat="1" ht="102" x14ac:dyDescent="0.25">
      <c r="A424" s="1020">
        <v>2022419</v>
      </c>
      <c r="B424" s="1020">
        <v>7658</v>
      </c>
      <c r="C424" s="1020" t="s">
        <v>673</v>
      </c>
      <c r="D424" s="1036" t="s">
        <v>693</v>
      </c>
      <c r="E424" s="1037">
        <v>80111600</v>
      </c>
      <c r="F424" s="1023" t="s">
        <v>1059</v>
      </c>
      <c r="G424" s="1024" t="s">
        <v>1872</v>
      </c>
      <c r="H424" s="1138" t="s">
        <v>1872</v>
      </c>
      <c r="I424" s="1024">
        <v>10</v>
      </c>
      <c r="J424" s="1024" t="s">
        <v>1904</v>
      </c>
      <c r="K424" s="1024" t="s">
        <v>678</v>
      </c>
      <c r="L424" s="1026" t="s">
        <v>679</v>
      </c>
      <c r="M424" s="1089">
        <v>28000000</v>
      </c>
      <c r="N424" s="1080" t="s">
        <v>741</v>
      </c>
      <c r="O424" s="1080" t="s">
        <v>1875</v>
      </c>
      <c r="P424" s="1080"/>
      <c r="Q424" s="1024"/>
      <c r="R424" s="1019"/>
      <c r="S424" s="1127">
        <v>298</v>
      </c>
      <c r="T424" s="1153">
        <v>28000000</v>
      </c>
    </row>
    <row r="425" spans="1:20" s="992" customFormat="1" ht="102" x14ac:dyDescent="0.25">
      <c r="A425" s="1020">
        <v>2022420</v>
      </c>
      <c r="B425" s="1020">
        <v>7658</v>
      </c>
      <c r="C425" s="1020" t="s">
        <v>673</v>
      </c>
      <c r="D425" s="1036" t="s">
        <v>693</v>
      </c>
      <c r="E425" s="1037">
        <v>80111600</v>
      </c>
      <c r="F425" s="1023" t="s">
        <v>1060</v>
      </c>
      <c r="G425" s="1024" t="s">
        <v>1872</v>
      </c>
      <c r="H425" s="1138" t="s">
        <v>1872</v>
      </c>
      <c r="I425" s="1024">
        <v>10</v>
      </c>
      <c r="J425" s="1024" t="s">
        <v>1904</v>
      </c>
      <c r="K425" s="1024" t="s">
        <v>678</v>
      </c>
      <c r="L425" s="1026" t="s">
        <v>679</v>
      </c>
      <c r="M425" s="1089">
        <v>28500000</v>
      </c>
      <c r="N425" s="1080" t="s">
        <v>741</v>
      </c>
      <c r="O425" s="1080" t="s">
        <v>1875</v>
      </c>
      <c r="P425" s="1080"/>
      <c r="Q425" s="1024"/>
      <c r="R425" s="1019"/>
      <c r="S425" s="1127">
        <v>206</v>
      </c>
      <c r="T425" s="1153">
        <v>28500000</v>
      </c>
    </row>
    <row r="426" spans="1:20" s="992" customFormat="1" ht="102" x14ac:dyDescent="0.25">
      <c r="A426" s="1020">
        <v>2022421</v>
      </c>
      <c r="B426" s="1020">
        <v>7658</v>
      </c>
      <c r="C426" s="1020" t="s">
        <v>673</v>
      </c>
      <c r="D426" s="1036" t="s">
        <v>693</v>
      </c>
      <c r="E426" s="1037">
        <v>80111600</v>
      </c>
      <c r="F426" s="1023" t="s">
        <v>1061</v>
      </c>
      <c r="G426" s="1024" t="s">
        <v>1872</v>
      </c>
      <c r="H426" s="1138" t="s">
        <v>1872</v>
      </c>
      <c r="I426" s="1024">
        <v>10</v>
      </c>
      <c r="J426" s="1024" t="s">
        <v>1904</v>
      </c>
      <c r="K426" s="1024" t="s">
        <v>678</v>
      </c>
      <c r="L426" s="1026" t="s">
        <v>679</v>
      </c>
      <c r="M426" s="1089">
        <v>45000000</v>
      </c>
      <c r="N426" s="1080" t="s">
        <v>741</v>
      </c>
      <c r="O426" s="1080" t="s">
        <v>1875</v>
      </c>
      <c r="P426" s="1080"/>
      <c r="Q426" s="1024"/>
      <c r="R426" s="1019"/>
      <c r="S426" s="1127">
        <v>392</v>
      </c>
      <c r="T426" s="1153">
        <v>38500000</v>
      </c>
    </row>
    <row r="427" spans="1:20" s="992" customFormat="1" ht="102" x14ac:dyDescent="0.25">
      <c r="A427" s="1020">
        <v>2022422</v>
      </c>
      <c r="B427" s="1020">
        <v>7658</v>
      </c>
      <c r="C427" s="1020" t="s">
        <v>673</v>
      </c>
      <c r="D427" s="1036" t="s">
        <v>693</v>
      </c>
      <c r="E427" s="1037">
        <v>80111600</v>
      </c>
      <c r="F427" s="1023" t="s">
        <v>1062</v>
      </c>
      <c r="G427" s="1024" t="s">
        <v>1872</v>
      </c>
      <c r="H427" s="1138" t="s">
        <v>1872</v>
      </c>
      <c r="I427" s="1024">
        <v>10</v>
      </c>
      <c r="J427" s="1024" t="s">
        <v>1904</v>
      </c>
      <c r="K427" s="1024" t="s">
        <v>678</v>
      </c>
      <c r="L427" s="1026" t="s">
        <v>679</v>
      </c>
      <c r="M427" s="1089">
        <v>33000000</v>
      </c>
      <c r="N427" s="1080" t="s">
        <v>741</v>
      </c>
      <c r="O427" s="1080" t="s">
        <v>1875</v>
      </c>
      <c r="P427" s="1080"/>
      <c r="Q427" s="1024"/>
      <c r="R427" s="1019"/>
      <c r="S427" s="1127">
        <v>273</v>
      </c>
      <c r="T427" s="1153">
        <v>33000000</v>
      </c>
    </row>
    <row r="428" spans="1:20" s="992" customFormat="1" ht="102" x14ac:dyDescent="0.25">
      <c r="A428" s="1020">
        <v>2022423</v>
      </c>
      <c r="B428" s="1020">
        <v>7658</v>
      </c>
      <c r="C428" s="1020" t="s">
        <v>673</v>
      </c>
      <c r="D428" s="1036" t="s">
        <v>693</v>
      </c>
      <c r="E428" s="1037">
        <v>80111600</v>
      </c>
      <c r="F428" s="1023" t="s">
        <v>1062</v>
      </c>
      <c r="G428" s="1024" t="s">
        <v>1872</v>
      </c>
      <c r="H428" s="1138" t="s">
        <v>1872</v>
      </c>
      <c r="I428" s="1024">
        <v>10</v>
      </c>
      <c r="J428" s="1024" t="s">
        <v>1904</v>
      </c>
      <c r="K428" s="1024" t="s">
        <v>678</v>
      </c>
      <c r="L428" s="1026" t="s">
        <v>679</v>
      </c>
      <c r="M428" s="1089">
        <v>24500000</v>
      </c>
      <c r="N428" s="1080" t="s">
        <v>741</v>
      </c>
      <c r="O428" s="1080" t="s">
        <v>1875</v>
      </c>
      <c r="P428" s="1080"/>
      <c r="Q428" s="1024"/>
      <c r="R428" s="1019"/>
      <c r="S428" s="1127">
        <v>297</v>
      </c>
      <c r="T428" s="1153">
        <v>24500000</v>
      </c>
    </row>
    <row r="429" spans="1:20" s="992" customFormat="1" ht="102" x14ac:dyDescent="0.25">
      <c r="A429" s="1020">
        <v>2022424</v>
      </c>
      <c r="B429" s="1020">
        <v>7658</v>
      </c>
      <c r="C429" s="1020" t="s">
        <v>673</v>
      </c>
      <c r="D429" s="1036" t="s">
        <v>693</v>
      </c>
      <c r="E429" s="1037">
        <v>80111600</v>
      </c>
      <c r="F429" s="1023" t="s">
        <v>1062</v>
      </c>
      <c r="G429" s="1024" t="s">
        <v>1872</v>
      </c>
      <c r="H429" s="1138" t="s">
        <v>1872</v>
      </c>
      <c r="I429" s="1024">
        <v>10</v>
      </c>
      <c r="J429" s="1024" t="s">
        <v>1904</v>
      </c>
      <c r="K429" s="1024" t="s">
        <v>678</v>
      </c>
      <c r="L429" s="1026" t="s">
        <v>679</v>
      </c>
      <c r="M429" s="1089">
        <v>33000000</v>
      </c>
      <c r="N429" s="1080" t="s">
        <v>741</v>
      </c>
      <c r="O429" s="1080" t="s">
        <v>1875</v>
      </c>
      <c r="P429" s="1080"/>
      <c r="Q429" s="1024"/>
      <c r="R429" s="1019"/>
      <c r="S429" s="1127">
        <v>471</v>
      </c>
      <c r="T429" s="1153">
        <v>19800000</v>
      </c>
    </row>
    <row r="430" spans="1:20" s="992" customFormat="1" ht="102" x14ac:dyDescent="0.25">
      <c r="A430" s="1020">
        <v>2022425</v>
      </c>
      <c r="B430" s="1020">
        <v>7658</v>
      </c>
      <c r="C430" s="1020" t="s">
        <v>673</v>
      </c>
      <c r="D430" s="1036" t="s">
        <v>693</v>
      </c>
      <c r="E430" s="1037">
        <v>80111600</v>
      </c>
      <c r="F430" s="1023" t="s">
        <v>1062</v>
      </c>
      <c r="G430" s="1024" t="s">
        <v>1872</v>
      </c>
      <c r="H430" s="1138" t="s">
        <v>1872</v>
      </c>
      <c r="I430" s="1024">
        <v>10</v>
      </c>
      <c r="J430" s="1024" t="s">
        <v>1904</v>
      </c>
      <c r="K430" s="1024" t="s">
        <v>678</v>
      </c>
      <c r="L430" s="1026" t="s">
        <v>679</v>
      </c>
      <c r="M430" s="1089">
        <v>27500000</v>
      </c>
      <c r="N430" s="1080" t="s">
        <v>741</v>
      </c>
      <c r="O430" s="1080" t="s">
        <v>1875</v>
      </c>
      <c r="P430" s="1080"/>
      <c r="Q430" s="1024"/>
      <c r="R430" s="1019"/>
      <c r="S430" s="1127">
        <v>348</v>
      </c>
      <c r="T430" s="1153">
        <v>26400000</v>
      </c>
    </row>
    <row r="431" spans="1:20" s="992" customFormat="1" ht="102" x14ac:dyDescent="0.25">
      <c r="A431" s="1020">
        <v>2022426</v>
      </c>
      <c r="B431" s="1020">
        <v>7658</v>
      </c>
      <c r="C431" s="1020" t="s">
        <v>673</v>
      </c>
      <c r="D431" s="1036" t="s">
        <v>693</v>
      </c>
      <c r="E431" s="1037">
        <v>80111600</v>
      </c>
      <c r="F431" s="1023" t="s">
        <v>1062</v>
      </c>
      <c r="G431" s="1024" t="s">
        <v>1872</v>
      </c>
      <c r="H431" s="1138" t="s">
        <v>1872</v>
      </c>
      <c r="I431" s="1024">
        <v>10</v>
      </c>
      <c r="J431" s="1024" t="s">
        <v>1904</v>
      </c>
      <c r="K431" s="1024" t="s">
        <v>678</v>
      </c>
      <c r="L431" s="1026" t="s">
        <v>679</v>
      </c>
      <c r="M431" s="1089">
        <v>33000000</v>
      </c>
      <c r="N431" s="1080" t="s">
        <v>741</v>
      </c>
      <c r="O431" s="1080" t="s">
        <v>1875</v>
      </c>
      <c r="P431" s="1080"/>
      <c r="Q431" s="1024"/>
      <c r="R431" s="1019"/>
      <c r="S431" s="1127">
        <v>427</v>
      </c>
      <c r="T431" s="1153">
        <v>14700000</v>
      </c>
    </row>
    <row r="432" spans="1:20" s="992" customFormat="1" ht="102" x14ac:dyDescent="0.25">
      <c r="A432" s="1020">
        <v>2022427</v>
      </c>
      <c r="B432" s="1020">
        <v>7658</v>
      </c>
      <c r="C432" s="1020" t="s">
        <v>673</v>
      </c>
      <c r="D432" s="1036" t="s">
        <v>693</v>
      </c>
      <c r="E432" s="1037">
        <v>80111600</v>
      </c>
      <c r="F432" s="1023" t="s">
        <v>1062</v>
      </c>
      <c r="G432" s="1024" t="s">
        <v>1872</v>
      </c>
      <c r="H432" s="1138" t="s">
        <v>1872</v>
      </c>
      <c r="I432" s="1024">
        <v>10</v>
      </c>
      <c r="J432" s="1024" t="s">
        <v>1904</v>
      </c>
      <c r="K432" s="1024" t="s">
        <v>678</v>
      </c>
      <c r="L432" s="1026" t="s">
        <v>679</v>
      </c>
      <c r="M432" s="1089">
        <v>33000000</v>
      </c>
      <c r="N432" s="1080" t="s">
        <v>741</v>
      </c>
      <c r="O432" s="1080" t="s">
        <v>1875</v>
      </c>
      <c r="P432" s="1080"/>
      <c r="Q432" s="1024"/>
      <c r="R432" s="1019"/>
      <c r="S432" s="1127">
        <v>334</v>
      </c>
      <c r="T432" s="1153">
        <v>33000000</v>
      </c>
    </row>
    <row r="433" spans="1:20" s="992" customFormat="1" ht="102" x14ac:dyDescent="0.25">
      <c r="A433" s="1020">
        <v>2022428</v>
      </c>
      <c r="B433" s="1020">
        <v>7658</v>
      </c>
      <c r="C433" s="1020" t="s">
        <v>673</v>
      </c>
      <c r="D433" s="1036" t="s">
        <v>693</v>
      </c>
      <c r="E433" s="1037">
        <v>80111600</v>
      </c>
      <c r="F433" s="1023" t="s">
        <v>1059</v>
      </c>
      <c r="G433" s="1024" t="s">
        <v>1872</v>
      </c>
      <c r="H433" s="1138" t="s">
        <v>1872</v>
      </c>
      <c r="I433" s="1024">
        <v>10</v>
      </c>
      <c r="J433" s="1024" t="s">
        <v>1904</v>
      </c>
      <c r="K433" s="1024" t="s">
        <v>678</v>
      </c>
      <c r="L433" s="1026" t="s">
        <v>679</v>
      </c>
      <c r="M433" s="1089">
        <v>28000000</v>
      </c>
      <c r="N433" s="1080" t="s">
        <v>741</v>
      </c>
      <c r="O433" s="1080" t="s">
        <v>1875</v>
      </c>
      <c r="P433" s="1080"/>
      <c r="Q433" s="1024"/>
      <c r="R433" s="1019"/>
      <c r="S433" s="1127">
        <v>216</v>
      </c>
      <c r="T433" s="1153">
        <v>28000000</v>
      </c>
    </row>
    <row r="434" spans="1:20" s="992" customFormat="1" ht="102" x14ac:dyDescent="0.25">
      <c r="A434" s="1020">
        <v>2022429</v>
      </c>
      <c r="B434" s="1020">
        <v>7658</v>
      </c>
      <c r="C434" s="1020" t="s">
        <v>673</v>
      </c>
      <c r="D434" s="1036" t="s">
        <v>693</v>
      </c>
      <c r="E434" s="1037">
        <v>80111600</v>
      </c>
      <c r="F434" s="1023" t="s">
        <v>1059</v>
      </c>
      <c r="G434" s="1024" t="s">
        <v>1872</v>
      </c>
      <c r="H434" s="1138" t="s">
        <v>1872</v>
      </c>
      <c r="I434" s="1024">
        <v>10</v>
      </c>
      <c r="J434" s="1024" t="s">
        <v>1904</v>
      </c>
      <c r="K434" s="1024" t="s">
        <v>678</v>
      </c>
      <c r="L434" s="1026" t="s">
        <v>679</v>
      </c>
      <c r="M434" s="1089">
        <v>28000000</v>
      </c>
      <c r="N434" s="1080" t="s">
        <v>741</v>
      </c>
      <c r="O434" s="1080" t="s">
        <v>1875</v>
      </c>
      <c r="P434" s="1080"/>
      <c r="Q434" s="1024"/>
      <c r="R434" s="1019"/>
      <c r="S434" s="1127">
        <v>410</v>
      </c>
      <c r="T434" s="1153">
        <v>28000000</v>
      </c>
    </row>
    <row r="435" spans="1:20" s="992" customFormat="1" ht="102" x14ac:dyDescent="0.25">
      <c r="A435" s="1020">
        <v>2022430</v>
      </c>
      <c r="B435" s="1020">
        <v>7658</v>
      </c>
      <c r="C435" s="1020" t="s">
        <v>673</v>
      </c>
      <c r="D435" s="1036" t="s">
        <v>693</v>
      </c>
      <c r="E435" s="1037">
        <v>80111600</v>
      </c>
      <c r="F435" s="1023" t="s">
        <v>1063</v>
      </c>
      <c r="G435" s="1024" t="s">
        <v>1872</v>
      </c>
      <c r="H435" s="1138" t="s">
        <v>1872</v>
      </c>
      <c r="I435" s="1024">
        <v>10</v>
      </c>
      <c r="J435" s="1024" t="s">
        <v>1904</v>
      </c>
      <c r="K435" s="1024" t="s">
        <v>678</v>
      </c>
      <c r="L435" s="1026" t="s">
        <v>679</v>
      </c>
      <c r="M435" s="1089">
        <v>45000000</v>
      </c>
      <c r="N435" s="1080" t="s">
        <v>741</v>
      </c>
      <c r="O435" s="1080" t="s">
        <v>1875</v>
      </c>
      <c r="P435" s="1080"/>
      <c r="Q435" s="1024"/>
      <c r="R435" s="1019"/>
      <c r="S435" s="1127">
        <v>277</v>
      </c>
      <c r="T435" s="1153">
        <v>45000000</v>
      </c>
    </row>
    <row r="436" spans="1:20" s="992" customFormat="1" ht="102" x14ac:dyDescent="0.25">
      <c r="A436" s="1020">
        <v>2022431</v>
      </c>
      <c r="B436" s="1020">
        <v>7658</v>
      </c>
      <c r="C436" s="1020" t="s">
        <v>673</v>
      </c>
      <c r="D436" s="1036" t="s">
        <v>693</v>
      </c>
      <c r="E436" s="1037">
        <v>80111600</v>
      </c>
      <c r="F436" s="1023" t="s">
        <v>1064</v>
      </c>
      <c r="G436" s="1024" t="s">
        <v>1872</v>
      </c>
      <c r="H436" s="1138" t="s">
        <v>1872</v>
      </c>
      <c r="I436" s="1024">
        <v>10</v>
      </c>
      <c r="J436" s="1024" t="s">
        <v>1904</v>
      </c>
      <c r="K436" s="1024" t="s">
        <v>678</v>
      </c>
      <c r="L436" s="1026" t="s">
        <v>679</v>
      </c>
      <c r="M436" s="1089">
        <v>24500000</v>
      </c>
      <c r="N436" s="1080" t="s">
        <v>741</v>
      </c>
      <c r="O436" s="1080" t="s">
        <v>1875</v>
      </c>
      <c r="P436" s="1080"/>
      <c r="Q436" s="1024"/>
      <c r="R436" s="1019"/>
      <c r="S436" s="1127">
        <v>198</v>
      </c>
      <c r="T436" s="1153">
        <v>24500000</v>
      </c>
    </row>
    <row r="437" spans="1:20" s="992" customFormat="1" ht="102" x14ac:dyDescent="0.25">
      <c r="A437" s="1020">
        <v>2022432</v>
      </c>
      <c r="B437" s="1020">
        <v>7658</v>
      </c>
      <c r="C437" s="1020" t="s">
        <v>673</v>
      </c>
      <c r="D437" s="1036" t="s">
        <v>693</v>
      </c>
      <c r="E437" s="1037">
        <v>80111600</v>
      </c>
      <c r="F437" s="1023" t="s">
        <v>1064</v>
      </c>
      <c r="G437" s="1024" t="s">
        <v>1872</v>
      </c>
      <c r="H437" s="1138" t="s">
        <v>1872</v>
      </c>
      <c r="I437" s="1024">
        <v>10</v>
      </c>
      <c r="J437" s="1024" t="s">
        <v>1904</v>
      </c>
      <c r="K437" s="1024" t="s">
        <v>678</v>
      </c>
      <c r="L437" s="1026" t="s">
        <v>679</v>
      </c>
      <c r="M437" s="1089">
        <v>33000000</v>
      </c>
      <c r="N437" s="1080" t="s">
        <v>741</v>
      </c>
      <c r="O437" s="1080" t="s">
        <v>1875</v>
      </c>
      <c r="P437" s="1080"/>
      <c r="Q437" s="1024"/>
      <c r="R437" s="1019"/>
      <c r="S437" s="1127">
        <v>193</v>
      </c>
      <c r="T437" s="1153">
        <v>33000000</v>
      </c>
    </row>
    <row r="438" spans="1:20" s="992" customFormat="1" ht="102" x14ac:dyDescent="0.25">
      <c r="A438" s="1020">
        <v>2022433</v>
      </c>
      <c r="B438" s="1020">
        <v>7658</v>
      </c>
      <c r="C438" s="1020" t="s">
        <v>673</v>
      </c>
      <c r="D438" s="1036" t="s">
        <v>693</v>
      </c>
      <c r="E438" s="1037">
        <v>80111600</v>
      </c>
      <c r="F438" s="1023" t="s">
        <v>1064</v>
      </c>
      <c r="G438" s="1024" t="s">
        <v>1872</v>
      </c>
      <c r="H438" s="1138" t="s">
        <v>1872</v>
      </c>
      <c r="I438" s="1024">
        <v>10</v>
      </c>
      <c r="J438" s="1024" t="s">
        <v>1904</v>
      </c>
      <c r="K438" s="1024" t="s">
        <v>678</v>
      </c>
      <c r="L438" s="1026" t="s">
        <v>679</v>
      </c>
      <c r="M438" s="1089">
        <v>32000000</v>
      </c>
      <c r="N438" s="1080" t="s">
        <v>741</v>
      </c>
      <c r="O438" s="1080" t="s">
        <v>1875</v>
      </c>
      <c r="P438" s="1080"/>
      <c r="Q438" s="1024"/>
      <c r="R438" s="1019"/>
      <c r="S438" s="1127">
        <v>217</v>
      </c>
      <c r="T438" s="1153">
        <v>32000000</v>
      </c>
    </row>
    <row r="439" spans="1:20" s="992" customFormat="1" ht="102" x14ac:dyDescent="0.25">
      <c r="A439" s="1020">
        <v>2022434</v>
      </c>
      <c r="B439" s="1020">
        <v>7658</v>
      </c>
      <c r="C439" s="1020" t="s">
        <v>673</v>
      </c>
      <c r="D439" s="1036" t="s">
        <v>693</v>
      </c>
      <c r="E439" s="1037">
        <v>80111600</v>
      </c>
      <c r="F439" s="1023" t="s">
        <v>1064</v>
      </c>
      <c r="G439" s="1024" t="s">
        <v>1872</v>
      </c>
      <c r="H439" s="1138" t="s">
        <v>1872</v>
      </c>
      <c r="I439" s="1024">
        <v>10</v>
      </c>
      <c r="J439" s="1024" t="s">
        <v>1904</v>
      </c>
      <c r="K439" s="1024" t="s">
        <v>678</v>
      </c>
      <c r="L439" s="1026" t="s">
        <v>679</v>
      </c>
      <c r="M439" s="1089">
        <v>24500000</v>
      </c>
      <c r="N439" s="1080" t="s">
        <v>741</v>
      </c>
      <c r="O439" s="1080" t="s">
        <v>1875</v>
      </c>
      <c r="P439" s="1080"/>
      <c r="Q439" s="1024"/>
      <c r="R439" s="1019"/>
      <c r="S439" s="1127">
        <v>134</v>
      </c>
      <c r="T439" s="1153">
        <v>24500000</v>
      </c>
    </row>
    <row r="440" spans="1:20" s="992" customFormat="1" ht="102" x14ac:dyDescent="0.25">
      <c r="A440" s="1020">
        <v>2022435</v>
      </c>
      <c r="B440" s="1020">
        <v>7658</v>
      </c>
      <c r="C440" s="1020" t="s">
        <v>673</v>
      </c>
      <c r="D440" s="1036" t="s">
        <v>693</v>
      </c>
      <c r="E440" s="1037">
        <v>80111600</v>
      </c>
      <c r="F440" s="1023" t="s">
        <v>1064</v>
      </c>
      <c r="G440" s="1024" t="s">
        <v>1872</v>
      </c>
      <c r="H440" s="1138" t="s">
        <v>1872</v>
      </c>
      <c r="I440" s="1024">
        <v>10</v>
      </c>
      <c r="J440" s="1024" t="s">
        <v>1904</v>
      </c>
      <c r="K440" s="1024" t="s">
        <v>678</v>
      </c>
      <c r="L440" s="1026" t="s">
        <v>679</v>
      </c>
      <c r="M440" s="1089">
        <v>28500000</v>
      </c>
      <c r="N440" s="1080" t="s">
        <v>741</v>
      </c>
      <c r="O440" s="1080" t="s">
        <v>1875</v>
      </c>
      <c r="P440" s="1080"/>
      <c r="Q440" s="1024"/>
      <c r="R440" s="1019"/>
      <c r="S440" s="1127">
        <v>358</v>
      </c>
      <c r="T440" s="1153">
        <v>28500000</v>
      </c>
    </row>
    <row r="441" spans="1:20" s="992" customFormat="1" ht="102" x14ac:dyDescent="0.25">
      <c r="A441" s="1020">
        <v>2022436</v>
      </c>
      <c r="B441" s="1020">
        <v>7658</v>
      </c>
      <c r="C441" s="1020" t="s">
        <v>673</v>
      </c>
      <c r="D441" s="1036" t="s">
        <v>693</v>
      </c>
      <c r="E441" s="1037">
        <v>80111600</v>
      </c>
      <c r="F441" s="1023" t="s">
        <v>1064</v>
      </c>
      <c r="G441" s="1024" t="s">
        <v>1872</v>
      </c>
      <c r="H441" s="1138" t="s">
        <v>1872</v>
      </c>
      <c r="I441" s="1024">
        <v>10</v>
      </c>
      <c r="J441" s="1024" t="s">
        <v>1904</v>
      </c>
      <c r="K441" s="1024" t="s">
        <v>678</v>
      </c>
      <c r="L441" s="1026" t="s">
        <v>679</v>
      </c>
      <c r="M441" s="1089">
        <v>28500000</v>
      </c>
      <c r="N441" s="1080" t="s">
        <v>741</v>
      </c>
      <c r="O441" s="1080" t="s">
        <v>1875</v>
      </c>
      <c r="P441" s="1080"/>
      <c r="Q441" s="1024"/>
      <c r="R441" s="1019"/>
      <c r="S441" s="1127">
        <v>292</v>
      </c>
      <c r="T441" s="1153">
        <v>28500000</v>
      </c>
    </row>
    <row r="442" spans="1:20" s="992" customFormat="1" ht="102" x14ac:dyDescent="0.25">
      <c r="A442" s="1020">
        <v>2022437</v>
      </c>
      <c r="B442" s="1020">
        <v>7658</v>
      </c>
      <c r="C442" s="1020" t="s">
        <v>673</v>
      </c>
      <c r="D442" s="1036" t="s">
        <v>693</v>
      </c>
      <c r="E442" s="1037">
        <v>80111600</v>
      </c>
      <c r="F442" s="1023" t="s">
        <v>1064</v>
      </c>
      <c r="G442" s="1024" t="s">
        <v>1872</v>
      </c>
      <c r="H442" s="1138" t="s">
        <v>1872</v>
      </c>
      <c r="I442" s="1024">
        <v>10</v>
      </c>
      <c r="J442" s="1024" t="s">
        <v>1904</v>
      </c>
      <c r="K442" s="1024" t="s">
        <v>678</v>
      </c>
      <c r="L442" s="1026" t="s">
        <v>679</v>
      </c>
      <c r="M442" s="1089">
        <v>24500000</v>
      </c>
      <c r="N442" s="1080" t="s">
        <v>741</v>
      </c>
      <c r="O442" s="1080" t="s">
        <v>1875</v>
      </c>
      <c r="P442" s="1080"/>
      <c r="Q442" s="1024"/>
      <c r="R442" s="1019"/>
      <c r="S442" s="1127">
        <v>197</v>
      </c>
      <c r="T442" s="1153">
        <v>24500000</v>
      </c>
    </row>
    <row r="443" spans="1:20" s="992" customFormat="1" ht="102" x14ac:dyDescent="0.25">
      <c r="A443" s="1020">
        <v>2022438</v>
      </c>
      <c r="B443" s="1020">
        <v>7658</v>
      </c>
      <c r="C443" s="1020" t="s">
        <v>673</v>
      </c>
      <c r="D443" s="1036" t="s">
        <v>693</v>
      </c>
      <c r="E443" s="1037">
        <v>80111600</v>
      </c>
      <c r="F443" s="1023" t="s">
        <v>1064</v>
      </c>
      <c r="G443" s="1024" t="s">
        <v>1872</v>
      </c>
      <c r="H443" s="1138" t="s">
        <v>1872</v>
      </c>
      <c r="I443" s="1024">
        <v>10</v>
      </c>
      <c r="J443" s="1024" t="s">
        <v>1904</v>
      </c>
      <c r="K443" s="1024" t="s">
        <v>678</v>
      </c>
      <c r="L443" s="1026" t="s">
        <v>679</v>
      </c>
      <c r="M443" s="1089">
        <v>24500000</v>
      </c>
      <c r="N443" s="1080" t="s">
        <v>741</v>
      </c>
      <c r="O443" s="1080" t="s">
        <v>1875</v>
      </c>
      <c r="P443" s="1080"/>
      <c r="Q443" s="1024"/>
      <c r="R443" s="1019"/>
      <c r="S443" s="1127">
        <v>137</v>
      </c>
      <c r="T443" s="1153">
        <v>24500000</v>
      </c>
    </row>
    <row r="444" spans="1:20" s="992" customFormat="1" ht="102" x14ac:dyDescent="0.25">
      <c r="A444" s="1020">
        <v>2022439</v>
      </c>
      <c r="B444" s="1020">
        <v>7658</v>
      </c>
      <c r="C444" s="1020" t="s">
        <v>673</v>
      </c>
      <c r="D444" s="1036" t="s">
        <v>693</v>
      </c>
      <c r="E444" s="1037">
        <v>80111600</v>
      </c>
      <c r="F444" s="1023" t="s">
        <v>1064</v>
      </c>
      <c r="G444" s="1024" t="s">
        <v>1872</v>
      </c>
      <c r="H444" s="1138" t="s">
        <v>1872</v>
      </c>
      <c r="I444" s="1024">
        <v>10</v>
      </c>
      <c r="J444" s="1024" t="s">
        <v>1904</v>
      </c>
      <c r="K444" s="1024" t="s">
        <v>678</v>
      </c>
      <c r="L444" s="1026" t="s">
        <v>679</v>
      </c>
      <c r="M444" s="1089">
        <v>18000000</v>
      </c>
      <c r="N444" s="1080" t="s">
        <v>741</v>
      </c>
      <c r="O444" s="1080" t="s">
        <v>1875</v>
      </c>
      <c r="P444" s="1080"/>
      <c r="Q444" s="1024"/>
      <c r="R444" s="1019"/>
      <c r="S444" s="1127">
        <v>357</v>
      </c>
      <c r="T444" s="1153">
        <v>18000000</v>
      </c>
    </row>
    <row r="445" spans="1:20" s="992" customFormat="1" ht="102" x14ac:dyDescent="0.25">
      <c r="A445" s="1020">
        <v>2022440</v>
      </c>
      <c r="B445" s="1020">
        <v>7658</v>
      </c>
      <c r="C445" s="1020" t="s">
        <v>673</v>
      </c>
      <c r="D445" s="1036" t="s">
        <v>693</v>
      </c>
      <c r="E445" s="1037">
        <v>80111600</v>
      </c>
      <c r="F445" s="1023" t="s">
        <v>1064</v>
      </c>
      <c r="G445" s="1024" t="s">
        <v>1872</v>
      </c>
      <c r="H445" s="1138" t="s">
        <v>1872</v>
      </c>
      <c r="I445" s="1024">
        <v>10</v>
      </c>
      <c r="J445" s="1024" t="s">
        <v>1904</v>
      </c>
      <c r="K445" s="1024" t="s">
        <v>678</v>
      </c>
      <c r="L445" s="1026" t="s">
        <v>679</v>
      </c>
      <c r="M445" s="1089">
        <v>24500000</v>
      </c>
      <c r="N445" s="1080" t="s">
        <v>741</v>
      </c>
      <c r="O445" s="1080" t="s">
        <v>1875</v>
      </c>
      <c r="P445" s="1080"/>
      <c r="Q445" s="1024"/>
      <c r="R445" s="1019"/>
      <c r="S445" s="1127">
        <v>199</v>
      </c>
      <c r="T445" s="1153">
        <v>24500000</v>
      </c>
    </row>
    <row r="446" spans="1:20" s="992" customFormat="1" ht="102" x14ac:dyDescent="0.25">
      <c r="A446" s="1020">
        <v>2022441</v>
      </c>
      <c r="B446" s="1020">
        <v>7658</v>
      </c>
      <c r="C446" s="1020" t="s">
        <v>673</v>
      </c>
      <c r="D446" s="1036" t="s">
        <v>693</v>
      </c>
      <c r="E446" s="1037">
        <v>80111600</v>
      </c>
      <c r="F446" s="1023" t="s">
        <v>1064</v>
      </c>
      <c r="G446" s="1024" t="s">
        <v>1872</v>
      </c>
      <c r="H446" s="1138" t="s">
        <v>1872</v>
      </c>
      <c r="I446" s="1024">
        <v>10</v>
      </c>
      <c r="J446" s="1024" t="s">
        <v>1904</v>
      </c>
      <c r="K446" s="1024" t="s">
        <v>678</v>
      </c>
      <c r="L446" s="1026" t="s">
        <v>679</v>
      </c>
      <c r="M446" s="1089">
        <v>28500000</v>
      </c>
      <c r="N446" s="1080" t="s">
        <v>741</v>
      </c>
      <c r="O446" s="1080" t="s">
        <v>1875</v>
      </c>
      <c r="P446" s="1080"/>
      <c r="Q446" s="1024"/>
      <c r="R446" s="1019"/>
      <c r="S446" s="1127">
        <v>286</v>
      </c>
      <c r="T446" s="1153">
        <v>28500000</v>
      </c>
    </row>
    <row r="447" spans="1:20" s="992" customFormat="1" ht="102" x14ac:dyDescent="0.25">
      <c r="A447" s="1020">
        <v>2022442</v>
      </c>
      <c r="B447" s="1020">
        <v>7658</v>
      </c>
      <c r="C447" s="1020" t="s">
        <v>673</v>
      </c>
      <c r="D447" s="1036" t="s">
        <v>693</v>
      </c>
      <c r="E447" s="1037">
        <v>80111600</v>
      </c>
      <c r="F447" s="1023" t="s">
        <v>1065</v>
      </c>
      <c r="G447" s="1024" t="s">
        <v>1872</v>
      </c>
      <c r="H447" s="1138" t="s">
        <v>1872</v>
      </c>
      <c r="I447" s="1024">
        <v>10</v>
      </c>
      <c r="J447" s="1024" t="s">
        <v>1904</v>
      </c>
      <c r="K447" s="1024" t="s">
        <v>678</v>
      </c>
      <c r="L447" s="1026" t="s">
        <v>679</v>
      </c>
      <c r="M447" s="1089">
        <v>56650000</v>
      </c>
      <c r="N447" s="1080" t="s">
        <v>741</v>
      </c>
      <c r="O447" s="1080" t="s">
        <v>1875</v>
      </c>
      <c r="P447" s="1080"/>
      <c r="Q447" s="1024"/>
      <c r="R447" s="1019"/>
      <c r="S447" s="1127">
        <v>278</v>
      </c>
      <c r="T447" s="1153">
        <v>56650000</v>
      </c>
    </row>
    <row r="448" spans="1:20" s="992" customFormat="1" ht="102" x14ac:dyDescent="0.25">
      <c r="A448" s="1020">
        <v>2022443</v>
      </c>
      <c r="B448" s="1020">
        <v>7658</v>
      </c>
      <c r="C448" s="1020" t="s">
        <v>673</v>
      </c>
      <c r="D448" s="1036" t="s">
        <v>693</v>
      </c>
      <c r="E448" s="1037">
        <v>80111600</v>
      </c>
      <c r="F448" s="1023" t="s">
        <v>1066</v>
      </c>
      <c r="G448" s="1024" t="s">
        <v>1872</v>
      </c>
      <c r="H448" s="1138" t="s">
        <v>1872</v>
      </c>
      <c r="I448" s="1024">
        <v>10</v>
      </c>
      <c r="J448" s="1024" t="s">
        <v>1904</v>
      </c>
      <c r="K448" s="1024" t="s">
        <v>678</v>
      </c>
      <c r="L448" s="1026" t="s">
        <v>679</v>
      </c>
      <c r="M448" s="1089">
        <v>46350000</v>
      </c>
      <c r="N448" s="1080" t="s">
        <v>741</v>
      </c>
      <c r="O448" s="1080" t="s">
        <v>1875</v>
      </c>
      <c r="P448" s="1080"/>
      <c r="Q448" s="1024"/>
      <c r="R448" s="1019"/>
      <c r="S448" s="1127">
        <v>304</v>
      </c>
      <c r="T448" s="1153">
        <v>46350000</v>
      </c>
    </row>
    <row r="449" spans="1:20" s="992" customFormat="1" ht="102" x14ac:dyDescent="0.25">
      <c r="A449" s="1020">
        <v>2022444</v>
      </c>
      <c r="B449" s="1020">
        <v>7658</v>
      </c>
      <c r="C449" s="1020" t="s">
        <v>673</v>
      </c>
      <c r="D449" s="1036" t="s">
        <v>693</v>
      </c>
      <c r="E449" s="1037">
        <v>80111600</v>
      </c>
      <c r="F449" s="1023" t="s">
        <v>1066</v>
      </c>
      <c r="G449" s="1024" t="s">
        <v>1872</v>
      </c>
      <c r="H449" s="1138" t="s">
        <v>1872</v>
      </c>
      <c r="I449" s="1024">
        <v>10</v>
      </c>
      <c r="J449" s="1024" t="s">
        <v>1904</v>
      </c>
      <c r="K449" s="1024" t="s">
        <v>678</v>
      </c>
      <c r="L449" s="1026" t="s">
        <v>679</v>
      </c>
      <c r="M449" s="1089">
        <v>45000000</v>
      </c>
      <c r="N449" s="1080" t="s">
        <v>741</v>
      </c>
      <c r="O449" s="1080" t="s">
        <v>1875</v>
      </c>
      <c r="P449" s="1080"/>
      <c r="Q449" s="1024"/>
      <c r="R449" s="1019"/>
      <c r="S449" s="1127">
        <v>274</v>
      </c>
      <c r="T449" s="1153">
        <v>45000000</v>
      </c>
    </row>
    <row r="450" spans="1:20" s="992" customFormat="1" ht="102" x14ac:dyDescent="0.25">
      <c r="A450" s="1020">
        <v>2022445</v>
      </c>
      <c r="B450" s="1020">
        <v>7658</v>
      </c>
      <c r="C450" s="1020" t="s">
        <v>673</v>
      </c>
      <c r="D450" s="1036" t="s">
        <v>693</v>
      </c>
      <c r="E450" s="1037">
        <v>80111600</v>
      </c>
      <c r="F450" s="1023" t="s">
        <v>1067</v>
      </c>
      <c r="G450" s="1024" t="s">
        <v>1872</v>
      </c>
      <c r="H450" s="1138" t="s">
        <v>1872</v>
      </c>
      <c r="I450" s="1024">
        <v>6</v>
      </c>
      <c r="J450" s="1024" t="s">
        <v>1904</v>
      </c>
      <c r="K450" s="1024" t="s">
        <v>678</v>
      </c>
      <c r="L450" s="1026" t="s">
        <v>679</v>
      </c>
      <c r="M450" s="1089">
        <v>27810000</v>
      </c>
      <c r="N450" s="1080" t="s">
        <v>741</v>
      </c>
      <c r="O450" s="1080" t="s">
        <v>1875</v>
      </c>
      <c r="P450" s="1080"/>
      <c r="Q450" s="1024"/>
      <c r="R450" s="1019"/>
      <c r="S450" s="1127">
        <v>393</v>
      </c>
      <c r="T450" s="1153">
        <v>27810000</v>
      </c>
    </row>
    <row r="451" spans="1:20" s="992" customFormat="1" ht="102" x14ac:dyDescent="0.25">
      <c r="A451" s="1010">
        <v>2022446</v>
      </c>
      <c r="B451" s="1010">
        <v>7658</v>
      </c>
      <c r="C451" s="1010" t="s">
        <v>673</v>
      </c>
      <c r="D451" s="1042" t="s">
        <v>693</v>
      </c>
      <c r="E451" s="1043">
        <v>80111600</v>
      </c>
      <c r="F451" s="1013" t="s">
        <v>1067</v>
      </c>
      <c r="G451" s="1014" t="s">
        <v>1872</v>
      </c>
      <c r="H451" s="1138" t="s">
        <v>1872</v>
      </c>
      <c r="I451" s="1014">
        <v>4</v>
      </c>
      <c r="J451" s="1014" t="s">
        <v>1904</v>
      </c>
      <c r="K451" s="1014" t="s">
        <v>678</v>
      </c>
      <c r="L451" s="1016" t="s">
        <v>679</v>
      </c>
      <c r="M451" s="1090">
        <v>18540000</v>
      </c>
      <c r="N451" s="1034" t="s">
        <v>741</v>
      </c>
      <c r="O451" s="1034" t="s">
        <v>1875</v>
      </c>
      <c r="P451" s="1034"/>
      <c r="Q451" s="1014"/>
      <c r="R451" s="1019"/>
      <c r="S451" s="1127"/>
      <c r="T451" s="1153"/>
    </row>
    <row r="452" spans="1:20" s="992" customFormat="1" ht="102" x14ac:dyDescent="0.25">
      <c r="A452" s="1020">
        <v>2022447</v>
      </c>
      <c r="B452" s="1020">
        <v>7658</v>
      </c>
      <c r="C452" s="1020" t="s">
        <v>673</v>
      </c>
      <c r="D452" s="1036" t="s">
        <v>693</v>
      </c>
      <c r="E452" s="1037">
        <v>80111600</v>
      </c>
      <c r="F452" s="1023" t="s">
        <v>1068</v>
      </c>
      <c r="G452" s="1024" t="s">
        <v>1872</v>
      </c>
      <c r="H452" s="1138" t="s">
        <v>1872</v>
      </c>
      <c r="I452" s="1024">
        <v>10</v>
      </c>
      <c r="J452" s="1024" t="s">
        <v>1904</v>
      </c>
      <c r="K452" s="1024" t="s">
        <v>678</v>
      </c>
      <c r="L452" s="1026" t="s">
        <v>679</v>
      </c>
      <c r="M452" s="1089">
        <v>57000000</v>
      </c>
      <c r="N452" s="1080" t="s">
        <v>741</v>
      </c>
      <c r="O452" s="1080" t="s">
        <v>1875</v>
      </c>
      <c r="P452" s="1080"/>
      <c r="Q452" s="1024"/>
      <c r="R452" s="1019"/>
      <c r="S452" s="1127">
        <v>305</v>
      </c>
      <c r="T452" s="1153">
        <v>57000000</v>
      </c>
    </row>
    <row r="453" spans="1:20" s="992" customFormat="1" ht="102" x14ac:dyDescent="0.25">
      <c r="A453" s="1020">
        <v>2022448</v>
      </c>
      <c r="B453" s="1020">
        <v>7658</v>
      </c>
      <c r="C453" s="1020" t="s">
        <v>673</v>
      </c>
      <c r="D453" s="1036" t="s">
        <v>693</v>
      </c>
      <c r="E453" s="1037">
        <v>80111600</v>
      </c>
      <c r="F453" s="1023" t="s">
        <v>1068</v>
      </c>
      <c r="G453" s="1024" t="s">
        <v>1872</v>
      </c>
      <c r="H453" s="1138" t="s">
        <v>1872</v>
      </c>
      <c r="I453" s="1024">
        <v>10</v>
      </c>
      <c r="J453" s="1024" t="s">
        <v>1904</v>
      </c>
      <c r="K453" s="1024" t="s">
        <v>678</v>
      </c>
      <c r="L453" s="1026" t="s">
        <v>679</v>
      </c>
      <c r="M453" s="1089">
        <v>48500000</v>
      </c>
      <c r="N453" s="1080" t="s">
        <v>741</v>
      </c>
      <c r="O453" s="1080" t="s">
        <v>1875</v>
      </c>
      <c r="P453" s="1080"/>
      <c r="Q453" s="1024"/>
      <c r="R453" s="1019"/>
      <c r="S453" s="1127">
        <v>279</v>
      </c>
      <c r="T453" s="1153">
        <v>48500000</v>
      </c>
    </row>
    <row r="454" spans="1:20" s="992" customFormat="1" ht="102" x14ac:dyDescent="0.25">
      <c r="A454" s="1020">
        <v>2022449</v>
      </c>
      <c r="B454" s="1020">
        <v>7658</v>
      </c>
      <c r="C454" s="1020" t="s">
        <v>673</v>
      </c>
      <c r="D454" s="1036" t="s">
        <v>693</v>
      </c>
      <c r="E454" s="1037">
        <v>80111600</v>
      </c>
      <c r="F454" s="1023" t="s">
        <v>1068</v>
      </c>
      <c r="G454" s="1024" t="s">
        <v>1872</v>
      </c>
      <c r="H454" s="1138" t="s">
        <v>1872</v>
      </c>
      <c r="I454" s="1024">
        <v>10</v>
      </c>
      <c r="J454" s="1024" t="s">
        <v>1904</v>
      </c>
      <c r="K454" s="1024" t="s">
        <v>678</v>
      </c>
      <c r="L454" s="1026" t="s">
        <v>679</v>
      </c>
      <c r="M454" s="1089">
        <v>48500000</v>
      </c>
      <c r="N454" s="1080" t="s">
        <v>741</v>
      </c>
      <c r="O454" s="1080" t="s">
        <v>1875</v>
      </c>
      <c r="P454" s="1080"/>
      <c r="Q454" s="1024"/>
      <c r="R454" s="1019"/>
      <c r="S454" s="1127">
        <v>306</v>
      </c>
      <c r="T454" s="1153">
        <v>48500000</v>
      </c>
    </row>
    <row r="455" spans="1:20" s="992" customFormat="1" ht="102" x14ac:dyDescent="0.25">
      <c r="A455" s="1020">
        <v>2022450</v>
      </c>
      <c r="B455" s="1020">
        <v>7658</v>
      </c>
      <c r="C455" s="1020" t="s">
        <v>673</v>
      </c>
      <c r="D455" s="1036" t="s">
        <v>693</v>
      </c>
      <c r="E455" s="1037">
        <v>80111600</v>
      </c>
      <c r="F455" s="1023" t="s">
        <v>1069</v>
      </c>
      <c r="G455" s="1024" t="s">
        <v>1872</v>
      </c>
      <c r="H455" s="1138" t="s">
        <v>1872</v>
      </c>
      <c r="I455" s="1024">
        <v>10</v>
      </c>
      <c r="J455" s="1024" t="s">
        <v>1904</v>
      </c>
      <c r="K455" s="1024" t="s">
        <v>678</v>
      </c>
      <c r="L455" s="1026" t="s">
        <v>679</v>
      </c>
      <c r="M455" s="1089">
        <v>48500000</v>
      </c>
      <c r="N455" s="1080" t="s">
        <v>741</v>
      </c>
      <c r="O455" s="1080" t="s">
        <v>1875</v>
      </c>
      <c r="P455" s="1080"/>
      <c r="Q455" s="1024"/>
      <c r="R455" s="1019"/>
      <c r="S455" s="1127">
        <v>463</v>
      </c>
      <c r="T455" s="1153">
        <v>29100000</v>
      </c>
    </row>
    <row r="456" spans="1:20" s="992" customFormat="1" ht="102" x14ac:dyDescent="0.25">
      <c r="A456" s="1020">
        <v>2022451</v>
      </c>
      <c r="B456" s="1020">
        <v>7658</v>
      </c>
      <c r="C456" s="1020" t="s">
        <v>673</v>
      </c>
      <c r="D456" s="1036" t="s">
        <v>693</v>
      </c>
      <c r="E456" s="1037">
        <v>80111600</v>
      </c>
      <c r="F456" s="1023" t="s">
        <v>1069</v>
      </c>
      <c r="G456" s="1024" t="s">
        <v>1872</v>
      </c>
      <c r="H456" s="1138" t="s">
        <v>1872</v>
      </c>
      <c r="I456" s="1024">
        <v>10</v>
      </c>
      <c r="J456" s="1024" t="s">
        <v>1904</v>
      </c>
      <c r="K456" s="1024" t="s">
        <v>678</v>
      </c>
      <c r="L456" s="1026" t="s">
        <v>679</v>
      </c>
      <c r="M456" s="1089">
        <v>35000000</v>
      </c>
      <c r="N456" s="1080" t="s">
        <v>741</v>
      </c>
      <c r="O456" s="1080" t="s">
        <v>1875</v>
      </c>
      <c r="P456" s="1080"/>
      <c r="Q456" s="1024"/>
      <c r="R456" s="1019"/>
      <c r="S456" s="1127">
        <v>436</v>
      </c>
      <c r="T456" s="1153">
        <v>21000000</v>
      </c>
    </row>
    <row r="457" spans="1:20" s="992" customFormat="1" ht="102" x14ac:dyDescent="0.25">
      <c r="A457" s="1020">
        <v>2022452</v>
      </c>
      <c r="B457" s="1020">
        <v>7658</v>
      </c>
      <c r="C457" s="1020" t="s">
        <v>673</v>
      </c>
      <c r="D457" s="1036" t="s">
        <v>693</v>
      </c>
      <c r="E457" s="1037">
        <v>80111600</v>
      </c>
      <c r="F457" s="1023" t="s">
        <v>1068</v>
      </c>
      <c r="G457" s="1024" t="s">
        <v>1872</v>
      </c>
      <c r="H457" s="1138" t="s">
        <v>1872</v>
      </c>
      <c r="I457" s="1024">
        <v>6</v>
      </c>
      <c r="J457" s="1024" t="s">
        <v>1904</v>
      </c>
      <c r="K457" s="1024" t="s">
        <v>678</v>
      </c>
      <c r="L457" s="1026" t="s">
        <v>679</v>
      </c>
      <c r="M457" s="1089">
        <v>29100000</v>
      </c>
      <c r="N457" s="1080" t="s">
        <v>741</v>
      </c>
      <c r="O457" s="1080" t="s">
        <v>1875</v>
      </c>
      <c r="P457" s="1080"/>
      <c r="Q457" s="1024"/>
      <c r="R457" s="1019"/>
      <c r="S457" s="1127">
        <v>307</v>
      </c>
      <c r="T457" s="1153">
        <v>29100000</v>
      </c>
    </row>
    <row r="458" spans="1:20" s="992" customFormat="1" ht="102" x14ac:dyDescent="0.25">
      <c r="A458" s="1010">
        <v>2022453</v>
      </c>
      <c r="B458" s="1010">
        <v>7658</v>
      </c>
      <c r="C458" s="1010" t="s">
        <v>673</v>
      </c>
      <c r="D458" s="1042" t="s">
        <v>693</v>
      </c>
      <c r="E458" s="1043">
        <v>80111600</v>
      </c>
      <c r="F458" s="1013" t="s">
        <v>1068</v>
      </c>
      <c r="G458" s="1014" t="s">
        <v>1872</v>
      </c>
      <c r="H458" s="1138" t="s">
        <v>1872</v>
      </c>
      <c r="I458" s="1014">
        <v>4</v>
      </c>
      <c r="J458" s="1014" t="s">
        <v>1904</v>
      </c>
      <c r="K458" s="1014" t="s">
        <v>678</v>
      </c>
      <c r="L458" s="1016" t="s">
        <v>679</v>
      </c>
      <c r="M458" s="1090">
        <v>19400000</v>
      </c>
      <c r="N458" s="1034" t="s">
        <v>741</v>
      </c>
      <c r="O458" s="1034" t="s">
        <v>1875</v>
      </c>
      <c r="P458" s="1034"/>
      <c r="Q458" s="1014"/>
      <c r="R458" s="1019"/>
      <c r="S458" s="1127"/>
      <c r="T458" s="1153"/>
    </row>
    <row r="459" spans="1:20" s="992" customFormat="1" ht="102" x14ac:dyDescent="0.25">
      <c r="A459" s="1020">
        <v>2022454</v>
      </c>
      <c r="B459" s="1020">
        <v>7658</v>
      </c>
      <c r="C459" s="1020" t="s">
        <v>673</v>
      </c>
      <c r="D459" s="1036" t="s">
        <v>693</v>
      </c>
      <c r="E459" s="1037">
        <v>80111600</v>
      </c>
      <c r="F459" s="1023" t="s">
        <v>1070</v>
      </c>
      <c r="G459" s="1024" t="s">
        <v>1872</v>
      </c>
      <c r="H459" s="1138" t="s">
        <v>1872</v>
      </c>
      <c r="I459" s="1024">
        <v>10</v>
      </c>
      <c r="J459" s="1024" t="s">
        <v>1904</v>
      </c>
      <c r="K459" s="1024" t="s">
        <v>678</v>
      </c>
      <c r="L459" s="1026" t="s">
        <v>679</v>
      </c>
      <c r="M459" s="1089">
        <v>55000000</v>
      </c>
      <c r="N459" s="1080" t="s">
        <v>741</v>
      </c>
      <c r="O459" s="1080" t="s">
        <v>1875</v>
      </c>
      <c r="P459" s="1080"/>
      <c r="Q459" s="1024"/>
      <c r="R459" s="1019"/>
      <c r="S459" s="1127">
        <v>312</v>
      </c>
      <c r="T459" s="1153">
        <v>55000000</v>
      </c>
    </row>
    <row r="460" spans="1:20" s="992" customFormat="1" ht="102" x14ac:dyDescent="0.25">
      <c r="A460" s="1020">
        <v>2022455</v>
      </c>
      <c r="B460" s="1020">
        <v>7658</v>
      </c>
      <c r="C460" s="1020" t="s">
        <v>673</v>
      </c>
      <c r="D460" s="1036" t="s">
        <v>693</v>
      </c>
      <c r="E460" s="1037">
        <v>80111600</v>
      </c>
      <c r="F460" s="1023" t="s">
        <v>1070</v>
      </c>
      <c r="G460" s="1024" t="s">
        <v>1872</v>
      </c>
      <c r="H460" s="1138" t="s">
        <v>1872</v>
      </c>
      <c r="I460" s="1024">
        <v>10</v>
      </c>
      <c r="J460" s="1024" t="s">
        <v>1904</v>
      </c>
      <c r="K460" s="1024" t="s">
        <v>678</v>
      </c>
      <c r="L460" s="1026" t="s">
        <v>679</v>
      </c>
      <c r="M460" s="1089">
        <v>55000000</v>
      </c>
      <c r="N460" s="1080" t="s">
        <v>741</v>
      </c>
      <c r="O460" s="1080" t="s">
        <v>1875</v>
      </c>
      <c r="P460" s="1080"/>
      <c r="Q460" s="1024"/>
      <c r="R460" s="1019"/>
      <c r="S460" s="1127">
        <v>308</v>
      </c>
      <c r="T460" s="1153">
        <v>55000000</v>
      </c>
    </row>
    <row r="461" spans="1:20" s="992" customFormat="1" ht="102" x14ac:dyDescent="0.25">
      <c r="A461" s="1020">
        <v>2022456</v>
      </c>
      <c r="B461" s="1020">
        <v>7658</v>
      </c>
      <c r="C461" s="1020" t="s">
        <v>673</v>
      </c>
      <c r="D461" s="1036" t="s">
        <v>693</v>
      </c>
      <c r="E461" s="1037">
        <v>80111600</v>
      </c>
      <c r="F461" s="1023" t="s">
        <v>1070</v>
      </c>
      <c r="G461" s="1024" t="s">
        <v>1872</v>
      </c>
      <c r="H461" s="1138" t="s">
        <v>1872</v>
      </c>
      <c r="I461" s="1024">
        <v>6</v>
      </c>
      <c r="J461" s="1024" t="s">
        <v>1904</v>
      </c>
      <c r="K461" s="1024" t="s">
        <v>678</v>
      </c>
      <c r="L461" s="1026" t="s">
        <v>679</v>
      </c>
      <c r="M461" s="1089">
        <v>29100000</v>
      </c>
      <c r="N461" s="1080" t="s">
        <v>741</v>
      </c>
      <c r="O461" s="1080" t="s">
        <v>1875</v>
      </c>
      <c r="P461" s="1080"/>
      <c r="Q461" s="1024"/>
      <c r="R461" s="1019"/>
      <c r="S461" s="1127">
        <v>406</v>
      </c>
      <c r="T461" s="1153">
        <v>29100000</v>
      </c>
    </row>
    <row r="462" spans="1:20" s="992" customFormat="1" ht="102" x14ac:dyDescent="0.25">
      <c r="A462" s="1010">
        <v>2022457</v>
      </c>
      <c r="B462" s="1010">
        <v>7658</v>
      </c>
      <c r="C462" s="1010" t="s">
        <v>673</v>
      </c>
      <c r="D462" s="1042" t="s">
        <v>693</v>
      </c>
      <c r="E462" s="1043">
        <v>80111600</v>
      </c>
      <c r="F462" s="1013" t="s">
        <v>1070</v>
      </c>
      <c r="G462" s="1014" t="s">
        <v>1872</v>
      </c>
      <c r="H462" s="1138" t="s">
        <v>1872</v>
      </c>
      <c r="I462" s="1014">
        <v>4</v>
      </c>
      <c r="J462" s="1014" t="s">
        <v>1904</v>
      </c>
      <c r="K462" s="1014" t="s">
        <v>678</v>
      </c>
      <c r="L462" s="1016" t="s">
        <v>679</v>
      </c>
      <c r="M462" s="1090">
        <v>19400000</v>
      </c>
      <c r="N462" s="1034" t="s">
        <v>741</v>
      </c>
      <c r="O462" s="1034" t="s">
        <v>1875</v>
      </c>
      <c r="P462" s="1034"/>
      <c r="Q462" s="1014"/>
      <c r="R462" s="1019"/>
      <c r="S462" s="1127"/>
      <c r="T462" s="1153"/>
    </row>
    <row r="463" spans="1:20" s="992" customFormat="1" ht="102" x14ac:dyDescent="0.25">
      <c r="A463" s="1020">
        <v>2022458</v>
      </c>
      <c r="B463" s="1020">
        <v>7658</v>
      </c>
      <c r="C463" s="1020" t="s">
        <v>673</v>
      </c>
      <c r="D463" s="1036" t="s">
        <v>693</v>
      </c>
      <c r="E463" s="1037">
        <v>80111600</v>
      </c>
      <c r="F463" s="1023" t="s">
        <v>1070</v>
      </c>
      <c r="G463" s="1024" t="s">
        <v>1872</v>
      </c>
      <c r="H463" s="1138" t="s">
        <v>1872</v>
      </c>
      <c r="I463" s="1024">
        <v>10</v>
      </c>
      <c r="J463" s="1024" t="s">
        <v>1904</v>
      </c>
      <c r="K463" s="1024" t="s">
        <v>678</v>
      </c>
      <c r="L463" s="1026" t="s">
        <v>679</v>
      </c>
      <c r="M463" s="1089">
        <v>48500000</v>
      </c>
      <c r="N463" s="1080" t="s">
        <v>741</v>
      </c>
      <c r="O463" s="1080" t="s">
        <v>1875</v>
      </c>
      <c r="P463" s="1080"/>
      <c r="Q463" s="1024"/>
      <c r="R463" s="1019"/>
      <c r="S463" s="1127">
        <v>379</v>
      </c>
      <c r="T463" s="1153">
        <v>48500000</v>
      </c>
    </row>
    <row r="464" spans="1:20" s="992" customFormat="1" ht="102" x14ac:dyDescent="0.25">
      <c r="A464" s="1020">
        <v>2022459</v>
      </c>
      <c r="B464" s="1020">
        <v>7658</v>
      </c>
      <c r="C464" s="1020" t="s">
        <v>673</v>
      </c>
      <c r="D464" s="1036" t="s">
        <v>693</v>
      </c>
      <c r="E464" s="1037">
        <v>80111600</v>
      </c>
      <c r="F464" s="1023" t="s">
        <v>1070</v>
      </c>
      <c r="G464" s="1024" t="s">
        <v>1872</v>
      </c>
      <c r="H464" s="1138" t="s">
        <v>1872</v>
      </c>
      <c r="I464" s="1024">
        <v>6</v>
      </c>
      <c r="J464" s="1024" t="s">
        <v>1904</v>
      </c>
      <c r="K464" s="1024" t="s">
        <v>678</v>
      </c>
      <c r="L464" s="1026" t="s">
        <v>679</v>
      </c>
      <c r="M464" s="1089">
        <v>29100000</v>
      </c>
      <c r="N464" s="1080" t="s">
        <v>741</v>
      </c>
      <c r="O464" s="1080" t="s">
        <v>1875</v>
      </c>
      <c r="P464" s="1080"/>
      <c r="Q464" s="1024"/>
      <c r="R464" s="1019"/>
      <c r="S464" s="1127">
        <v>446</v>
      </c>
      <c r="T464" s="1153">
        <v>29100000</v>
      </c>
    </row>
    <row r="465" spans="1:20" s="992" customFormat="1" ht="102" x14ac:dyDescent="0.25">
      <c r="A465" s="1010">
        <v>2022460</v>
      </c>
      <c r="B465" s="1010">
        <v>7658</v>
      </c>
      <c r="C465" s="1010" t="s">
        <v>673</v>
      </c>
      <c r="D465" s="1042" t="s">
        <v>693</v>
      </c>
      <c r="E465" s="1043">
        <v>80111600</v>
      </c>
      <c r="F465" s="1013" t="s">
        <v>1070</v>
      </c>
      <c r="G465" s="1014" t="s">
        <v>1872</v>
      </c>
      <c r="H465" s="1138" t="s">
        <v>1872</v>
      </c>
      <c r="I465" s="1014">
        <v>4</v>
      </c>
      <c r="J465" s="1014" t="s">
        <v>1904</v>
      </c>
      <c r="K465" s="1014" t="s">
        <v>678</v>
      </c>
      <c r="L465" s="1016" t="s">
        <v>679</v>
      </c>
      <c r="M465" s="1090">
        <v>19400000</v>
      </c>
      <c r="N465" s="1034" t="s">
        <v>741</v>
      </c>
      <c r="O465" s="1034" t="s">
        <v>1875</v>
      </c>
      <c r="P465" s="1034"/>
      <c r="Q465" s="1014"/>
      <c r="R465" s="1019"/>
      <c r="S465" s="1127"/>
      <c r="T465" s="1153"/>
    </row>
    <row r="466" spans="1:20" s="992" customFormat="1" ht="102" x14ac:dyDescent="0.25">
      <c r="A466" s="1020">
        <v>2022461</v>
      </c>
      <c r="B466" s="1020">
        <v>7658</v>
      </c>
      <c r="C466" s="1020" t="s">
        <v>673</v>
      </c>
      <c r="D466" s="1036" t="s">
        <v>693</v>
      </c>
      <c r="E466" s="1037">
        <v>80111600</v>
      </c>
      <c r="F466" s="1023" t="s">
        <v>1070</v>
      </c>
      <c r="G466" s="1024" t="s">
        <v>1872</v>
      </c>
      <c r="H466" s="1138" t="s">
        <v>1872</v>
      </c>
      <c r="I466" s="1024">
        <v>10</v>
      </c>
      <c r="J466" s="1024" t="s">
        <v>1904</v>
      </c>
      <c r="K466" s="1024" t="s">
        <v>678</v>
      </c>
      <c r="L466" s="1026" t="s">
        <v>679</v>
      </c>
      <c r="M466" s="1089">
        <v>45000000</v>
      </c>
      <c r="N466" s="1080" t="s">
        <v>741</v>
      </c>
      <c r="O466" s="1080" t="s">
        <v>1875</v>
      </c>
      <c r="P466" s="1080"/>
      <c r="Q466" s="1024"/>
      <c r="R466" s="1019"/>
      <c r="S466" s="1127">
        <v>377</v>
      </c>
      <c r="T466" s="1153">
        <v>45000000</v>
      </c>
    </row>
    <row r="467" spans="1:20" s="992" customFormat="1" ht="102" x14ac:dyDescent="0.25">
      <c r="A467" s="1020">
        <v>2022462</v>
      </c>
      <c r="B467" s="1020">
        <v>7658</v>
      </c>
      <c r="C467" s="1020" t="s">
        <v>673</v>
      </c>
      <c r="D467" s="1036" t="s">
        <v>693</v>
      </c>
      <c r="E467" s="1037">
        <v>80111600</v>
      </c>
      <c r="F467" s="1023" t="s">
        <v>1071</v>
      </c>
      <c r="G467" s="1024" t="s">
        <v>1872</v>
      </c>
      <c r="H467" s="1138" t="s">
        <v>1872</v>
      </c>
      <c r="I467" s="1024">
        <v>6</v>
      </c>
      <c r="J467" s="1024" t="s">
        <v>1904</v>
      </c>
      <c r="K467" s="1024" t="s">
        <v>678</v>
      </c>
      <c r="L467" s="1026" t="s">
        <v>679</v>
      </c>
      <c r="M467" s="1089">
        <v>16500000</v>
      </c>
      <c r="N467" s="1080" t="s">
        <v>741</v>
      </c>
      <c r="O467" s="1080" t="s">
        <v>1875</v>
      </c>
      <c r="P467" s="1080"/>
      <c r="Q467" s="1024"/>
      <c r="R467" s="1019"/>
      <c r="S467" s="1127">
        <v>467</v>
      </c>
      <c r="T467" s="1153">
        <v>14700000</v>
      </c>
    </row>
    <row r="468" spans="1:20" s="992" customFormat="1" ht="102" x14ac:dyDescent="0.25">
      <c r="A468" s="1010">
        <v>2022463</v>
      </c>
      <c r="B468" s="1010">
        <v>7658</v>
      </c>
      <c r="C468" s="1010" t="s">
        <v>673</v>
      </c>
      <c r="D468" s="1042" t="s">
        <v>693</v>
      </c>
      <c r="E468" s="1043">
        <v>80111600</v>
      </c>
      <c r="F468" s="1013" t="s">
        <v>1071</v>
      </c>
      <c r="G468" s="1014" t="s">
        <v>1872</v>
      </c>
      <c r="H468" s="1138" t="s">
        <v>1872</v>
      </c>
      <c r="I468" s="1014">
        <v>4</v>
      </c>
      <c r="J468" s="1014" t="s">
        <v>1904</v>
      </c>
      <c r="K468" s="1014" t="s">
        <v>678</v>
      </c>
      <c r="L468" s="1016" t="s">
        <v>679</v>
      </c>
      <c r="M468" s="1090">
        <v>11000000</v>
      </c>
      <c r="N468" s="1034" t="s">
        <v>741</v>
      </c>
      <c r="O468" s="1034" t="s">
        <v>1875</v>
      </c>
      <c r="P468" s="1034"/>
      <c r="Q468" s="1014"/>
      <c r="R468" s="1019"/>
      <c r="S468" s="1127"/>
      <c r="T468" s="1153"/>
    </row>
    <row r="469" spans="1:20" s="992" customFormat="1" ht="102" x14ac:dyDescent="0.25">
      <c r="A469" s="1020">
        <v>2022464</v>
      </c>
      <c r="B469" s="1020">
        <v>7658</v>
      </c>
      <c r="C469" s="1020" t="s">
        <v>673</v>
      </c>
      <c r="D469" s="1036" t="s">
        <v>693</v>
      </c>
      <c r="E469" s="1037">
        <v>80111600</v>
      </c>
      <c r="F469" s="1023" t="s">
        <v>1072</v>
      </c>
      <c r="G469" s="1024" t="s">
        <v>1872</v>
      </c>
      <c r="H469" s="1138" t="s">
        <v>1872</v>
      </c>
      <c r="I469" s="1024">
        <v>10</v>
      </c>
      <c r="J469" s="1024" t="s">
        <v>1904</v>
      </c>
      <c r="K469" s="1024" t="s">
        <v>678</v>
      </c>
      <c r="L469" s="1026" t="s">
        <v>679</v>
      </c>
      <c r="M469" s="1089">
        <v>50000000</v>
      </c>
      <c r="N469" s="1080" t="s">
        <v>741</v>
      </c>
      <c r="O469" s="1080" t="s">
        <v>1875</v>
      </c>
      <c r="P469" s="1080"/>
      <c r="Q469" s="1024"/>
      <c r="R469" s="1019"/>
      <c r="S469" s="1127">
        <v>439</v>
      </c>
      <c r="T469" s="1153">
        <v>30000000</v>
      </c>
    </row>
    <row r="470" spans="1:20" s="992" customFormat="1" ht="102" x14ac:dyDescent="0.25">
      <c r="A470" s="1020">
        <v>2022465</v>
      </c>
      <c r="B470" s="1020">
        <v>7658</v>
      </c>
      <c r="C470" s="1020" t="s">
        <v>673</v>
      </c>
      <c r="D470" s="1036" t="s">
        <v>693</v>
      </c>
      <c r="E470" s="1037">
        <v>80111600</v>
      </c>
      <c r="F470" s="1023" t="s">
        <v>1073</v>
      </c>
      <c r="G470" s="1024" t="s">
        <v>1872</v>
      </c>
      <c r="H470" s="1138" t="s">
        <v>1872</v>
      </c>
      <c r="I470" s="1024">
        <v>10</v>
      </c>
      <c r="J470" s="1024" t="s">
        <v>1904</v>
      </c>
      <c r="K470" s="1024" t="s">
        <v>678</v>
      </c>
      <c r="L470" s="1026" t="s">
        <v>679</v>
      </c>
      <c r="M470" s="1089">
        <v>48500000</v>
      </c>
      <c r="N470" s="1080" t="s">
        <v>741</v>
      </c>
      <c r="O470" s="1080" t="s">
        <v>1875</v>
      </c>
      <c r="P470" s="1080"/>
      <c r="Q470" s="1024"/>
      <c r="R470" s="1019"/>
      <c r="S470" s="1127">
        <v>135</v>
      </c>
      <c r="T470" s="1153">
        <v>48500000</v>
      </c>
    </row>
    <row r="471" spans="1:20" s="992" customFormat="1" ht="102" x14ac:dyDescent="0.25">
      <c r="A471" s="1020">
        <v>2022466</v>
      </c>
      <c r="B471" s="1020">
        <v>7658</v>
      </c>
      <c r="C471" s="1020" t="s">
        <v>673</v>
      </c>
      <c r="D471" s="1036" t="s">
        <v>693</v>
      </c>
      <c r="E471" s="1037">
        <v>80111600</v>
      </c>
      <c r="F471" s="1023" t="s">
        <v>1074</v>
      </c>
      <c r="G471" s="1024" t="s">
        <v>1872</v>
      </c>
      <c r="H471" s="1138" t="s">
        <v>1872</v>
      </c>
      <c r="I471" s="1024">
        <v>10</v>
      </c>
      <c r="J471" s="1024" t="s">
        <v>1904</v>
      </c>
      <c r="K471" s="1024" t="s">
        <v>678</v>
      </c>
      <c r="L471" s="1026" t="s">
        <v>679</v>
      </c>
      <c r="M471" s="1089">
        <v>33500000</v>
      </c>
      <c r="N471" s="1080" t="s">
        <v>741</v>
      </c>
      <c r="O471" s="1080" t="s">
        <v>1875</v>
      </c>
      <c r="P471" s="1080"/>
      <c r="Q471" s="1024"/>
      <c r="R471" s="1019"/>
      <c r="S471" s="1127">
        <v>142</v>
      </c>
      <c r="T471" s="1153">
        <v>33500000</v>
      </c>
    </row>
    <row r="472" spans="1:20" s="992" customFormat="1" ht="102" x14ac:dyDescent="0.25">
      <c r="A472" s="1020">
        <v>2022467</v>
      </c>
      <c r="B472" s="1020">
        <v>7658</v>
      </c>
      <c r="C472" s="1020" t="s">
        <v>673</v>
      </c>
      <c r="D472" s="1036" t="s">
        <v>693</v>
      </c>
      <c r="E472" s="1037">
        <v>80111600</v>
      </c>
      <c r="F472" s="1023" t="s">
        <v>1075</v>
      </c>
      <c r="G472" s="1024" t="s">
        <v>1872</v>
      </c>
      <c r="H472" s="1138" t="s">
        <v>1872</v>
      </c>
      <c r="I472" s="1024">
        <v>10</v>
      </c>
      <c r="J472" s="1024" t="s">
        <v>1904</v>
      </c>
      <c r="K472" s="1024" t="s">
        <v>678</v>
      </c>
      <c r="L472" s="1026" t="s">
        <v>679</v>
      </c>
      <c r="M472" s="1089">
        <v>48500000</v>
      </c>
      <c r="N472" s="1080" t="s">
        <v>741</v>
      </c>
      <c r="O472" s="1080" t="s">
        <v>1875</v>
      </c>
      <c r="P472" s="1080"/>
      <c r="Q472" s="1024"/>
      <c r="R472" s="1019"/>
      <c r="S472" s="1127">
        <v>194</v>
      </c>
      <c r="T472" s="1153">
        <v>19400000</v>
      </c>
    </row>
    <row r="473" spans="1:20" s="992" customFormat="1" ht="102" x14ac:dyDescent="0.25">
      <c r="A473" s="1010">
        <v>2022468</v>
      </c>
      <c r="B473" s="1010">
        <v>7658</v>
      </c>
      <c r="C473" s="1010" t="s">
        <v>673</v>
      </c>
      <c r="D473" s="1042" t="s">
        <v>693</v>
      </c>
      <c r="E473" s="1043">
        <v>80111600</v>
      </c>
      <c r="F473" s="1013" t="s">
        <v>1076</v>
      </c>
      <c r="G473" s="1014" t="s">
        <v>1872</v>
      </c>
      <c r="H473" s="1138" t="s">
        <v>1872</v>
      </c>
      <c r="I473" s="1014">
        <v>4</v>
      </c>
      <c r="J473" s="1014" t="s">
        <v>1904</v>
      </c>
      <c r="K473" s="1014" t="s">
        <v>678</v>
      </c>
      <c r="L473" s="1016" t="s">
        <v>679</v>
      </c>
      <c r="M473" s="1090">
        <v>19400000</v>
      </c>
      <c r="N473" s="1034" t="s">
        <v>741</v>
      </c>
      <c r="O473" s="1034" t="s">
        <v>1875</v>
      </c>
      <c r="P473" s="1034"/>
      <c r="Q473" s="1014"/>
      <c r="R473" s="1019"/>
      <c r="S473" s="1127"/>
      <c r="T473" s="1153"/>
    </row>
    <row r="474" spans="1:20" s="992" customFormat="1" ht="102" x14ac:dyDescent="0.25">
      <c r="A474" s="1020">
        <v>2022469</v>
      </c>
      <c r="B474" s="1020">
        <v>7658</v>
      </c>
      <c r="C474" s="1020" t="s">
        <v>673</v>
      </c>
      <c r="D474" s="1036" t="s">
        <v>693</v>
      </c>
      <c r="E474" s="1037">
        <v>80111600</v>
      </c>
      <c r="F474" s="1023" t="s">
        <v>1076</v>
      </c>
      <c r="G474" s="1024" t="s">
        <v>1872</v>
      </c>
      <c r="H474" s="1138" t="s">
        <v>1872</v>
      </c>
      <c r="I474" s="1024">
        <v>6</v>
      </c>
      <c r="J474" s="1024" t="s">
        <v>1904</v>
      </c>
      <c r="K474" s="1024" t="s">
        <v>678</v>
      </c>
      <c r="L474" s="1026" t="s">
        <v>679</v>
      </c>
      <c r="M474" s="1089">
        <v>29100000</v>
      </c>
      <c r="N474" s="1080" t="s">
        <v>741</v>
      </c>
      <c r="O474" s="1080" t="s">
        <v>1875</v>
      </c>
      <c r="P474" s="1080"/>
      <c r="Q474" s="1024"/>
      <c r="R474" s="1019"/>
      <c r="S474" s="1127">
        <v>380</v>
      </c>
      <c r="T474" s="1153">
        <v>29100000</v>
      </c>
    </row>
    <row r="475" spans="1:20" s="992" customFormat="1" ht="102" x14ac:dyDescent="0.25">
      <c r="A475" s="1010">
        <v>2022470</v>
      </c>
      <c r="B475" s="1010">
        <v>7658</v>
      </c>
      <c r="C475" s="1010" t="s">
        <v>673</v>
      </c>
      <c r="D475" s="1042" t="s">
        <v>693</v>
      </c>
      <c r="E475" s="1043">
        <v>80111600</v>
      </c>
      <c r="F475" s="1013" t="s">
        <v>1076</v>
      </c>
      <c r="G475" s="1014" t="s">
        <v>1872</v>
      </c>
      <c r="H475" s="1138" t="s">
        <v>1872</v>
      </c>
      <c r="I475" s="1014">
        <v>4</v>
      </c>
      <c r="J475" s="1014" t="s">
        <v>1904</v>
      </c>
      <c r="K475" s="1014" t="s">
        <v>678</v>
      </c>
      <c r="L475" s="1016" t="s">
        <v>679</v>
      </c>
      <c r="M475" s="1090">
        <v>16000000</v>
      </c>
      <c r="N475" s="1034" t="s">
        <v>741</v>
      </c>
      <c r="O475" s="1034" t="s">
        <v>1875</v>
      </c>
      <c r="P475" s="1034"/>
      <c r="Q475" s="1014"/>
      <c r="R475" s="1019"/>
      <c r="S475" s="1127"/>
      <c r="T475" s="1153"/>
    </row>
    <row r="476" spans="1:20" s="992" customFormat="1" ht="102" x14ac:dyDescent="0.25">
      <c r="A476" s="1020">
        <v>2022471</v>
      </c>
      <c r="B476" s="1020">
        <v>7658</v>
      </c>
      <c r="C476" s="1020" t="s">
        <v>673</v>
      </c>
      <c r="D476" s="1036" t="s">
        <v>693</v>
      </c>
      <c r="E476" s="1037">
        <v>80111600</v>
      </c>
      <c r="F476" s="1023" t="s">
        <v>1076</v>
      </c>
      <c r="G476" s="1024" t="s">
        <v>1872</v>
      </c>
      <c r="H476" s="1138" t="s">
        <v>1872</v>
      </c>
      <c r="I476" s="1024">
        <v>6</v>
      </c>
      <c r="J476" s="1024" t="s">
        <v>1904</v>
      </c>
      <c r="K476" s="1024" t="s">
        <v>678</v>
      </c>
      <c r="L476" s="1026" t="s">
        <v>679</v>
      </c>
      <c r="M476" s="1089">
        <v>24000000</v>
      </c>
      <c r="N476" s="1080" t="s">
        <v>741</v>
      </c>
      <c r="O476" s="1080" t="s">
        <v>1875</v>
      </c>
      <c r="P476" s="1080"/>
      <c r="Q476" s="1024"/>
      <c r="R476" s="1019"/>
      <c r="S476" s="1127">
        <v>359</v>
      </c>
      <c r="T476" s="1153">
        <v>24000000</v>
      </c>
    </row>
    <row r="477" spans="1:20" s="992" customFormat="1" ht="102" x14ac:dyDescent="0.25">
      <c r="A477" s="1010">
        <v>2022472</v>
      </c>
      <c r="B477" s="1010">
        <v>7658</v>
      </c>
      <c r="C477" s="1010" t="s">
        <v>673</v>
      </c>
      <c r="D477" s="1042" t="s">
        <v>693</v>
      </c>
      <c r="E477" s="1043">
        <v>80111600</v>
      </c>
      <c r="F477" s="1013" t="s">
        <v>1076</v>
      </c>
      <c r="G477" s="1014" t="s">
        <v>1872</v>
      </c>
      <c r="H477" s="1138" t="s">
        <v>1872</v>
      </c>
      <c r="I477" s="1014">
        <v>4</v>
      </c>
      <c r="J477" s="1014" t="s">
        <v>1904</v>
      </c>
      <c r="K477" s="1014" t="s">
        <v>678</v>
      </c>
      <c r="L477" s="1016" t="s">
        <v>679</v>
      </c>
      <c r="M477" s="1090">
        <v>15400000</v>
      </c>
      <c r="N477" s="1034" t="s">
        <v>741</v>
      </c>
      <c r="O477" s="1034" t="s">
        <v>1875</v>
      </c>
      <c r="P477" s="1034"/>
      <c r="Q477" s="1014"/>
      <c r="R477" s="1019"/>
      <c r="S477" s="1127"/>
      <c r="T477" s="1153"/>
    </row>
    <row r="478" spans="1:20" s="992" customFormat="1" ht="102" x14ac:dyDescent="0.25">
      <c r="A478" s="1020">
        <v>2022473</v>
      </c>
      <c r="B478" s="1020">
        <v>7658</v>
      </c>
      <c r="C478" s="1020" t="s">
        <v>673</v>
      </c>
      <c r="D478" s="1036" t="s">
        <v>693</v>
      </c>
      <c r="E478" s="1037">
        <v>80111600</v>
      </c>
      <c r="F478" s="1023" t="s">
        <v>1076</v>
      </c>
      <c r="G478" s="1024" t="s">
        <v>1872</v>
      </c>
      <c r="H478" s="1138" t="s">
        <v>1872</v>
      </c>
      <c r="I478" s="1024">
        <v>6</v>
      </c>
      <c r="J478" s="1024" t="s">
        <v>1904</v>
      </c>
      <c r="K478" s="1024" t="s">
        <v>678</v>
      </c>
      <c r="L478" s="1026" t="s">
        <v>679</v>
      </c>
      <c r="M478" s="1089">
        <v>23100000</v>
      </c>
      <c r="N478" s="1080" t="s">
        <v>741</v>
      </c>
      <c r="O478" s="1080" t="s">
        <v>1875</v>
      </c>
      <c r="P478" s="1080"/>
      <c r="Q478" s="1024"/>
      <c r="R478" s="1019"/>
      <c r="S478" s="1127">
        <v>447</v>
      </c>
      <c r="T478" s="1153">
        <v>23100000</v>
      </c>
    </row>
    <row r="479" spans="1:20" s="992" customFormat="1" ht="102" x14ac:dyDescent="0.25">
      <c r="A479" s="1010">
        <v>2022474</v>
      </c>
      <c r="B479" s="1010">
        <v>7658</v>
      </c>
      <c r="C479" s="1010" t="s">
        <v>673</v>
      </c>
      <c r="D479" s="1042" t="s">
        <v>693</v>
      </c>
      <c r="E479" s="1043">
        <v>80111600</v>
      </c>
      <c r="F479" s="1013" t="s">
        <v>1076</v>
      </c>
      <c r="G479" s="1014" t="s">
        <v>1872</v>
      </c>
      <c r="H479" s="1138" t="s">
        <v>1872</v>
      </c>
      <c r="I479" s="1014">
        <v>4</v>
      </c>
      <c r="J479" s="1014" t="s">
        <v>1904</v>
      </c>
      <c r="K479" s="1014" t="s">
        <v>678</v>
      </c>
      <c r="L479" s="1016" t="s">
        <v>679</v>
      </c>
      <c r="M479" s="1090">
        <v>15400000</v>
      </c>
      <c r="N479" s="1034" t="s">
        <v>741</v>
      </c>
      <c r="O479" s="1034" t="s">
        <v>1875</v>
      </c>
      <c r="P479" s="1034"/>
      <c r="Q479" s="1014"/>
      <c r="R479" s="1019"/>
      <c r="S479" s="1127"/>
      <c r="T479" s="1153"/>
    </row>
    <row r="480" spans="1:20" s="992" customFormat="1" ht="102" x14ac:dyDescent="0.25">
      <c r="A480" s="1020">
        <v>2022475</v>
      </c>
      <c r="B480" s="1020">
        <v>7658</v>
      </c>
      <c r="C480" s="1020" t="s">
        <v>673</v>
      </c>
      <c r="D480" s="1036" t="s">
        <v>693</v>
      </c>
      <c r="E480" s="1037">
        <v>80111600</v>
      </c>
      <c r="F480" s="1023" t="s">
        <v>1076</v>
      </c>
      <c r="G480" s="1024" t="s">
        <v>1872</v>
      </c>
      <c r="H480" s="1138" t="s">
        <v>1872</v>
      </c>
      <c r="I480" s="1024">
        <v>6</v>
      </c>
      <c r="J480" s="1024" t="s">
        <v>1904</v>
      </c>
      <c r="K480" s="1024" t="s">
        <v>678</v>
      </c>
      <c r="L480" s="1026" t="s">
        <v>679</v>
      </c>
      <c r="M480" s="1089">
        <v>23100000</v>
      </c>
      <c r="N480" s="1080" t="s">
        <v>741</v>
      </c>
      <c r="O480" s="1080" t="s">
        <v>1875</v>
      </c>
      <c r="P480" s="1080"/>
      <c r="Q480" s="1024"/>
      <c r="R480" s="1019"/>
      <c r="S480" s="1127">
        <v>386</v>
      </c>
      <c r="T480" s="1153">
        <v>23100000</v>
      </c>
    </row>
    <row r="481" spans="1:103" s="992" customFormat="1" ht="102" x14ac:dyDescent="0.25">
      <c r="A481" s="1010">
        <v>2022476</v>
      </c>
      <c r="B481" s="1010">
        <v>7658</v>
      </c>
      <c r="C481" s="1010" t="s">
        <v>673</v>
      </c>
      <c r="D481" s="1042" t="s">
        <v>693</v>
      </c>
      <c r="E481" s="1043">
        <v>80111600</v>
      </c>
      <c r="F481" s="1013" t="s">
        <v>1076</v>
      </c>
      <c r="G481" s="1014" t="s">
        <v>1872</v>
      </c>
      <c r="H481" s="1138" t="s">
        <v>1872</v>
      </c>
      <c r="I481" s="1014">
        <v>4</v>
      </c>
      <c r="J481" s="1014" t="s">
        <v>1904</v>
      </c>
      <c r="K481" s="1014" t="s">
        <v>678</v>
      </c>
      <c r="L481" s="1016" t="s">
        <v>679</v>
      </c>
      <c r="M481" s="1090">
        <v>15400000</v>
      </c>
      <c r="N481" s="1034" t="s">
        <v>741</v>
      </c>
      <c r="O481" s="1034" t="s">
        <v>1875</v>
      </c>
      <c r="P481" s="1034"/>
      <c r="Q481" s="1014"/>
      <c r="R481" s="1019"/>
      <c r="S481" s="1127"/>
      <c r="T481" s="1153"/>
    </row>
    <row r="482" spans="1:103" s="992" customFormat="1" ht="102" x14ac:dyDescent="0.25">
      <c r="A482" s="1020">
        <v>2022477</v>
      </c>
      <c r="B482" s="1020">
        <v>7658</v>
      </c>
      <c r="C482" s="1020" t="s">
        <v>673</v>
      </c>
      <c r="D482" s="1036" t="s">
        <v>693</v>
      </c>
      <c r="E482" s="1037">
        <v>80111600</v>
      </c>
      <c r="F482" s="1023" t="s">
        <v>1076</v>
      </c>
      <c r="G482" s="1024" t="s">
        <v>1872</v>
      </c>
      <c r="H482" s="1138" t="s">
        <v>1872</v>
      </c>
      <c r="I482" s="1024">
        <v>6</v>
      </c>
      <c r="J482" s="1024" t="s">
        <v>1904</v>
      </c>
      <c r="K482" s="1024" t="s">
        <v>678</v>
      </c>
      <c r="L482" s="1026" t="s">
        <v>679</v>
      </c>
      <c r="M482" s="1089">
        <v>23100000</v>
      </c>
      <c r="N482" s="1080" t="s">
        <v>741</v>
      </c>
      <c r="O482" s="1080" t="s">
        <v>1875</v>
      </c>
      <c r="P482" s="1080"/>
      <c r="Q482" s="1024"/>
      <c r="R482" s="1019"/>
      <c r="S482" s="1127">
        <v>450</v>
      </c>
      <c r="T482" s="1153">
        <v>23100000</v>
      </c>
    </row>
    <row r="483" spans="1:103" s="992" customFormat="1" ht="102" x14ac:dyDescent="0.25">
      <c r="A483" s="1020">
        <v>2022478</v>
      </c>
      <c r="B483" s="1020">
        <v>7658</v>
      </c>
      <c r="C483" s="1020" t="s">
        <v>673</v>
      </c>
      <c r="D483" s="1036" t="s">
        <v>693</v>
      </c>
      <c r="E483" s="1037">
        <v>80111600</v>
      </c>
      <c r="F483" s="1023" t="s">
        <v>1077</v>
      </c>
      <c r="G483" s="1024" t="s">
        <v>1872</v>
      </c>
      <c r="H483" s="1138" t="s">
        <v>1872</v>
      </c>
      <c r="I483" s="1024">
        <v>10</v>
      </c>
      <c r="J483" s="1024" t="s">
        <v>1904</v>
      </c>
      <c r="K483" s="1024" t="s">
        <v>678</v>
      </c>
      <c r="L483" s="1026" t="s">
        <v>679</v>
      </c>
      <c r="M483" s="1089">
        <v>72100000</v>
      </c>
      <c r="N483" s="1080" t="s">
        <v>741</v>
      </c>
      <c r="O483" s="1080" t="s">
        <v>1875</v>
      </c>
      <c r="P483" s="1080"/>
      <c r="Q483" s="1024"/>
      <c r="R483" s="1019"/>
      <c r="S483" s="1127">
        <v>195</v>
      </c>
      <c r="T483" s="1153">
        <v>72100000</v>
      </c>
    </row>
    <row r="484" spans="1:103" s="992" customFormat="1" ht="102" x14ac:dyDescent="0.25">
      <c r="A484" s="1020">
        <v>2022479</v>
      </c>
      <c r="B484" s="1020">
        <v>7658</v>
      </c>
      <c r="C484" s="1020" t="s">
        <v>673</v>
      </c>
      <c r="D484" s="1036" t="s">
        <v>693</v>
      </c>
      <c r="E484" s="1037">
        <v>80111600</v>
      </c>
      <c r="F484" s="1023" t="s">
        <v>1077</v>
      </c>
      <c r="G484" s="1024" t="s">
        <v>1872</v>
      </c>
      <c r="H484" s="1138" t="s">
        <v>1872</v>
      </c>
      <c r="I484" s="1024">
        <v>10</v>
      </c>
      <c r="J484" s="1024" t="s">
        <v>1904</v>
      </c>
      <c r="K484" s="1024" t="s">
        <v>678</v>
      </c>
      <c r="L484" s="1026" t="s">
        <v>679</v>
      </c>
      <c r="M484" s="1089">
        <v>48500000</v>
      </c>
      <c r="N484" s="1080" t="s">
        <v>741</v>
      </c>
      <c r="O484" s="1080" t="s">
        <v>1875</v>
      </c>
      <c r="P484" s="1080"/>
      <c r="Q484" s="1024"/>
      <c r="R484" s="1019"/>
      <c r="S484" s="1127">
        <v>243</v>
      </c>
      <c r="T484" s="1153">
        <v>48500000</v>
      </c>
    </row>
    <row r="485" spans="1:103" s="992" customFormat="1" ht="102" x14ac:dyDescent="0.25">
      <c r="A485" s="1020">
        <v>2022480</v>
      </c>
      <c r="B485" s="1020">
        <v>7658</v>
      </c>
      <c r="C485" s="1020" t="s">
        <v>673</v>
      </c>
      <c r="D485" s="1036" t="s">
        <v>693</v>
      </c>
      <c r="E485" s="1037">
        <v>80111600</v>
      </c>
      <c r="F485" s="1023" t="s">
        <v>1077</v>
      </c>
      <c r="G485" s="1024" t="s">
        <v>1872</v>
      </c>
      <c r="H485" s="1138" t="s">
        <v>1872</v>
      </c>
      <c r="I485" s="1024">
        <v>10</v>
      </c>
      <c r="J485" s="1024" t="s">
        <v>1904</v>
      </c>
      <c r="K485" s="1024" t="s">
        <v>678</v>
      </c>
      <c r="L485" s="1026" t="s">
        <v>679</v>
      </c>
      <c r="M485" s="1089">
        <v>38500000</v>
      </c>
      <c r="N485" s="1080" t="s">
        <v>741</v>
      </c>
      <c r="O485" s="1080" t="s">
        <v>1875</v>
      </c>
      <c r="P485" s="1080"/>
      <c r="Q485" s="1024"/>
      <c r="R485" s="1019"/>
      <c r="S485" s="1127">
        <v>136</v>
      </c>
      <c r="T485" s="1153">
        <v>38500000</v>
      </c>
    </row>
    <row r="486" spans="1:103" s="992" customFormat="1" ht="102" x14ac:dyDescent="0.25">
      <c r="A486" s="1020">
        <v>2022481</v>
      </c>
      <c r="B486" s="1020">
        <v>7658</v>
      </c>
      <c r="C486" s="1020" t="s">
        <v>673</v>
      </c>
      <c r="D486" s="1036" t="s">
        <v>693</v>
      </c>
      <c r="E486" s="1037">
        <v>80111600</v>
      </c>
      <c r="F486" s="1023" t="s">
        <v>1078</v>
      </c>
      <c r="G486" s="1024" t="s">
        <v>1872</v>
      </c>
      <c r="H486" s="1138" t="s">
        <v>1872</v>
      </c>
      <c r="I486" s="1024">
        <v>6</v>
      </c>
      <c r="J486" s="1024" t="s">
        <v>1904</v>
      </c>
      <c r="K486" s="1024" t="s">
        <v>678</v>
      </c>
      <c r="L486" s="1026" t="s">
        <v>679</v>
      </c>
      <c r="M486" s="1089">
        <v>48000000</v>
      </c>
      <c r="N486" s="1080" t="s">
        <v>741</v>
      </c>
      <c r="O486" s="1080" t="s">
        <v>1875</v>
      </c>
      <c r="P486" s="1080"/>
      <c r="Q486" s="1024"/>
      <c r="R486" s="1019"/>
      <c r="S486" s="1127">
        <v>196</v>
      </c>
      <c r="T486" s="1153">
        <v>48000000</v>
      </c>
    </row>
    <row r="487" spans="1:103" s="992" customFormat="1" ht="102" x14ac:dyDescent="0.25">
      <c r="A487" s="1020">
        <v>2022482</v>
      </c>
      <c r="B487" s="1020">
        <v>7658</v>
      </c>
      <c r="C487" s="1020" t="s">
        <v>673</v>
      </c>
      <c r="D487" s="1036" t="s">
        <v>693</v>
      </c>
      <c r="E487" s="1037">
        <v>80111600</v>
      </c>
      <c r="F487" s="1023" t="s">
        <v>1079</v>
      </c>
      <c r="G487" s="1024" t="s">
        <v>1872</v>
      </c>
      <c r="H487" s="1138" t="s">
        <v>1872</v>
      </c>
      <c r="I487" s="1024">
        <v>6</v>
      </c>
      <c r="J487" s="1024" t="s">
        <v>1904</v>
      </c>
      <c r="K487" s="1024" t="s">
        <v>678</v>
      </c>
      <c r="L487" s="1026" t="s">
        <v>679</v>
      </c>
      <c r="M487" s="1089">
        <v>28200000</v>
      </c>
      <c r="N487" s="1080" t="s">
        <v>741</v>
      </c>
      <c r="O487" s="1080" t="s">
        <v>1875</v>
      </c>
      <c r="P487" s="1080"/>
      <c r="Q487" s="1024"/>
      <c r="R487" s="1019"/>
      <c r="S487" s="1127">
        <v>146</v>
      </c>
      <c r="T487" s="1153">
        <v>28200000</v>
      </c>
    </row>
    <row r="488" spans="1:103" s="992" customFormat="1" ht="89.25" x14ac:dyDescent="0.25">
      <c r="A488" s="1020">
        <v>2022236</v>
      </c>
      <c r="B488" s="1020">
        <v>7658</v>
      </c>
      <c r="C488" s="1020" t="s">
        <v>673</v>
      </c>
      <c r="D488" s="1036" t="s">
        <v>699</v>
      </c>
      <c r="E488" s="1037">
        <v>80111600</v>
      </c>
      <c r="F488" s="1023" t="s">
        <v>914</v>
      </c>
      <c r="G488" s="1024" t="s">
        <v>1743</v>
      </c>
      <c r="H488" s="1138" t="s">
        <v>1743</v>
      </c>
      <c r="I488" s="1024" t="s">
        <v>1808</v>
      </c>
      <c r="J488" s="1024" t="s">
        <v>1783</v>
      </c>
      <c r="K488" s="1024" t="s">
        <v>678</v>
      </c>
      <c r="L488" s="1026" t="s">
        <v>679</v>
      </c>
      <c r="M488" s="1089">
        <v>39100000</v>
      </c>
      <c r="N488" s="1080" t="s">
        <v>725</v>
      </c>
      <c r="O488" s="1080" t="s">
        <v>1815</v>
      </c>
      <c r="P488" s="1080"/>
      <c r="Q488" s="1024"/>
      <c r="R488" s="1019"/>
      <c r="S488" s="1127">
        <v>390</v>
      </c>
      <c r="T488" s="1153">
        <v>37400000</v>
      </c>
    </row>
    <row r="489" spans="1:103" s="992" customFormat="1" ht="89.25" x14ac:dyDescent="0.25">
      <c r="A489" s="1010">
        <v>2022483</v>
      </c>
      <c r="B489" s="1010">
        <v>7658</v>
      </c>
      <c r="C489" s="1010" t="s">
        <v>673</v>
      </c>
      <c r="D489" s="1042" t="s">
        <v>699</v>
      </c>
      <c r="E489" s="1048" t="s">
        <v>1080</v>
      </c>
      <c r="F489" s="1013" t="s">
        <v>1081</v>
      </c>
      <c r="G489" s="1044" t="s">
        <v>1743</v>
      </c>
      <c r="H489" s="1138" t="s">
        <v>1753</v>
      </c>
      <c r="I489" s="1045" t="s">
        <v>1809</v>
      </c>
      <c r="J489" s="1046" t="s">
        <v>1905</v>
      </c>
      <c r="K489" s="1014" t="s">
        <v>678</v>
      </c>
      <c r="L489" s="1082" t="s">
        <v>1469</v>
      </c>
      <c r="M489" s="1017">
        <v>30000000</v>
      </c>
      <c r="N489" s="1034" t="s">
        <v>1906</v>
      </c>
      <c r="O489" s="1034" t="s">
        <v>1815</v>
      </c>
      <c r="P489" s="1034"/>
      <c r="Q489" s="1044">
        <v>44600</v>
      </c>
      <c r="R489" s="1019"/>
      <c r="S489" s="1127"/>
      <c r="T489" s="1153"/>
    </row>
    <row r="490" spans="1:103" s="1031" customFormat="1" ht="89.25" x14ac:dyDescent="0.25">
      <c r="A490" s="1128">
        <v>2022484</v>
      </c>
      <c r="B490" s="1128">
        <v>7658</v>
      </c>
      <c r="C490" s="1128" t="s">
        <v>673</v>
      </c>
      <c r="D490" s="1136" t="s">
        <v>699</v>
      </c>
      <c r="E490" s="1137" t="s">
        <v>1082</v>
      </c>
      <c r="F490" s="1131" t="s">
        <v>1083</v>
      </c>
      <c r="G490" s="1138" t="s">
        <v>1743</v>
      </c>
      <c r="H490" s="1138" t="s">
        <v>1753</v>
      </c>
      <c r="I490" s="1139" t="s">
        <v>1810</v>
      </c>
      <c r="J490" s="1140" t="s">
        <v>1861</v>
      </c>
      <c r="K490" s="1132" t="s">
        <v>678</v>
      </c>
      <c r="L490" s="1150" t="s">
        <v>1907</v>
      </c>
      <c r="M490" s="1133">
        <v>100000000</v>
      </c>
      <c r="N490" s="1148" t="s">
        <v>1906</v>
      </c>
      <c r="O490" s="1148" t="s">
        <v>1815</v>
      </c>
      <c r="P490" s="1148"/>
      <c r="Q490" s="1132"/>
      <c r="R490" s="1127">
        <v>453</v>
      </c>
      <c r="S490" s="1127"/>
      <c r="T490" s="1153"/>
      <c r="U490" s="992"/>
      <c r="V490" s="992"/>
      <c r="W490" s="992"/>
      <c r="X490" s="992"/>
      <c r="Y490" s="992"/>
      <c r="Z490" s="992"/>
      <c r="AA490" s="992"/>
      <c r="AB490" s="992"/>
      <c r="AC490" s="992"/>
      <c r="AD490" s="992"/>
      <c r="AE490" s="992"/>
      <c r="AF490" s="992"/>
      <c r="AG490" s="992"/>
      <c r="AH490" s="992"/>
      <c r="AI490" s="992"/>
      <c r="AJ490" s="992"/>
      <c r="AK490" s="992"/>
      <c r="AL490" s="992"/>
      <c r="AM490" s="992"/>
      <c r="AN490" s="992"/>
      <c r="AO490" s="992"/>
      <c r="AP490" s="992"/>
      <c r="AQ490" s="992"/>
      <c r="AR490" s="992"/>
      <c r="AS490" s="992"/>
      <c r="AT490" s="992"/>
      <c r="AU490" s="992"/>
      <c r="AV490" s="992"/>
      <c r="AW490" s="992"/>
      <c r="AX490" s="992"/>
      <c r="AY490" s="992"/>
      <c r="AZ490" s="992"/>
      <c r="BA490" s="992"/>
      <c r="BB490" s="992"/>
      <c r="BC490" s="992"/>
      <c r="BD490" s="992"/>
      <c r="BE490" s="992"/>
      <c r="BF490" s="992"/>
      <c r="BG490" s="992"/>
      <c r="BH490" s="992"/>
      <c r="BI490" s="992"/>
      <c r="BJ490" s="992"/>
      <c r="BK490" s="992"/>
      <c r="BL490" s="992"/>
      <c r="BM490" s="992"/>
      <c r="BN490" s="992"/>
      <c r="BO490" s="992"/>
      <c r="BP490" s="992"/>
      <c r="BQ490" s="992"/>
      <c r="BR490" s="992"/>
      <c r="BS490" s="992"/>
      <c r="BT490" s="992"/>
      <c r="BU490" s="992"/>
      <c r="BV490" s="992"/>
      <c r="BW490" s="992"/>
      <c r="BX490" s="992"/>
      <c r="BY490" s="992"/>
      <c r="BZ490" s="992"/>
      <c r="CA490" s="992"/>
      <c r="CB490" s="992"/>
      <c r="CC490" s="992"/>
      <c r="CD490" s="992"/>
      <c r="CE490" s="992"/>
      <c r="CF490" s="992"/>
      <c r="CG490" s="992"/>
      <c r="CH490" s="992"/>
      <c r="CI490" s="992"/>
      <c r="CJ490" s="992"/>
      <c r="CK490" s="992"/>
      <c r="CL490" s="992"/>
      <c r="CM490" s="992"/>
      <c r="CN490" s="992"/>
      <c r="CO490" s="992"/>
      <c r="CP490" s="992"/>
      <c r="CQ490" s="992"/>
      <c r="CR490" s="992"/>
      <c r="CS490" s="992"/>
      <c r="CT490" s="992"/>
      <c r="CU490" s="992"/>
      <c r="CV490" s="992"/>
      <c r="CW490" s="992"/>
      <c r="CX490" s="992"/>
      <c r="CY490" s="992"/>
    </row>
    <row r="491" spans="1:103" s="1031" customFormat="1" ht="89.25" x14ac:dyDescent="0.25">
      <c r="A491" s="1128">
        <v>2022485</v>
      </c>
      <c r="B491" s="1128">
        <v>7658</v>
      </c>
      <c r="C491" s="1128" t="s">
        <v>673</v>
      </c>
      <c r="D491" s="1136" t="s">
        <v>699</v>
      </c>
      <c r="E491" s="1137" t="s">
        <v>1084</v>
      </c>
      <c r="F491" s="1131" t="s">
        <v>1085</v>
      </c>
      <c r="G491" s="1138" t="s">
        <v>1743</v>
      </c>
      <c r="H491" s="1138" t="s">
        <v>1753</v>
      </c>
      <c r="I491" s="1139" t="s">
        <v>1746</v>
      </c>
      <c r="J491" s="1140" t="s">
        <v>1861</v>
      </c>
      <c r="K491" s="1132" t="s">
        <v>678</v>
      </c>
      <c r="L491" s="1129" t="s">
        <v>1472</v>
      </c>
      <c r="M491" s="1133">
        <v>260900000</v>
      </c>
      <c r="N491" s="1148" t="s">
        <v>1906</v>
      </c>
      <c r="O491" s="1148" t="s">
        <v>1815</v>
      </c>
      <c r="P491" s="1148"/>
      <c r="Q491" s="1132"/>
      <c r="R491" s="1127">
        <v>451</v>
      </c>
      <c r="S491" s="1127"/>
      <c r="T491" s="1153"/>
      <c r="U491" s="992"/>
      <c r="V491" s="992"/>
      <c r="W491" s="992"/>
      <c r="X491" s="992"/>
      <c r="Y491" s="992"/>
      <c r="Z491" s="992"/>
      <c r="AA491" s="992"/>
      <c r="AB491" s="992"/>
      <c r="AC491" s="992"/>
      <c r="AD491" s="992"/>
      <c r="AE491" s="992"/>
      <c r="AF491" s="992"/>
      <c r="AG491" s="992"/>
      <c r="AH491" s="992"/>
      <c r="AI491" s="992"/>
      <c r="AJ491" s="992"/>
      <c r="AK491" s="992"/>
      <c r="AL491" s="992"/>
      <c r="AM491" s="992"/>
      <c r="AN491" s="992"/>
      <c r="AO491" s="992"/>
      <c r="AP491" s="992"/>
      <c r="AQ491" s="992"/>
      <c r="AR491" s="992"/>
      <c r="AS491" s="992"/>
      <c r="AT491" s="992"/>
      <c r="AU491" s="992"/>
      <c r="AV491" s="992"/>
      <c r="AW491" s="992"/>
      <c r="AX491" s="992"/>
      <c r="AY491" s="992"/>
      <c r="AZ491" s="992"/>
      <c r="BA491" s="992"/>
      <c r="BB491" s="992"/>
      <c r="BC491" s="992"/>
      <c r="BD491" s="992"/>
      <c r="BE491" s="992"/>
      <c r="BF491" s="992"/>
      <c r="BG491" s="992"/>
      <c r="BH491" s="992"/>
      <c r="BI491" s="992"/>
      <c r="BJ491" s="992"/>
      <c r="BK491" s="992"/>
      <c r="BL491" s="992"/>
      <c r="BM491" s="992"/>
      <c r="BN491" s="992"/>
      <c r="BO491" s="992"/>
      <c r="BP491" s="992"/>
      <c r="BQ491" s="992"/>
      <c r="BR491" s="992"/>
      <c r="BS491" s="992"/>
      <c r="BT491" s="992"/>
      <c r="BU491" s="992"/>
      <c r="BV491" s="992"/>
      <c r="BW491" s="992"/>
      <c r="BX491" s="992"/>
      <c r="BY491" s="992"/>
      <c r="BZ491" s="992"/>
      <c r="CA491" s="992"/>
      <c r="CB491" s="992"/>
      <c r="CC491" s="992"/>
      <c r="CD491" s="992"/>
      <c r="CE491" s="992"/>
      <c r="CF491" s="992"/>
      <c r="CG491" s="992"/>
      <c r="CH491" s="992"/>
      <c r="CI491" s="992"/>
      <c r="CJ491" s="992"/>
      <c r="CK491" s="992"/>
      <c r="CL491" s="992"/>
      <c r="CM491" s="992"/>
      <c r="CN491" s="992"/>
      <c r="CO491" s="992"/>
      <c r="CP491" s="992"/>
      <c r="CQ491" s="992"/>
      <c r="CR491" s="992"/>
      <c r="CS491" s="992"/>
      <c r="CT491" s="992"/>
      <c r="CU491" s="992"/>
      <c r="CV491" s="992"/>
      <c r="CW491" s="992"/>
      <c r="CX491" s="992"/>
      <c r="CY491" s="992"/>
    </row>
    <row r="492" spans="1:103" s="992" customFormat="1" ht="89.25" x14ac:dyDescent="0.25">
      <c r="A492" s="1010">
        <v>2022486</v>
      </c>
      <c r="B492" s="1010">
        <v>7658</v>
      </c>
      <c r="C492" s="1010" t="s">
        <v>673</v>
      </c>
      <c r="D492" s="1042" t="s">
        <v>699</v>
      </c>
      <c r="E492" s="1091" t="s">
        <v>1086</v>
      </c>
      <c r="F492" s="1013" t="s">
        <v>1087</v>
      </c>
      <c r="G492" s="1044" t="s">
        <v>1743</v>
      </c>
      <c r="H492" s="1138" t="s">
        <v>1753</v>
      </c>
      <c r="I492" s="1045" t="s">
        <v>1810</v>
      </c>
      <c r="J492" s="1046" t="s">
        <v>1861</v>
      </c>
      <c r="K492" s="1014" t="s">
        <v>678</v>
      </c>
      <c r="L492" s="1016" t="s">
        <v>1840</v>
      </c>
      <c r="M492" s="1017">
        <v>200000000</v>
      </c>
      <c r="N492" s="1034" t="s">
        <v>1906</v>
      </c>
      <c r="O492" s="1034" t="s">
        <v>1815</v>
      </c>
      <c r="P492" s="1034"/>
      <c r="Q492" s="1014"/>
      <c r="R492" s="1019"/>
      <c r="S492" s="1127"/>
      <c r="T492" s="1153"/>
    </row>
    <row r="493" spans="1:103" s="992" customFormat="1" ht="89.25" x14ac:dyDescent="0.25">
      <c r="A493" s="1010">
        <v>2022487</v>
      </c>
      <c r="B493" s="1010">
        <v>7658</v>
      </c>
      <c r="C493" s="1010" t="s">
        <v>673</v>
      </c>
      <c r="D493" s="1042" t="s">
        <v>699</v>
      </c>
      <c r="E493" s="1091" t="s">
        <v>1082</v>
      </c>
      <c r="F493" s="1013" t="s">
        <v>1908</v>
      </c>
      <c r="G493" s="1044" t="s">
        <v>1743</v>
      </c>
      <c r="H493" s="1138" t="s">
        <v>1753</v>
      </c>
      <c r="I493" s="1045" t="s">
        <v>1909</v>
      </c>
      <c r="J493" s="1046" t="s">
        <v>1910</v>
      </c>
      <c r="K493" s="1014" t="s">
        <v>678</v>
      </c>
      <c r="L493" s="1082" t="s">
        <v>1907</v>
      </c>
      <c r="M493" s="1017">
        <v>34000000</v>
      </c>
      <c r="N493" s="1034" t="s">
        <v>1906</v>
      </c>
      <c r="O493" s="1034" t="s">
        <v>1815</v>
      </c>
      <c r="P493" s="1034"/>
      <c r="Q493" s="1014"/>
      <c r="R493" s="1019"/>
      <c r="S493" s="1127"/>
      <c r="T493" s="1153"/>
    </row>
    <row r="494" spans="1:103" s="1031" customFormat="1" ht="102" x14ac:dyDescent="0.25">
      <c r="A494" s="1128">
        <v>2022488</v>
      </c>
      <c r="B494" s="1128">
        <v>7658</v>
      </c>
      <c r="C494" s="1128" t="s">
        <v>673</v>
      </c>
      <c r="D494" s="1136" t="s">
        <v>699</v>
      </c>
      <c r="E494" s="1142">
        <v>78181500</v>
      </c>
      <c r="F494" s="1131" t="s">
        <v>1088</v>
      </c>
      <c r="G494" s="1138" t="s">
        <v>1743</v>
      </c>
      <c r="H494" s="1138" t="s">
        <v>1753</v>
      </c>
      <c r="I494" s="1139" t="s">
        <v>1911</v>
      </c>
      <c r="J494" s="1140" t="s">
        <v>1842</v>
      </c>
      <c r="K494" s="1132" t="s">
        <v>678</v>
      </c>
      <c r="L494" s="1129" t="s">
        <v>1494</v>
      </c>
      <c r="M494" s="1133">
        <v>2500000000</v>
      </c>
      <c r="N494" s="1148" t="s">
        <v>725</v>
      </c>
      <c r="O494" s="1148" t="s">
        <v>1815</v>
      </c>
      <c r="P494" s="1148"/>
      <c r="Q494" s="1132"/>
      <c r="R494" s="1127">
        <v>561</v>
      </c>
      <c r="S494" s="1127"/>
      <c r="T494" s="1153"/>
      <c r="U494" s="992"/>
      <c r="V494" s="992"/>
      <c r="W494" s="992"/>
      <c r="X494" s="992"/>
      <c r="Y494" s="992"/>
      <c r="Z494" s="992"/>
      <c r="AA494" s="992"/>
      <c r="AB494" s="992"/>
      <c r="AC494" s="992"/>
      <c r="AD494" s="992"/>
      <c r="AE494" s="992"/>
      <c r="AF494" s="992"/>
      <c r="AG494" s="992"/>
      <c r="AH494" s="992"/>
      <c r="AI494" s="992"/>
      <c r="AJ494" s="992"/>
      <c r="AK494" s="992"/>
      <c r="AL494" s="992"/>
      <c r="AM494" s="992"/>
      <c r="AN494" s="992"/>
      <c r="AO494" s="992"/>
      <c r="AP494" s="992"/>
      <c r="AQ494" s="992"/>
      <c r="AR494" s="992"/>
      <c r="AS494" s="992"/>
      <c r="AT494" s="992"/>
      <c r="AU494" s="992"/>
      <c r="AV494" s="992"/>
      <c r="AW494" s="992"/>
      <c r="AX494" s="992"/>
      <c r="AY494" s="992"/>
      <c r="AZ494" s="992"/>
      <c r="BA494" s="992"/>
      <c r="BB494" s="992"/>
      <c r="BC494" s="992"/>
      <c r="BD494" s="992"/>
      <c r="BE494" s="992"/>
      <c r="BF494" s="992"/>
      <c r="BG494" s="992"/>
      <c r="BH494" s="992"/>
      <c r="BI494" s="992"/>
      <c r="BJ494" s="992"/>
      <c r="BK494" s="992"/>
      <c r="BL494" s="992"/>
      <c r="BM494" s="992"/>
      <c r="BN494" s="992"/>
      <c r="BO494" s="992"/>
      <c r="BP494" s="992"/>
      <c r="BQ494" s="992"/>
      <c r="BR494" s="992"/>
      <c r="BS494" s="992"/>
      <c r="BT494" s="992"/>
      <c r="BU494" s="992"/>
      <c r="BV494" s="992"/>
      <c r="BW494" s="992"/>
      <c r="BX494" s="992"/>
      <c r="BY494" s="992"/>
      <c r="BZ494" s="992"/>
      <c r="CA494" s="992"/>
      <c r="CB494" s="992"/>
      <c r="CC494" s="992"/>
      <c r="CD494" s="992"/>
      <c r="CE494" s="992"/>
      <c r="CF494" s="992"/>
      <c r="CG494" s="992"/>
      <c r="CH494" s="992"/>
      <c r="CI494" s="992"/>
      <c r="CJ494" s="992"/>
      <c r="CK494" s="992"/>
      <c r="CL494" s="992"/>
      <c r="CM494" s="992"/>
      <c r="CN494" s="992"/>
      <c r="CO494" s="992"/>
      <c r="CP494" s="992"/>
      <c r="CQ494" s="992"/>
      <c r="CR494" s="992"/>
      <c r="CS494" s="992"/>
      <c r="CT494" s="992"/>
      <c r="CU494" s="992"/>
      <c r="CV494" s="992"/>
      <c r="CW494" s="992"/>
      <c r="CX494" s="992"/>
      <c r="CY494" s="992"/>
    </row>
    <row r="495" spans="1:103" s="992" customFormat="1" ht="102" x14ac:dyDescent="0.25">
      <c r="A495" s="1020">
        <v>2022489</v>
      </c>
      <c r="B495" s="1020">
        <v>7658</v>
      </c>
      <c r="C495" s="1020" t="s">
        <v>673</v>
      </c>
      <c r="D495" s="1036" t="s">
        <v>699</v>
      </c>
      <c r="E495" s="1037">
        <v>78181500</v>
      </c>
      <c r="F495" s="1023" t="s">
        <v>1089</v>
      </c>
      <c r="G495" s="1038" t="s">
        <v>1743</v>
      </c>
      <c r="H495" s="1138" t="s">
        <v>1743</v>
      </c>
      <c r="I495" s="1039" t="s">
        <v>1869</v>
      </c>
      <c r="J495" s="1040" t="s">
        <v>1842</v>
      </c>
      <c r="K495" s="1024" t="s">
        <v>678</v>
      </c>
      <c r="L495" s="1026" t="s">
        <v>1494</v>
      </c>
      <c r="M495" s="1027">
        <v>750000000</v>
      </c>
      <c r="N495" s="1080" t="s">
        <v>725</v>
      </c>
      <c r="O495" s="1080" t="s">
        <v>1815</v>
      </c>
      <c r="P495" s="1080"/>
      <c r="Q495" s="1024"/>
      <c r="R495" s="1019"/>
      <c r="S495" s="1127">
        <v>493</v>
      </c>
      <c r="T495" s="1153">
        <v>750000000</v>
      </c>
    </row>
    <row r="496" spans="1:103" s="1019" customFormat="1" ht="102" x14ac:dyDescent="0.25">
      <c r="A496" s="1128">
        <v>2022490</v>
      </c>
      <c r="B496" s="1128">
        <v>7658</v>
      </c>
      <c r="C496" s="1128" t="s">
        <v>673</v>
      </c>
      <c r="D496" s="1136" t="s">
        <v>699</v>
      </c>
      <c r="E496" s="1142">
        <v>78181500</v>
      </c>
      <c r="F496" s="1131" t="s">
        <v>1090</v>
      </c>
      <c r="G496" s="1138" t="s">
        <v>1743</v>
      </c>
      <c r="H496" s="1138" t="s">
        <v>1743</v>
      </c>
      <c r="I496" s="1139" t="s">
        <v>1912</v>
      </c>
      <c r="J496" s="1140" t="s">
        <v>1842</v>
      </c>
      <c r="K496" s="1132" t="s">
        <v>678</v>
      </c>
      <c r="L496" s="1129" t="s">
        <v>1494</v>
      </c>
      <c r="M496" s="1133">
        <v>100000000</v>
      </c>
      <c r="N496" s="1148" t="s">
        <v>725</v>
      </c>
      <c r="O496" s="1148" t="s">
        <v>1815</v>
      </c>
      <c r="P496" s="1148"/>
      <c r="Q496" s="1132"/>
      <c r="R496" s="1127">
        <v>593</v>
      </c>
      <c r="S496" s="1127"/>
      <c r="T496" s="1153"/>
    </row>
    <row r="497" spans="1:103" s="1031" customFormat="1" ht="89.25" x14ac:dyDescent="0.25">
      <c r="A497" s="1128">
        <v>2022491</v>
      </c>
      <c r="B497" s="1128">
        <v>7658</v>
      </c>
      <c r="C497" s="1128" t="s">
        <v>673</v>
      </c>
      <c r="D497" s="1136" t="s">
        <v>699</v>
      </c>
      <c r="E497" s="1142">
        <v>25172500</v>
      </c>
      <c r="F497" s="1131" t="s">
        <v>1091</v>
      </c>
      <c r="G497" s="1138" t="s">
        <v>1743</v>
      </c>
      <c r="H497" s="1138" t="s">
        <v>1753</v>
      </c>
      <c r="I497" s="1139" t="s">
        <v>1746</v>
      </c>
      <c r="J497" s="1140" t="s">
        <v>1861</v>
      </c>
      <c r="K497" s="1132" t="s">
        <v>678</v>
      </c>
      <c r="L497" s="1129" t="s">
        <v>962</v>
      </c>
      <c r="M497" s="1133">
        <v>150000000</v>
      </c>
      <c r="N497" s="1148" t="s">
        <v>725</v>
      </c>
      <c r="O497" s="1148" t="s">
        <v>1815</v>
      </c>
      <c r="P497" s="1148"/>
      <c r="Q497" s="1132"/>
      <c r="R497" s="1127">
        <v>560</v>
      </c>
      <c r="S497" s="1127"/>
      <c r="T497" s="1153"/>
      <c r="U497" s="992"/>
      <c r="V497" s="992"/>
      <c r="W497" s="992"/>
      <c r="X497" s="992"/>
      <c r="Y497" s="992"/>
      <c r="Z497" s="992"/>
      <c r="AA497" s="992"/>
      <c r="AB497" s="992"/>
      <c r="AC497" s="992"/>
      <c r="AD497" s="992"/>
      <c r="AE497" s="992"/>
      <c r="AF497" s="992"/>
      <c r="AG497" s="992"/>
      <c r="AH497" s="992"/>
      <c r="AI497" s="992"/>
      <c r="AJ497" s="992"/>
      <c r="AK497" s="992"/>
      <c r="AL497" s="992"/>
      <c r="AM497" s="992"/>
      <c r="AN497" s="992"/>
      <c r="AO497" s="992"/>
      <c r="AP497" s="992"/>
      <c r="AQ497" s="992"/>
      <c r="AR497" s="992"/>
      <c r="AS497" s="992"/>
      <c r="AT497" s="992"/>
      <c r="AU497" s="992"/>
      <c r="AV497" s="992"/>
      <c r="AW497" s="992"/>
      <c r="AX497" s="992"/>
      <c r="AY497" s="992"/>
      <c r="AZ497" s="992"/>
      <c r="BA497" s="992"/>
      <c r="BB497" s="992"/>
      <c r="BC497" s="992"/>
      <c r="BD497" s="992"/>
      <c r="BE497" s="992"/>
      <c r="BF497" s="992"/>
      <c r="BG497" s="992"/>
      <c r="BH497" s="992"/>
      <c r="BI497" s="992"/>
      <c r="BJ497" s="992"/>
      <c r="BK497" s="992"/>
      <c r="BL497" s="992"/>
      <c r="BM497" s="992"/>
      <c r="BN497" s="992"/>
      <c r="BO497" s="992"/>
      <c r="BP497" s="992"/>
      <c r="BQ497" s="992"/>
      <c r="BR497" s="992"/>
      <c r="BS497" s="992"/>
      <c r="BT497" s="992"/>
      <c r="BU497" s="992"/>
      <c r="BV497" s="992"/>
      <c r="BW497" s="992"/>
      <c r="BX497" s="992"/>
      <c r="BY497" s="992"/>
      <c r="BZ497" s="992"/>
      <c r="CA497" s="992"/>
      <c r="CB497" s="992"/>
      <c r="CC497" s="992"/>
      <c r="CD497" s="992"/>
      <c r="CE497" s="992"/>
      <c r="CF497" s="992"/>
      <c r="CG497" s="992"/>
      <c r="CH497" s="992"/>
      <c r="CI497" s="992"/>
      <c r="CJ497" s="992"/>
      <c r="CK497" s="992"/>
      <c r="CL497" s="992"/>
      <c r="CM497" s="992"/>
      <c r="CN497" s="992"/>
      <c r="CO497" s="992"/>
      <c r="CP497" s="992"/>
      <c r="CQ497" s="992"/>
      <c r="CR497" s="992"/>
      <c r="CS497" s="992"/>
      <c r="CT497" s="992"/>
      <c r="CU497" s="992"/>
      <c r="CV497" s="992"/>
      <c r="CW497" s="992"/>
      <c r="CX497" s="992"/>
      <c r="CY497" s="992"/>
    </row>
    <row r="498" spans="1:103" s="992" customFormat="1" ht="89.25" x14ac:dyDescent="0.25">
      <c r="A498" s="1020">
        <v>2022492</v>
      </c>
      <c r="B498" s="1020">
        <v>7658</v>
      </c>
      <c r="C498" s="1020" t="s">
        <v>673</v>
      </c>
      <c r="D498" s="1036" t="s">
        <v>699</v>
      </c>
      <c r="E498" s="1037">
        <v>15101500</v>
      </c>
      <c r="F498" s="1023" t="s">
        <v>1092</v>
      </c>
      <c r="G498" s="1038" t="s">
        <v>1743</v>
      </c>
      <c r="H498" s="1138" t="s">
        <v>1753</v>
      </c>
      <c r="I498" s="1039" t="s">
        <v>1911</v>
      </c>
      <c r="J498" s="1040" t="s">
        <v>1817</v>
      </c>
      <c r="K498" s="1024" t="s">
        <v>678</v>
      </c>
      <c r="L498" s="1026" t="s">
        <v>1913</v>
      </c>
      <c r="M498" s="1027">
        <v>1030000000</v>
      </c>
      <c r="N498" s="1080" t="s">
        <v>725</v>
      </c>
      <c r="O498" s="1080" t="s">
        <v>1815</v>
      </c>
      <c r="P498" s="1080"/>
      <c r="Q498" s="1024"/>
      <c r="R498" s="1019"/>
      <c r="S498" s="1127">
        <v>221</v>
      </c>
      <c r="T498" s="1153">
        <v>1030000000</v>
      </c>
    </row>
    <row r="499" spans="1:103" s="992" customFormat="1" ht="89.25" x14ac:dyDescent="0.25">
      <c r="A499" s="1010">
        <v>2022493</v>
      </c>
      <c r="B499" s="1010">
        <v>7658</v>
      </c>
      <c r="C499" s="1010" t="s">
        <v>673</v>
      </c>
      <c r="D499" s="1042" t="s">
        <v>699</v>
      </c>
      <c r="E499" s="1048" t="s">
        <v>1093</v>
      </c>
      <c r="F499" s="1013" t="s">
        <v>1094</v>
      </c>
      <c r="G499" s="1044" t="s">
        <v>1743</v>
      </c>
      <c r="H499" s="1138" t="s">
        <v>1753</v>
      </c>
      <c r="I499" s="1045" t="s">
        <v>1911</v>
      </c>
      <c r="J499" s="1046" t="s">
        <v>1861</v>
      </c>
      <c r="K499" s="1014" t="s">
        <v>678</v>
      </c>
      <c r="L499" s="1016" t="s">
        <v>962</v>
      </c>
      <c r="M499" s="1017">
        <v>400000000</v>
      </c>
      <c r="N499" s="1034" t="s">
        <v>725</v>
      </c>
      <c r="O499" s="1034" t="s">
        <v>1815</v>
      </c>
      <c r="P499" s="1034"/>
      <c r="Q499" s="1014"/>
      <c r="R499" s="1019"/>
      <c r="S499" s="1127"/>
      <c r="T499" s="1153"/>
    </row>
    <row r="500" spans="1:103" s="992" customFormat="1" ht="89.25" x14ac:dyDescent="0.25">
      <c r="A500" s="1010">
        <v>2022494</v>
      </c>
      <c r="B500" s="1010">
        <v>7658</v>
      </c>
      <c r="C500" s="1010" t="s">
        <v>673</v>
      </c>
      <c r="D500" s="1042" t="s">
        <v>699</v>
      </c>
      <c r="E500" s="1048" t="s">
        <v>1914</v>
      </c>
      <c r="F500" s="1013" t="s">
        <v>1915</v>
      </c>
      <c r="G500" s="1044" t="s">
        <v>1743</v>
      </c>
      <c r="H500" s="1138" t="s">
        <v>1753</v>
      </c>
      <c r="I500" s="1045" t="s">
        <v>1810</v>
      </c>
      <c r="J500" s="1046" t="s">
        <v>1916</v>
      </c>
      <c r="K500" s="1014" t="s">
        <v>678</v>
      </c>
      <c r="L500" s="1082" t="s">
        <v>944</v>
      </c>
      <c r="M500" s="1017">
        <v>50000000</v>
      </c>
      <c r="N500" s="1034" t="s">
        <v>725</v>
      </c>
      <c r="O500" s="1034" t="s">
        <v>1815</v>
      </c>
      <c r="P500" s="1034"/>
      <c r="Q500" s="1014"/>
      <c r="R500" s="1019"/>
      <c r="S500" s="1127"/>
      <c r="T500" s="1153"/>
    </row>
    <row r="501" spans="1:103" s="992" customFormat="1" ht="89.25" x14ac:dyDescent="0.25">
      <c r="A501" s="1010">
        <v>2022495</v>
      </c>
      <c r="B501" s="1010">
        <v>7658</v>
      </c>
      <c r="C501" s="1010" t="s">
        <v>673</v>
      </c>
      <c r="D501" s="1042" t="s">
        <v>699</v>
      </c>
      <c r="E501" s="1043">
        <v>78181505</v>
      </c>
      <c r="F501" s="1013" t="s">
        <v>1095</v>
      </c>
      <c r="G501" s="1044" t="s">
        <v>1743</v>
      </c>
      <c r="H501" s="1138" t="s">
        <v>1753</v>
      </c>
      <c r="I501" s="1045" t="s">
        <v>1746</v>
      </c>
      <c r="J501" s="1046" t="s">
        <v>1861</v>
      </c>
      <c r="K501" s="1014" t="s">
        <v>678</v>
      </c>
      <c r="L501" s="1016" t="s">
        <v>962</v>
      </c>
      <c r="M501" s="1017">
        <v>80000000</v>
      </c>
      <c r="N501" s="1034" t="s">
        <v>725</v>
      </c>
      <c r="O501" s="1034" t="s">
        <v>1815</v>
      </c>
      <c r="P501" s="1034"/>
      <c r="Q501" s="1044">
        <v>44600</v>
      </c>
      <c r="R501" s="1019"/>
      <c r="S501" s="1127"/>
      <c r="T501" s="1153"/>
    </row>
    <row r="502" spans="1:103" s="992" customFormat="1" ht="89.25" x14ac:dyDescent="0.25">
      <c r="A502" s="1010">
        <v>2022496</v>
      </c>
      <c r="B502" s="1010">
        <v>7658</v>
      </c>
      <c r="C502" s="1010" t="s">
        <v>673</v>
      </c>
      <c r="D502" s="1042" t="s">
        <v>699</v>
      </c>
      <c r="E502" s="1043" t="s">
        <v>1096</v>
      </c>
      <c r="F502" s="1013" t="s">
        <v>1097</v>
      </c>
      <c r="G502" s="1044" t="s">
        <v>1743</v>
      </c>
      <c r="H502" s="1138" t="s">
        <v>1753</v>
      </c>
      <c r="I502" s="1045" t="s">
        <v>1911</v>
      </c>
      <c r="J502" s="1046" t="s">
        <v>1861</v>
      </c>
      <c r="K502" s="1014" t="s">
        <v>678</v>
      </c>
      <c r="L502" s="1016" t="s">
        <v>962</v>
      </c>
      <c r="M502" s="1017">
        <v>150000000</v>
      </c>
      <c r="N502" s="1034" t="s">
        <v>725</v>
      </c>
      <c r="O502" s="1034" t="s">
        <v>1815</v>
      </c>
      <c r="P502" s="1034"/>
      <c r="Q502" s="1044">
        <v>44600</v>
      </c>
      <c r="R502" s="1019"/>
      <c r="S502" s="1127"/>
      <c r="T502" s="1153"/>
    </row>
    <row r="503" spans="1:103" s="1031" customFormat="1" ht="89.25" x14ac:dyDescent="0.25">
      <c r="A503" s="1128">
        <v>2022497</v>
      </c>
      <c r="B503" s="1128">
        <v>7658</v>
      </c>
      <c r="C503" s="1128" t="s">
        <v>673</v>
      </c>
      <c r="D503" s="1136" t="s">
        <v>699</v>
      </c>
      <c r="E503" s="1142">
        <v>72101509</v>
      </c>
      <c r="F503" s="1131" t="s">
        <v>1098</v>
      </c>
      <c r="G503" s="1138" t="s">
        <v>1743</v>
      </c>
      <c r="H503" s="1138" t="s">
        <v>1753</v>
      </c>
      <c r="I503" s="1139" t="s">
        <v>1911</v>
      </c>
      <c r="J503" s="1140" t="s">
        <v>1861</v>
      </c>
      <c r="K503" s="1132" t="s">
        <v>678</v>
      </c>
      <c r="L503" s="1129" t="s">
        <v>962</v>
      </c>
      <c r="M503" s="1133">
        <v>350000000</v>
      </c>
      <c r="N503" s="1148" t="s">
        <v>725</v>
      </c>
      <c r="O503" s="1148" t="s">
        <v>1815</v>
      </c>
      <c r="P503" s="1148"/>
      <c r="Q503" s="1138">
        <v>44600</v>
      </c>
      <c r="R503" s="1127">
        <v>421</v>
      </c>
      <c r="S503" s="1127"/>
      <c r="T503" s="1153"/>
      <c r="U503" s="992"/>
      <c r="V503" s="992"/>
      <c r="W503" s="992"/>
      <c r="X503" s="992"/>
      <c r="Y503" s="992"/>
      <c r="Z503" s="992"/>
      <c r="AA503" s="992"/>
      <c r="AB503" s="992"/>
      <c r="AC503" s="992"/>
      <c r="AD503" s="992"/>
      <c r="AE503" s="992"/>
      <c r="AF503" s="992"/>
      <c r="AG503" s="992"/>
      <c r="AH503" s="992"/>
      <c r="AI503" s="992"/>
      <c r="AJ503" s="992"/>
      <c r="AK503" s="992"/>
      <c r="AL503" s="992"/>
      <c r="AM503" s="992"/>
      <c r="AN503" s="992"/>
      <c r="AO503" s="992"/>
      <c r="AP503" s="992"/>
      <c r="AQ503" s="992"/>
      <c r="AR503" s="992"/>
      <c r="AS503" s="992"/>
      <c r="AT503" s="992"/>
      <c r="AU503" s="992"/>
      <c r="AV503" s="992"/>
      <c r="AW503" s="992"/>
      <c r="AX503" s="992"/>
      <c r="AY503" s="992"/>
      <c r="AZ503" s="992"/>
      <c r="BA503" s="992"/>
      <c r="BB503" s="992"/>
      <c r="BC503" s="992"/>
      <c r="BD503" s="992"/>
      <c r="BE503" s="992"/>
      <c r="BF503" s="992"/>
      <c r="BG503" s="992"/>
      <c r="BH503" s="992"/>
      <c r="BI503" s="992"/>
      <c r="BJ503" s="992"/>
      <c r="BK503" s="992"/>
      <c r="BL503" s="992"/>
      <c r="BM503" s="992"/>
      <c r="BN503" s="992"/>
      <c r="BO503" s="992"/>
      <c r="BP503" s="992"/>
      <c r="BQ503" s="992"/>
      <c r="BR503" s="992"/>
      <c r="BS503" s="992"/>
      <c r="BT503" s="992"/>
      <c r="BU503" s="992"/>
      <c r="BV503" s="992"/>
      <c r="BW503" s="992"/>
      <c r="BX503" s="992"/>
      <c r="BY503" s="992"/>
      <c r="BZ503" s="992"/>
      <c r="CA503" s="992"/>
      <c r="CB503" s="992"/>
      <c r="CC503" s="992"/>
      <c r="CD503" s="992"/>
      <c r="CE503" s="992"/>
      <c r="CF503" s="992"/>
      <c r="CG503" s="992"/>
      <c r="CH503" s="992"/>
      <c r="CI503" s="992"/>
      <c r="CJ503" s="992"/>
      <c r="CK503" s="992"/>
      <c r="CL503" s="992"/>
      <c r="CM503" s="992"/>
      <c r="CN503" s="992"/>
      <c r="CO503" s="992"/>
      <c r="CP503" s="992"/>
      <c r="CQ503" s="992"/>
      <c r="CR503" s="992"/>
      <c r="CS503" s="992"/>
      <c r="CT503" s="992"/>
      <c r="CU503" s="992"/>
      <c r="CV503" s="992"/>
      <c r="CW503" s="992"/>
      <c r="CX503" s="992"/>
      <c r="CY503" s="992"/>
    </row>
    <row r="504" spans="1:103" s="992" customFormat="1" ht="89.25" x14ac:dyDescent="0.25">
      <c r="A504" s="1010">
        <v>2022498</v>
      </c>
      <c r="B504" s="1010">
        <v>7658</v>
      </c>
      <c r="C504" s="1010" t="s">
        <v>673</v>
      </c>
      <c r="D504" s="1042" t="s">
        <v>699</v>
      </c>
      <c r="E504" s="1043">
        <v>72101509</v>
      </c>
      <c r="F504" s="1013" t="s">
        <v>1917</v>
      </c>
      <c r="G504" s="1044" t="s">
        <v>1743</v>
      </c>
      <c r="H504" s="1138" t="s">
        <v>1753</v>
      </c>
      <c r="I504" s="1045" t="s">
        <v>1911</v>
      </c>
      <c r="J504" s="1046" t="s">
        <v>1918</v>
      </c>
      <c r="K504" s="1014" t="s">
        <v>678</v>
      </c>
      <c r="L504" s="1016" t="s">
        <v>962</v>
      </c>
      <c r="M504" s="1017">
        <v>300000000</v>
      </c>
      <c r="N504" s="1034" t="s">
        <v>725</v>
      </c>
      <c r="O504" s="1034" t="s">
        <v>1815</v>
      </c>
      <c r="P504" s="1034"/>
      <c r="Q504" s="1044">
        <v>44600</v>
      </c>
      <c r="R504" s="1019"/>
      <c r="S504" s="1127"/>
      <c r="T504" s="1153"/>
    </row>
    <row r="505" spans="1:103" s="992" customFormat="1" ht="89.25" x14ac:dyDescent="0.25">
      <c r="A505" s="1128">
        <v>2022499</v>
      </c>
      <c r="B505" s="1128">
        <v>7658</v>
      </c>
      <c r="C505" s="1128" t="s">
        <v>673</v>
      </c>
      <c r="D505" s="1136" t="s">
        <v>699</v>
      </c>
      <c r="E505" s="1142">
        <v>78111800</v>
      </c>
      <c r="F505" s="1131" t="s">
        <v>1100</v>
      </c>
      <c r="G505" s="1138" t="s">
        <v>1743</v>
      </c>
      <c r="H505" s="1138" t="s">
        <v>1753</v>
      </c>
      <c r="I505" s="1139" t="s">
        <v>1911</v>
      </c>
      <c r="J505" s="1140" t="s">
        <v>1817</v>
      </c>
      <c r="K505" s="1132" t="s">
        <v>678</v>
      </c>
      <c r="L505" s="1150" t="s">
        <v>1919</v>
      </c>
      <c r="M505" s="1133">
        <v>600000000</v>
      </c>
      <c r="N505" s="1148" t="s">
        <v>725</v>
      </c>
      <c r="O505" s="1148" t="s">
        <v>1815</v>
      </c>
      <c r="P505" s="1148"/>
      <c r="Q505" s="1132"/>
      <c r="R505" s="1127">
        <v>592</v>
      </c>
      <c r="S505" s="1127"/>
      <c r="T505" s="1153"/>
    </row>
    <row r="506" spans="1:103" s="992" customFormat="1" ht="89.25" x14ac:dyDescent="0.2">
      <c r="A506" s="1010">
        <v>2022500</v>
      </c>
      <c r="B506" s="1010">
        <v>7658</v>
      </c>
      <c r="C506" s="1093" t="s">
        <v>673</v>
      </c>
      <c r="D506" s="1042" t="s">
        <v>699</v>
      </c>
      <c r="E506" s="1043"/>
      <c r="F506" s="1013" t="s">
        <v>1101</v>
      </c>
      <c r="G506" s="1044" t="s">
        <v>1743</v>
      </c>
      <c r="H506" s="1044" t="s">
        <v>1753</v>
      </c>
      <c r="I506" s="1045" t="s">
        <v>1911</v>
      </c>
      <c r="J506" s="1092"/>
      <c r="K506" s="1014" t="s">
        <v>678</v>
      </c>
      <c r="L506" s="1094" t="s">
        <v>679</v>
      </c>
      <c r="M506" s="1017">
        <f>93500000-7475000-10000000</f>
        <v>76025000</v>
      </c>
      <c r="N506" s="1034" t="s">
        <v>1906</v>
      </c>
      <c r="O506" s="1034" t="s">
        <v>1815</v>
      </c>
      <c r="P506" s="1034"/>
      <c r="Q506" s="1044">
        <v>44600</v>
      </c>
      <c r="R506" s="1019"/>
      <c r="S506" s="1127"/>
      <c r="T506" s="1153"/>
    </row>
    <row r="507" spans="1:103" s="992" customFormat="1" ht="89.25" x14ac:dyDescent="0.25">
      <c r="A507" s="1010">
        <v>2022501</v>
      </c>
      <c r="B507" s="1010">
        <v>7658</v>
      </c>
      <c r="C507" s="1093" t="s">
        <v>673</v>
      </c>
      <c r="D507" s="1042" t="s">
        <v>699</v>
      </c>
      <c r="E507" s="1043" t="s">
        <v>1920</v>
      </c>
      <c r="F507" s="1013" t="s">
        <v>1921</v>
      </c>
      <c r="G507" s="1044" t="s">
        <v>1743</v>
      </c>
      <c r="H507" s="1044" t="s">
        <v>1753</v>
      </c>
      <c r="I507" s="1045" t="s">
        <v>1911</v>
      </c>
      <c r="J507" s="1046" t="s">
        <v>1842</v>
      </c>
      <c r="K507" s="1014" t="s">
        <v>774</v>
      </c>
      <c r="L507" s="1016" t="s">
        <v>1840</v>
      </c>
      <c r="M507" s="1017">
        <v>437560000</v>
      </c>
      <c r="N507" s="1034" t="s">
        <v>725</v>
      </c>
      <c r="O507" s="1034" t="s">
        <v>1815</v>
      </c>
      <c r="P507" s="1034"/>
      <c r="Q507" s="1014"/>
      <c r="R507" s="1019"/>
      <c r="S507" s="1127"/>
      <c r="T507" s="1153"/>
    </row>
    <row r="508" spans="1:103" s="992" customFormat="1" ht="102" x14ac:dyDescent="0.25">
      <c r="A508" s="1020">
        <v>2022502</v>
      </c>
      <c r="B508" s="1020">
        <v>7658</v>
      </c>
      <c r="C508" s="1095" t="s">
        <v>673</v>
      </c>
      <c r="D508" s="1036" t="s">
        <v>699</v>
      </c>
      <c r="E508" s="1037">
        <v>80111600</v>
      </c>
      <c r="F508" s="1023" t="s">
        <v>1102</v>
      </c>
      <c r="G508" s="1038" t="s">
        <v>1743</v>
      </c>
      <c r="H508" s="1025" t="s">
        <v>1743</v>
      </c>
      <c r="I508" s="1039" t="s">
        <v>1808</v>
      </c>
      <c r="J508" s="1040" t="s">
        <v>1783</v>
      </c>
      <c r="K508" s="1024" t="s">
        <v>678</v>
      </c>
      <c r="L508" s="1026" t="s">
        <v>679</v>
      </c>
      <c r="M508" s="1027">
        <v>98900000</v>
      </c>
      <c r="N508" s="1080" t="s">
        <v>725</v>
      </c>
      <c r="O508" s="1080" t="s">
        <v>1815</v>
      </c>
      <c r="P508" s="1080"/>
      <c r="Q508" s="1024"/>
      <c r="R508" s="1019"/>
      <c r="S508" s="1127">
        <v>127</v>
      </c>
      <c r="T508" s="1153">
        <v>94600000</v>
      </c>
    </row>
    <row r="509" spans="1:103" s="992" customFormat="1" ht="89.25" x14ac:dyDescent="0.25">
      <c r="A509" s="1020">
        <v>2022503</v>
      </c>
      <c r="B509" s="1020">
        <v>7658</v>
      </c>
      <c r="C509" s="1095" t="s">
        <v>673</v>
      </c>
      <c r="D509" s="1036" t="s">
        <v>699</v>
      </c>
      <c r="E509" s="1037">
        <v>80111600</v>
      </c>
      <c r="F509" s="1023" t="s">
        <v>1103</v>
      </c>
      <c r="G509" s="1038" t="s">
        <v>1743</v>
      </c>
      <c r="H509" s="1025" t="s">
        <v>1743</v>
      </c>
      <c r="I509" s="1039" t="s">
        <v>1808</v>
      </c>
      <c r="J509" s="1040" t="s">
        <v>1783</v>
      </c>
      <c r="K509" s="1024" t="s">
        <v>678</v>
      </c>
      <c r="L509" s="1026" t="s">
        <v>679</v>
      </c>
      <c r="M509" s="1027">
        <v>97175000</v>
      </c>
      <c r="N509" s="1080" t="s">
        <v>725</v>
      </c>
      <c r="O509" s="1080" t="s">
        <v>1815</v>
      </c>
      <c r="P509" s="1080"/>
      <c r="Q509" s="1024"/>
      <c r="R509" s="1019"/>
      <c r="S509" s="1127">
        <v>75</v>
      </c>
      <c r="T509" s="1153">
        <v>92950000</v>
      </c>
    </row>
    <row r="510" spans="1:103" s="992" customFormat="1" ht="89.25" x14ac:dyDescent="0.25">
      <c r="A510" s="1020">
        <v>2022504</v>
      </c>
      <c r="B510" s="1020">
        <v>7658</v>
      </c>
      <c r="C510" s="1095" t="s">
        <v>673</v>
      </c>
      <c r="D510" s="1036" t="s">
        <v>699</v>
      </c>
      <c r="E510" s="1037">
        <v>80111600</v>
      </c>
      <c r="F510" s="1023" t="s">
        <v>1104</v>
      </c>
      <c r="G510" s="1038" t="s">
        <v>1743</v>
      </c>
      <c r="H510" s="1025" t="s">
        <v>1743</v>
      </c>
      <c r="I510" s="1039" t="s">
        <v>1808</v>
      </c>
      <c r="J510" s="1040" t="s">
        <v>1783</v>
      </c>
      <c r="K510" s="1024" t="s">
        <v>678</v>
      </c>
      <c r="L510" s="1026" t="s">
        <v>783</v>
      </c>
      <c r="M510" s="1027">
        <v>103500000</v>
      </c>
      <c r="N510" s="1080" t="s">
        <v>725</v>
      </c>
      <c r="O510" s="1080" t="s">
        <v>1815</v>
      </c>
      <c r="P510" s="1080"/>
      <c r="Q510" s="1024"/>
      <c r="R510" s="1019"/>
      <c r="S510" s="1127">
        <v>303</v>
      </c>
      <c r="T510" s="1153">
        <v>99000000</v>
      </c>
    </row>
    <row r="511" spans="1:103" s="992" customFormat="1" ht="89.25" x14ac:dyDescent="0.25">
      <c r="A511" s="1020">
        <v>2022505</v>
      </c>
      <c r="B511" s="1020">
        <v>7658</v>
      </c>
      <c r="C511" s="1095" t="s">
        <v>673</v>
      </c>
      <c r="D511" s="1036" t="s">
        <v>699</v>
      </c>
      <c r="E511" s="1037">
        <v>80111600</v>
      </c>
      <c r="F511" s="1023" t="s">
        <v>1105</v>
      </c>
      <c r="G511" s="1038" t="s">
        <v>1743</v>
      </c>
      <c r="H511" s="1025" t="s">
        <v>1743</v>
      </c>
      <c r="I511" s="1039" t="s">
        <v>1808</v>
      </c>
      <c r="J511" s="1040" t="s">
        <v>1783</v>
      </c>
      <c r="K511" s="1024" t="s">
        <v>678</v>
      </c>
      <c r="L511" s="1026" t="s">
        <v>679</v>
      </c>
      <c r="M511" s="1027">
        <v>94760000</v>
      </c>
      <c r="N511" s="1080" t="s">
        <v>1906</v>
      </c>
      <c r="O511" s="1080" t="s">
        <v>1815</v>
      </c>
      <c r="P511" s="1080"/>
      <c r="Q511" s="1024"/>
      <c r="R511" s="1019"/>
      <c r="S511" s="1127">
        <v>455</v>
      </c>
      <c r="T511" s="1153">
        <v>90640000</v>
      </c>
    </row>
    <row r="512" spans="1:103" s="992" customFormat="1" ht="89.25" x14ac:dyDescent="0.25">
      <c r="A512" s="1020">
        <v>2022506</v>
      </c>
      <c r="B512" s="1020">
        <v>7658</v>
      </c>
      <c r="C512" s="1095" t="s">
        <v>673</v>
      </c>
      <c r="D512" s="1036" t="s">
        <v>699</v>
      </c>
      <c r="E512" s="1037">
        <v>80111600</v>
      </c>
      <c r="F512" s="1023" t="s">
        <v>1106</v>
      </c>
      <c r="G512" s="1038" t="s">
        <v>1743</v>
      </c>
      <c r="H512" s="1025" t="s">
        <v>1743</v>
      </c>
      <c r="I512" s="1039" t="s">
        <v>1808</v>
      </c>
      <c r="J512" s="1040" t="s">
        <v>1783</v>
      </c>
      <c r="K512" s="1024" t="s">
        <v>678</v>
      </c>
      <c r="L512" s="1024" t="s">
        <v>679</v>
      </c>
      <c r="M512" s="1027">
        <f>97175000-20700000-13225000</f>
        <v>63250000</v>
      </c>
      <c r="N512" s="1080" t="s">
        <v>725</v>
      </c>
      <c r="O512" s="1080" t="s">
        <v>1815</v>
      </c>
      <c r="P512" s="1080"/>
      <c r="Q512" s="1024"/>
      <c r="R512" s="1019"/>
      <c r="S512" s="1127">
        <v>442</v>
      </c>
      <c r="T512" s="1153">
        <v>60500000</v>
      </c>
    </row>
    <row r="513" spans="1:20" s="992" customFormat="1" ht="89.25" x14ac:dyDescent="0.25">
      <c r="A513" s="1020">
        <v>2022507</v>
      </c>
      <c r="B513" s="1020">
        <v>7658</v>
      </c>
      <c r="C513" s="1095" t="s">
        <v>673</v>
      </c>
      <c r="D513" s="1036" t="s">
        <v>699</v>
      </c>
      <c r="E513" s="1037">
        <v>80111600</v>
      </c>
      <c r="F513" s="1023" t="s">
        <v>1107</v>
      </c>
      <c r="G513" s="1038" t="s">
        <v>1743</v>
      </c>
      <c r="H513" s="1025" t="s">
        <v>1743</v>
      </c>
      <c r="I513" s="1039" t="s">
        <v>1808</v>
      </c>
      <c r="J513" s="1040" t="s">
        <v>1783</v>
      </c>
      <c r="K513" s="1024" t="s">
        <v>678</v>
      </c>
      <c r="L513" s="1026" t="s">
        <v>679</v>
      </c>
      <c r="M513" s="1027">
        <v>82915000</v>
      </c>
      <c r="N513" s="1080" t="s">
        <v>725</v>
      </c>
      <c r="O513" s="1080" t="s">
        <v>1815</v>
      </c>
      <c r="P513" s="1080"/>
      <c r="Q513" s="1024"/>
      <c r="R513" s="1019"/>
      <c r="S513" s="1127">
        <v>383</v>
      </c>
      <c r="T513" s="1153">
        <v>79310000</v>
      </c>
    </row>
    <row r="514" spans="1:20" s="992" customFormat="1" ht="89.25" x14ac:dyDescent="0.25">
      <c r="A514" s="1020">
        <v>2022508</v>
      </c>
      <c r="B514" s="1020">
        <v>7658</v>
      </c>
      <c r="C514" s="1095" t="s">
        <v>673</v>
      </c>
      <c r="D514" s="1036" t="s">
        <v>699</v>
      </c>
      <c r="E514" s="1037">
        <v>80111600</v>
      </c>
      <c r="F514" s="1023" t="s">
        <v>1108</v>
      </c>
      <c r="G514" s="1038" t="s">
        <v>1743</v>
      </c>
      <c r="H514" s="1025" t="s">
        <v>1743</v>
      </c>
      <c r="I514" s="1039" t="s">
        <v>1808</v>
      </c>
      <c r="J514" s="1040" t="s">
        <v>1783</v>
      </c>
      <c r="K514" s="1024" t="s">
        <v>678</v>
      </c>
      <c r="L514" s="1026" t="s">
        <v>679</v>
      </c>
      <c r="M514" s="1027">
        <v>32200000</v>
      </c>
      <c r="N514" s="1080" t="s">
        <v>725</v>
      </c>
      <c r="O514" s="1080" t="s">
        <v>1815</v>
      </c>
      <c r="P514" s="1080"/>
      <c r="Q514" s="1024"/>
      <c r="R514" s="1019"/>
      <c r="S514" s="1127">
        <v>111</v>
      </c>
      <c r="T514" s="1153">
        <v>16800000</v>
      </c>
    </row>
    <row r="515" spans="1:20" s="992" customFormat="1" ht="89.25" x14ac:dyDescent="0.25">
      <c r="A515" s="1020">
        <v>2022509</v>
      </c>
      <c r="B515" s="1020">
        <v>7658</v>
      </c>
      <c r="C515" s="1095" t="s">
        <v>673</v>
      </c>
      <c r="D515" s="1036" t="s">
        <v>699</v>
      </c>
      <c r="E515" s="1037">
        <v>80111600</v>
      </c>
      <c r="F515" s="1023" t="s">
        <v>1109</v>
      </c>
      <c r="G515" s="1038" t="s">
        <v>1743</v>
      </c>
      <c r="H515" s="1025" t="s">
        <v>1743</v>
      </c>
      <c r="I515" s="1039" t="s">
        <v>1808</v>
      </c>
      <c r="J515" s="1040" t="s">
        <v>1783</v>
      </c>
      <c r="K515" s="1024" t="s">
        <v>678</v>
      </c>
      <c r="L515" s="1026" t="s">
        <v>679</v>
      </c>
      <c r="M515" s="1027">
        <v>36685000</v>
      </c>
      <c r="N515" s="1080" t="s">
        <v>1906</v>
      </c>
      <c r="O515" s="1080" t="s">
        <v>1815</v>
      </c>
      <c r="P515" s="1080"/>
      <c r="Q515" s="1024"/>
      <c r="R515" s="1019"/>
      <c r="S515" s="1127">
        <v>233</v>
      </c>
      <c r="T515" s="1153">
        <v>35090000</v>
      </c>
    </row>
    <row r="516" spans="1:20" s="992" customFormat="1" ht="89.25" x14ac:dyDescent="0.25">
      <c r="A516" s="1020">
        <v>2022510</v>
      </c>
      <c r="B516" s="1020">
        <v>7658</v>
      </c>
      <c r="C516" s="1095" t="s">
        <v>673</v>
      </c>
      <c r="D516" s="1036" t="s">
        <v>699</v>
      </c>
      <c r="E516" s="1037">
        <v>80111600</v>
      </c>
      <c r="F516" s="1023" t="s">
        <v>1110</v>
      </c>
      <c r="G516" s="1038" t="s">
        <v>1743</v>
      </c>
      <c r="H516" s="1025" t="s">
        <v>1743</v>
      </c>
      <c r="I516" s="1039" t="s">
        <v>1808</v>
      </c>
      <c r="J516" s="1040" t="s">
        <v>1783</v>
      </c>
      <c r="K516" s="1024" t="s">
        <v>678</v>
      </c>
      <c r="L516" s="1026" t="s">
        <v>679</v>
      </c>
      <c r="M516" s="1027">
        <v>97175000</v>
      </c>
      <c r="N516" s="1080" t="s">
        <v>1906</v>
      </c>
      <c r="O516" s="1080" t="s">
        <v>1815</v>
      </c>
      <c r="P516" s="1080"/>
      <c r="Q516" s="1024"/>
      <c r="R516" s="1019"/>
      <c r="S516" s="1127">
        <v>69</v>
      </c>
      <c r="T516" s="1153">
        <v>92950000</v>
      </c>
    </row>
    <row r="517" spans="1:20" s="992" customFormat="1" ht="89.25" x14ac:dyDescent="0.25">
      <c r="A517" s="1020">
        <v>2022511</v>
      </c>
      <c r="B517" s="1020">
        <v>7658</v>
      </c>
      <c r="C517" s="1095" t="s">
        <v>673</v>
      </c>
      <c r="D517" s="1036" t="s">
        <v>699</v>
      </c>
      <c r="E517" s="1037">
        <v>80111600</v>
      </c>
      <c r="F517" s="1023" t="s">
        <v>1111</v>
      </c>
      <c r="G517" s="1038" t="s">
        <v>1743</v>
      </c>
      <c r="H517" s="1025" t="s">
        <v>1743</v>
      </c>
      <c r="I517" s="1039" t="s">
        <v>1808</v>
      </c>
      <c r="J517" s="1040" t="s">
        <v>1783</v>
      </c>
      <c r="K517" s="1024" t="s">
        <v>678</v>
      </c>
      <c r="L517" s="1026" t="s">
        <v>679</v>
      </c>
      <c r="M517" s="1027">
        <v>45655000</v>
      </c>
      <c r="N517" s="1080" t="s">
        <v>1906</v>
      </c>
      <c r="O517" s="1080" t="s">
        <v>1815</v>
      </c>
      <c r="P517" s="1080"/>
      <c r="Q517" s="1024"/>
      <c r="R517" s="1019"/>
      <c r="S517" s="1127">
        <v>148</v>
      </c>
      <c r="T517" s="1153">
        <v>43670000</v>
      </c>
    </row>
    <row r="518" spans="1:20" s="992" customFormat="1" ht="89.25" x14ac:dyDescent="0.25">
      <c r="A518" s="1020">
        <v>2022512</v>
      </c>
      <c r="B518" s="1020">
        <v>7658</v>
      </c>
      <c r="C518" s="1095" t="s">
        <v>673</v>
      </c>
      <c r="D518" s="1036" t="s">
        <v>699</v>
      </c>
      <c r="E518" s="1037">
        <v>80111600</v>
      </c>
      <c r="F518" s="1023" t="s">
        <v>1107</v>
      </c>
      <c r="G518" s="1038" t="s">
        <v>1743</v>
      </c>
      <c r="H518" s="1025" t="s">
        <v>1743</v>
      </c>
      <c r="I518" s="1039" t="s">
        <v>1808</v>
      </c>
      <c r="J518" s="1040" t="s">
        <v>1783</v>
      </c>
      <c r="K518" s="1024" t="s">
        <v>678</v>
      </c>
      <c r="L518" s="1026" t="s">
        <v>679</v>
      </c>
      <c r="M518" s="1027">
        <v>82915000</v>
      </c>
      <c r="N518" s="1080" t="s">
        <v>725</v>
      </c>
      <c r="O518" s="1080" t="s">
        <v>1815</v>
      </c>
      <c r="P518" s="1080"/>
      <c r="Q518" s="1024"/>
      <c r="R518" s="1019"/>
      <c r="S518" s="1127">
        <v>276</v>
      </c>
      <c r="T518" s="1153">
        <v>79310000</v>
      </c>
    </row>
    <row r="519" spans="1:20" s="992" customFormat="1" ht="89.25" x14ac:dyDescent="0.25">
      <c r="A519" s="1020">
        <v>2022513</v>
      </c>
      <c r="B519" s="1020">
        <v>7658</v>
      </c>
      <c r="C519" s="1095" t="s">
        <v>673</v>
      </c>
      <c r="D519" s="1036" t="s">
        <v>699</v>
      </c>
      <c r="E519" s="1037">
        <v>80111600</v>
      </c>
      <c r="F519" s="1023" t="s">
        <v>1922</v>
      </c>
      <c r="G519" s="1038" t="s">
        <v>1743</v>
      </c>
      <c r="H519" s="1025" t="s">
        <v>1743</v>
      </c>
      <c r="I519" s="1039" t="s">
        <v>1808</v>
      </c>
      <c r="J519" s="1040" t="s">
        <v>1783</v>
      </c>
      <c r="K519" s="1024" t="s">
        <v>678</v>
      </c>
      <c r="L519" s="1026" t="s">
        <v>679</v>
      </c>
      <c r="M519" s="1027">
        <v>28175000</v>
      </c>
      <c r="N519" s="1080" t="s">
        <v>725</v>
      </c>
      <c r="O519" s="1080" t="s">
        <v>1815</v>
      </c>
      <c r="P519" s="1080"/>
      <c r="Q519" s="1024"/>
      <c r="R519" s="1019"/>
      <c r="S519" s="1127">
        <v>399</v>
      </c>
      <c r="T519" s="1153">
        <v>26950000</v>
      </c>
    </row>
    <row r="520" spans="1:20" s="992" customFormat="1" ht="89.25" x14ac:dyDescent="0.25">
      <c r="A520" s="1020">
        <v>2022514</v>
      </c>
      <c r="B520" s="1020">
        <v>7658</v>
      </c>
      <c r="C520" s="1095" t="s">
        <v>673</v>
      </c>
      <c r="D520" s="1036" t="s">
        <v>699</v>
      </c>
      <c r="E520" s="1037">
        <v>80111600</v>
      </c>
      <c r="F520" s="1023" t="s">
        <v>1113</v>
      </c>
      <c r="G520" s="1038" t="s">
        <v>1743</v>
      </c>
      <c r="H520" s="1025" t="s">
        <v>1743</v>
      </c>
      <c r="I520" s="1039" t="s">
        <v>1808</v>
      </c>
      <c r="J520" s="1040" t="s">
        <v>1783</v>
      </c>
      <c r="K520" s="1024" t="s">
        <v>678</v>
      </c>
      <c r="L520" s="1026" t="s">
        <v>679</v>
      </c>
      <c r="M520" s="1027">
        <v>45655000</v>
      </c>
      <c r="N520" s="1080" t="s">
        <v>1906</v>
      </c>
      <c r="O520" s="1080" t="s">
        <v>1815</v>
      </c>
      <c r="P520" s="1080"/>
      <c r="Q520" s="1024"/>
      <c r="R520" s="1019"/>
      <c r="S520" s="1127">
        <v>365</v>
      </c>
      <c r="T520" s="1153">
        <v>43670000</v>
      </c>
    </row>
    <row r="521" spans="1:20" s="992" customFormat="1" ht="89.25" x14ac:dyDescent="0.25">
      <c r="A521" s="1020">
        <v>2022515</v>
      </c>
      <c r="B521" s="1020">
        <v>7658</v>
      </c>
      <c r="C521" s="1095" t="s">
        <v>673</v>
      </c>
      <c r="D521" s="1036" t="s">
        <v>699</v>
      </c>
      <c r="E521" s="1037">
        <v>80111600</v>
      </c>
      <c r="F521" s="1023" t="s">
        <v>1114</v>
      </c>
      <c r="G521" s="1038" t="s">
        <v>1743</v>
      </c>
      <c r="H521" s="1025" t="s">
        <v>1743</v>
      </c>
      <c r="I521" s="1039" t="s">
        <v>1808</v>
      </c>
      <c r="J521" s="1040" t="s">
        <v>1783</v>
      </c>
      <c r="K521" s="1024" t="s">
        <v>678</v>
      </c>
      <c r="L521" s="1026" t="s">
        <v>679</v>
      </c>
      <c r="M521" s="1027">
        <v>36685000</v>
      </c>
      <c r="N521" s="1080" t="s">
        <v>725</v>
      </c>
      <c r="O521" s="1080" t="s">
        <v>1815</v>
      </c>
      <c r="P521" s="1080"/>
      <c r="Q521" s="1024"/>
      <c r="R521" s="1019"/>
      <c r="S521" s="1127">
        <v>263</v>
      </c>
      <c r="T521" s="1153">
        <v>35090000</v>
      </c>
    </row>
    <row r="522" spans="1:20" s="992" customFormat="1" ht="89.25" x14ac:dyDescent="0.25">
      <c r="A522" s="1020">
        <v>2022516</v>
      </c>
      <c r="B522" s="1020">
        <v>7658</v>
      </c>
      <c r="C522" s="1095" t="s">
        <v>673</v>
      </c>
      <c r="D522" s="1036" t="s">
        <v>699</v>
      </c>
      <c r="E522" s="1037">
        <v>80111600</v>
      </c>
      <c r="F522" s="1023" t="s">
        <v>1115</v>
      </c>
      <c r="G522" s="1038" t="s">
        <v>1743</v>
      </c>
      <c r="H522" s="1025" t="s">
        <v>1743</v>
      </c>
      <c r="I522" s="1039" t="s">
        <v>1808</v>
      </c>
      <c r="J522" s="1040" t="s">
        <v>1783</v>
      </c>
      <c r="K522" s="1024" t="s">
        <v>678</v>
      </c>
      <c r="L522" s="1026" t="s">
        <v>679</v>
      </c>
      <c r="M522" s="1027">
        <v>28175000</v>
      </c>
      <c r="N522" s="1080" t="s">
        <v>1906</v>
      </c>
      <c r="O522" s="1080" t="s">
        <v>1815</v>
      </c>
      <c r="P522" s="1080"/>
      <c r="Q522" s="1024"/>
      <c r="R522" s="1019"/>
      <c r="S522" s="1127">
        <v>139</v>
      </c>
      <c r="T522" s="1153">
        <v>26950000</v>
      </c>
    </row>
    <row r="523" spans="1:20" s="992" customFormat="1" ht="89.25" x14ac:dyDescent="0.25">
      <c r="A523" s="1020">
        <v>2022517</v>
      </c>
      <c r="B523" s="1020">
        <v>7658</v>
      </c>
      <c r="C523" s="1095" t="s">
        <v>673</v>
      </c>
      <c r="D523" s="1036" t="s">
        <v>699</v>
      </c>
      <c r="E523" s="1037">
        <v>80111600</v>
      </c>
      <c r="F523" s="1023" t="s">
        <v>1116</v>
      </c>
      <c r="G523" s="1038" t="s">
        <v>1743</v>
      </c>
      <c r="H523" s="1025" t="s">
        <v>1743</v>
      </c>
      <c r="I523" s="1039" t="s">
        <v>1808</v>
      </c>
      <c r="J523" s="1040" t="s">
        <v>1783</v>
      </c>
      <c r="K523" s="1024" t="s">
        <v>678</v>
      </c>
      <c r="L523" s="1026" t="s">
        <v>679</v>
      </c>
      <c r="M523" s="1027">
        <v>36685000</v>
      </c>
      <c r="N523" s="1080" t="s">
        <v>725</v>
      </c>
      <c r="O523" s="1080" t="s">
        <v>1815</v>
      </c>
      <c r="P523" s="1080"/>
      <c r="Q523" s="1024"/>
      <c r="R523" s="1019"/>
      <c r="S523" s="1127">
        <v>364</v>
      </c>
      <c r="T523" s="1153">
        <v>35090000</v>
      </c>
    </row>
    <row r="524" spans="1:20" s="992" customFormat="1" ht="114.75" x14ac:dyDescent="0.25">
      <c r="A524" s="1020">
        <v>2022518</v>
      </c>
      <c r="B524" s="1020">
        <v>7658</v>
      </c>
      <c r="C524" s="1095" t="s">
        <v>673</v>
      </c>
      <c r="D524" s="1036" t="s">
        <v>699</v>
      </c>
      <c r="E524" s="1037">
        <v>80111600</v>
      </c>
      <c r="F524" s="1023" t="s">
        <v>1117</v>
      </c>
      <c r="G524" s="1038" t="s">
        <v>1743</v>
      </c>
      <c r="H524" s="1025" t="s">
        <v>1743</v>
      </c>
      <c r="I524" s="1039" t="s">
        <v>1808</v>
      </c>
      <c r="J524" s="1040" t="s">
        <v>1783</v>
      </c>
      <c r="K524" s="1024" t="s">
        <v>678</v>
      </c>
      <c r="L524" s="1024" t="s">
        <v>679</v>
      </c>
      <c r="M524" s="1027">
        <v>51750000</v>
      </c>
      <c r="N524" s="1080" t="s">
        <v>725</v>
      </c>
      <c r="O524" s="1080" t="s">
        <v>1815</v>
      </c>
      <c r="P524" s="1080"/>
      <c r="Q524" s="1024"/>
      <c r="R524" s="1019"/>
      <c r="S524" s="1127">
        <v>234</v>
      </c>
      <c r="T524" s="1153">
        <v>51700000</v>
      </c>
    </row>
    <row r="525" spans="1:20" s="992" customFormat="1" ht="114.75" x14ac:dyDescent="0.25">
      <c r="A525" s="1020">
        <v>2022519</v>
      </c>
      <c r="B525" s="1020">
        <v>7658</v>
      </c>
      <c r="C525" s="1095" t="s">
        <v>673</v>
      </c>
      <c r="D525" s="1036" t="s">
        <v>699</v>
      </c>
      <c r="E525" s="1037">
        <v>80111600</v>
      </c>
      <c r="F525" s="1023" t="s">
        <v>1118</v>
      </c>
      <c r="G525" s="1038" t="s">
        <v>1743</v>
      </c>
      <c r="H525" s="1025" t="s">
        <v>1743</v>
      </c>
      <c r="I525" s="1039" t="s">
        <v>1808</v>
      </c>
      <c r="J525" s="1040" t="s">
        <v>1783</v>
      </c>
      <c r="K525" s="1024" t="s">
        <v>678</v>
      </c>
      <c r="L525" s="1026" t="s">
        <v>679</v>
      </c>
      <c r="M525" s="1027">
        <v>54050000</v>
      </c>
      <c r="N525" s="1080" t="s">
        <v>1906</v>
      </c>
      <c r="O525" s="1080" t="s">
        <v>1815</v>
      </c>
      <c r="P525" s="1080"/>
      <c r="Q525" s="1024"/>
      <c r="R525" s="1019"/>
      <c r="S525" s="1127">
        <v>165</v>
      </c>
      <c r="T525" s="1153">
        <v>49500000</v>
      </c>
    </row>
    <row r="526" spans="1:20" s="992" customFormat="1" ht="89.25" x14ac:dyDescent="0.25">
      <c r="A526" s="1020">
        <v>2022520</v>
      </c>
      <c r="B526" s="1020">
        <v>7658</v>
      </c>
      <c r="C526" s="1095" t="s">
        <v>673</v>
      </c>
      <c r="D526" s="1036" t="s">
        <v>699</v>
      </c>
      <c r="E526" s="1037">
        <v>80111600</v>
      </c>
      <c r="F526" s="1023" t="s">
        <v>1119</v>
      </c>
      <c r="G526" s="1038" t="s">
        <v>1743</v>
      </c>
      <c r="H526" s="1025" t="s">
        <v>1743</v>
      </c>
      <c r="I526" s="1039" t="s">
        <v>1808</v>
      </c>
      <c r="J526" s="1040" t="s">
        <v>1783</v>
      </c>
      <c r="K526" s="1024" t="s">
        <v>678</v>
      </c>
      <c r="L526" s="1026" t="s">
        <v>679</v>
      </c>
      <c r="M526" s="1027">
        <v>51750000</v>
      </c>
      <c r="N526" s="1080" t="s">
        <v>725</v>
      </c>
      <c r="O526" s="1080" t="s">
        <v>1815</v>
      </c>
      <c r="P526" s="1080"/>
      <c r="Q526" s="1024"/>
      <c r="R526" s="1019"/>
      <c r="S526" s="1127">
        <v>220</v>
      </c>
      <c r="T526" s="1153">
        <v>49500000</v>
      </c>
    </row>
    <row r="527" spans="1:20" s="992" customFormat="1" ht="89.25" x14ac:dyDescent="0.25">
      <c r="A527" s="1020">
        <v>2022521</v>
      </c>
      <c r="B527" s="1020">
        <v>7658</v>
      </c>
      <c r="C527" s="1095" t="s">
        <v>673</v>
      </c>
      <c r="D527" s="1036" t="s">
        <v>699</v>
      </c>
      <c r="E527" s="1037">
        <v>80111600</v>
      </c>
      <c r="F527" s="1023" t="s">
        <v>1120</v>
      </c>
      <c r="G527" s="1038" t="s">
        <v>1743</v>
      </c>
      <c r="H527" s="1025" t="s">
        <v>1743</v>
      </c>
      <c r="I527" s="1039" t="s">
        <v>1808</v>
      </c>
      <c r="J527" s="1040" t="s">
        <v>1783</v>
      </c>
      <c r="K527" s="1024" t="s">
        <v>678</v>
      </c>
      <c r="L527" s="1026" t="s">
        <v>679</v>
      </c>
      <c r="M527" s="1027">
        <v>45655000</v>
      </c>
      <c r="N527" s="1080" t="s">
        <v>725</v>
      </c>
      <c r="O527" s="1080" t="s">
        <v>1815</v>
      </c>
      <c r="P527" s="1080"/>
      <c r="Q527" s="1024"/>
      <c r="R527" s="1019"/>
      <c r="S527" s="1127">
        <v>384</v>
      </c>
      <c r="T527" s="1153">
        <v>43670000</v>
      </c>
    </row>
    <row r="528" spans="1:20" s="992" customFormat="1" ht="89.25" x14ac:dyDescent="0.25">
      <c r="A528" s="1020">
        <v>2022522</v>
      </c>
      <c r="B528" s="1020">
        <v>7658</v>
      </c>
      <c r="C528" s="1095" t="s">
        <v>673</v>
      </c>
      <c r="D528" s="1036" t="s">
        <v>699</v>
      </c>
      <c r="E528" s="1037">
        <v>80111600</v>
      </c>
      <c r="F528" s="1023" t="s">
        <v>1107</v>
      </c>
      <c r="G528" s="1038" t="s">
        <v>1743</v>
      </c>
      <c r="H528" s="1025" t="s">
        <v>1743</v>
      </c>
      <c r="I528" s="1039" t="s">
        <v>1808</v>
      </c>
      <c r="J528" s="1040" t="s">
        <v>1783</v>
      </c>
      <c r="K528" s="1024" t="s">
        <v>678</v>
      </c>
      <c r="L528" s="1026" t="s">
        <v>679</v>
      </c>
      <c r="M528" s="1027">
        <v>82915000</v>
      </c>
      <c r="N528" s="1080" t="s">
        <v>725</v>
      </c>
      <c r="O528" s="1080" t="s">
        <v>1815</v>
      </c>
      <c r="P528" s="1080"/>
      <c r="Q528" s="1024"/>
      <c r="R528" s="1019"/>
      <c r="S528" s="1127">
        <v>114</v>
      </c>
      <c r="T528" s="1153">
        <v>79310000</v>
      </c>
    </row>
    <row r="529" spans="1:20" s="992" customFormat="1" ht="89.25" x14ac:dyDescent="0.25">
      <c r="A529" s="1020">
        <v>2022523</v>
      </c>
      <c r="B529" s="1020">
        <v>7658</v>
      </c>
      <c r="C529" s="1095" t="s">
        <v>673</v>
      </c>
      <c r="D529" s="1036" t="s">
        <v>699</v>
      </c>
      <c r="E529" s="1037">
        <v>80111600</v>
      </c>
      <c r="F529" s="1023" t="s">
        <v>1121</v>
      </c>
      <c r="G529" s="1038" t="s">
        <v>1743</v>
      </c>
      <c r="H529" s="1025" t="s">
        <v>1743</v>
      </c>
      <c r="I529" s="1039" t="s">
        <v>1808</v>
      </c>
      <c r="J529" s="1040" t="s">
        <v>1783</v>
      </c>
      <c r="K529" s="1024" t="s">
        <v>678</v>
      </c>
      <c r="L529" s="1026" t="s">
        <v>783</v>
      </c>
      <c r="M529" s="1027">
        <v>54510000</v>
      </c>
      <c r="N529" s="1080" t="s">
        <v>1906</v>
      </c>
      <c r="O529" s="1080" t="s">
        <v>1815</v>
      </c>
      <c r="P529" s="1080"/>
      <c r="Q529" s="1024"/>
      <c r="R529" s="1019"/>
      <c r="S529" s="1127">
        <v>302</v>
      </c>
      <c r="T529" s="1153">
        <v>84700000</v>
      </c>
    </row>
    <row r="530" spans="1:20" s="992" customFormat="1" ht="89.25" x14ac:dyDescent="0.25">
      <c r="A530" s="1020">
        <v>2022524</v>
      </c>
      <c r="B530" s="1020">
        <v>7658</v>
      </c>
      <c r="C530" s="1095" t="s">
        <v>673</v>
      </c>
      <c r="D530" s="1036" t="s">
        <v>699</v>
      </c>
      <c r="E530" s="1037">
        <v>80111600</v>
      </c>
      <c r="F530" s="1023" t="s">
        <v>1122</v>
      </c>
      <c r="G530" s="1038" t="s">
        <v>1743</v>
      </c>
      <c r="H530" s="1025" t="s">
        <v>1743</v>
      </c>
      <c r="I530" s="1039" t="s">
        <v>1808</v>
      </c>
      <c r="J530" s="1040" t="s">
        <v>1783</v>
      </c>
      <c r="K530" s="1024" t="s">
        <v>678</v>
      </c>
      <c r="L530" s="1026" t="s">
        <v>679</v>
      </c>
      <c r="M530" s="1027">
        <v>36685000</v>
      </c>
      <c r="N530" s="1080" t="s">
        <v>725</v>
      </c>
      <c r="O530" s="1080" t="s">
        <v>1815</v>
      </c>
      <c r="P530" s="1080"/>
      <c r="Q530" s="1024"/>
      <c r="R530" s="1019"/>
      <c r="S530" s="1127">
        <v>480</v>
      </c>
      <c r="T530" s="1153">
        <v>35090000</v>
      </c>
    </row>
    <row r="531" spans="1:20" s="992" customFormat="1" ht="89.25" x14ac:dyDescent="0.25">
      <c r="A531" s="1020">
        <v>2022525</v>
      </c>
      <c r="B531" s="1020">
        <v>7658</v>
      </c>
      <c r="C531" s="1095" t="s">
        <v>673</v>
      </c>
      <c r="D531" s="1036" t="s">
        <v>699</v>
      </c>
      <c r="E531" s="1037">
        <v>80111600</v>
      </c>
      <c r="F531" s="1023" t="s">
        <v>1123</v>
      </c>
      <c r="G531" s="1038" t="s">
        <v>1743</v>
      </c>
      <c r="H531" s="1025" t="s">
        <v>1743</v>
      </c>
      <c r="I531" s="1039" t="s">
        <v>1808</v>
      </c>
      <c r="J531" s="1040" t="s">
        <v>1783</v>
      </c>
      <c r="K531" s="1024" t="s">
        <v>678</v>
      </c>
      <c r="L531" s="1026" t="s">
        <v>679</v>
      </c>
      <c r="M531" s="1027">
        <v>54050000</v>
      </c>
      <c r="N531" s="1080" t="s">
        <v>725</v>
      </c>
      <c r="O531" s="1080" t="s">
        <v>1815</v>
      </c>
      <c r="P531" s="1080"/>
      <c r="Q531" s="1024"/>
      <c r="R531" s="1019"/>
      <c r="S531" s="1127">
        <v>293</v>
      </c>
      <c r="T531" s="1153">
        <v>51700000</v>
      </c>
    </row>
    <row r="532" spans="1:20" s="992" customFormat="1" ht="89.25" x14ac:dyDescent="0.25">
      <c r="A532" s="1020">
        <v>2022526</v>
      </c>
      <c r="B532" s="1020">
        <v>7658</v>
      </c>
      <c r="C532" s="1095" t="s">
        <v>673</v>
      </c>
      <c r="D532" s="1036" t="s">
        <v>699</v>
      </c>
      <c r="E532" s="1037">
        <v>80111600</v>
      </c>
      <c r="F532" s="1023" t="s">
        <v>1124</v>
      </c>
      <c r="G532" s="1038" t="s">
        <v>1743</v>
      </c>
      <c r="H532" s="1025" t="s">
        <v>1743</v>
      </c>
      <c r="I532" s="1039" t="s">
        <v>1808</v>
      </c>
      <c r="J532" s="1040" t="s">
        <v>1783</v>
      </c>
      <c r="K532" s="1024" t="s">
        <v>678</v>
      </c>
      <c r="L532" s="1026" t="s">
        <v>679</v>
      </c>
      <c r="M532" s="1027">
        <v>28175000</v>
      </c>
      <c r="N532" s="1080" t="s">
        <v>725</v>
      </c>
      <c r="O532" s="1080" t="s">
        <v>1815</v>
      </c>
      <c r="P532" s="1080"/>
      <c r="Q532" s="1024"/>
      <c r="R532" s="1019"/>
      <c r="S532" s="1127">
        <v>128</v>
      </c>
      <c r="T532" s="1153">
        <v>26950000</v>
      </c>
    </row>
    <row r="533" spans="1:20" s="992" customFormat="1" ht="89.25" x14ac:dyDescent="0.25">
      <c r="A533" s="1020">
        <v>2022527</v>
      </c>
      <c r="B533" s="1020">
        <v>7658</v>
      </c>
      <c r="C533" s="1095" t="s">
        <v>673</v>
      </c>
      <c r="D533" s="1036" t="s">
        <v>699</v>
      </c>
      <c r="E533" s="1037">
        <v>80111600</v>
      </c>
      <c r="F533" s="1023" t="s">
        <v>1125</v>
      </c>
      <c r="G533" s="1038" t="s">
        <v>1743</v>
      </c>
      <c r="H533" s="1025" t="s">
        <v>1743</v>
      </c>
      <c r="I533" s="1039" t="s">
        <v>1808</v>
      </c>
      <c r="J533" s="1040" t="s">
        <v>1783</v>
      </c>
      <c r="K533" s="1024" t="s">
        <v>678</v>
      </c>
      <c r="L533" s="1026" t="s">
        <v>679</v>
      </c>
      <c r="M533" s="1027">
        <v>36685000</v>
      </c>
      <c r="N533" s="1080" t="s">
        <v>725</v>
      </c>
      <c r="O533" s="1080" t="s">
        <v>1815</v>
      </c>
      <c r="P533" s="1080"/>
      <c r="Q533" s="1024"/>
      <c r="R533" s="1019"/>
      <c r="S533" s="1127">
        <v>445</v>
      </c>
      <c r="T533" s="1153">
        <v>30250000</v>
      </c>
    </row>
    <row r="534" spans="1:20" s="992" customFormat="1" ht="89.25" x14ac:dyDescent="0.25">
      <c r="A534" s="1020">
        <v>2022528</v>
      </c>
      <c r="B534" s="1020">
        <v>7658</v>
      </c>
      <c r="C534" s="1095" t="s">
        <v>673</v>
      </c>
      <c r="D534" s="1036" t="s">
        <v>699</v>
      </c>
      <c r="E534" s="1037">
        <v>80111600</v>
      </c>
      <c r="F534" s="1023" t="s">
        <v>1126</v>
      </c>
      <c r="G534" s="1038" t="s">
        <v>1743</v>
      </c>
      <c r="H534" s="1025" t="s">
        <v>1743</v>
      </c>
      <c r="I534" s="1039" t="s">
        <v>1808</v>
      </c>
      <c r="J534" s="1040" t="s">
        <v>1783</v>
      </c>
      <c r="K534" s="1024" t="s">
        <v>678</v>
      </c>
      <c r="L534" s="1026" t="s">
        <v>679</v>
      </c>
      <c r="M534" s="1027">
        <v>51750000</v>
      </c>
      <c r="N534" s="1080" t="s">
        <v>725</v>
      </c>
      <c r="O534" s="1080" t="s">
        <v>1815</v>
      </c>
      <c r="P534" s="1080"/>
      <c r="Q534" s="1024"/>
      <c r="R534" s="1019"/>
      <c r="S534" s="1127">
        <v>405</v>
      </c>
      <c r="T534" s="1153">
        <v>49500000</v>
      </c>
    </row>
    <row r="535" spans="1:20" s="992" customFormat="1" ht="89.25" x14ac:dyDescent="0.25">
      <c r="A535" s="1020">
        <v>2022529</v>
      </c>
      <c r="B535" s="1020">
        <v>7658</v>
      </c>
      <c r="C535" s="1095" t="s">
        <v>673</v>
      </c>
      <c r="D535" s="1036" t="s">
        <v>699</v>
      </c>
      <c r="E535" s="1037">
        <v>80111600</v>
      </c>
      <c r="F535" s="1023" t="s">
        <v>1127</v>
      </c>
      <c r="G535" s="1038" t="s">
        <v>1743</v>
      </c>
      <c r="H535" s="1025" t="s">
        <v>1743</v>
      </c>
      <c r="I535" s="1039" t="s">
        <v>1808</v>
      </c>
      <c r="J535" s="1040" t="s">
        <v>1783</v>
      </c>
      <c r="K535" s="1024" t="s">
        <v>678</v>
      </c>
      <c r="L535" s="1024" t="s">
        <v>679</v>
      </c>
      <c r="M535" s="1027">
        <f>48300000+20700000</f>
        <v>69000000</v>
      </c>
      <c r="N535" s="1080" t="s">
        <v>725</v>
      </c>
      <c r="O535" s="1080" t="s">
        <v>1815</v>
      </c>
      <c r="P535" s="1080"/>
      <c r="Q535" s="1024"/>
      <c r="R535" s="1019"/>
      <c r="S535" s="1127">
        <v>478</v>
      </c>
      <c r="T535" s="1153">
        <v>27000000</v>
      </c>
    </row>
    <row r="536" spans="1:20" s="992" customFormat="1" ht="89.25" x14ac:dyDescent="0.25">
      <c r="A536" s="1020">
        <v>2022530</v>
      </c>
      <c r="B536" s="1020">
        <v>7658</v>
      </c>
      <c r="C536" s="1095" t="s">
        <v>673</v>
      </c>
      <c r="D536" s="1036" t="s">
        <v>699</v>
      </c>
      <c r="E536" s="1037">
        <v>80111600</v>
      </c>
      <c r="F536" s="1023" t="s">
        <v>1107</v>
      </c>
      <c r="G536" s="1038" t="s">
        <v>1743</v>
      </c>
      <c r="H536" s="1025" t="s">
        <v>1743</v>
      </c>
      <c r="I536" s="1039" t="s">
        <v>1808</v>
      </c>
      <c r="J536" s="1040" t="s">
        <v>1783</v>
      </c>
      <c r="K536" s="1024" t="s">
        <v>678</v>
      </c>
      <c r="L536" s="1026" t="s">
        <v>679</v>
      </c>
      <c r="M536" s="1027">
        <v>82915000</v>
      </c>
      <c r="N536" s="1080" t="s">
        <v>725</v>
      </c>
      <c r="O536" s="1080" t="s">
        <v>1815</v>
      </c>
      <c r="P536" s="1080"/>
      <c r="Q536" s="1024"/>
      <c r="R536" s="1019"/>
      <c r="S536" s="1127">
        <v>129</v>
      </c>
      <c r="T536" s="1153">
        <v>79310000</v>
      </c>
    </row>
    <row r="537" spans="1:20" s="992" customFormat="1" ht="89.25" x14ac:dyDescent="0.25">
      <c r="A537" s="1020">
        <v>2022531</v>
      </c>
      <c r="B537" s="1020">
        <v>7658</v>
      </c>
      <c r="C537" s="1095" t="s">
        <v>673</v>
      </c>
      <c r="D537" s="1036" t="s">
        <v>699</v>
      </c>
      <c r="E537" s="1037">
        <v>80111600</v>
      </c>
      <c r="F537" s="1023" t="s">
        <v>1128</v>
      </c>
      <c r="G537" s="1038" t="s">
        <v>1743</v>
      </c>
      <c r="H537" s="1025" t="s">
        <v>1743</v>
      </c>
      <c r="I537" s="1039" t="s">
        <v>1808</v>
      </c>
      <c r="J537" s="1040" t="s">
        <v>1783</v>
      </c>
      <c r="K537" s="1024" t="s">
        <v>678</v>
      </c>
      <c r="L537" s="1026" t="s">
        <v>679</v>
      </c>
      <c r="M537" s="1027">
        <v>45655000</v>
      </c>
      <c r="N537" s="1080" t="s">
        <v>1906</v>
      </c>
      <c r="O537" s="1080" t="s">
        <v>1815</v>
      </c>
      <c r="P537" s="1080"/>
      <c r="Q537" s="1024"/>
      <c r="R537" s="1019"/>
      <c r="S537" s="1127">
        <v>414</v>
      </c>
      <c r="T537" s="1153">
        <v>43670000</v>
      </c>
    </row>
    <row r="538" spans="1:20" s="992" customFormat="1" ht="89.25" x14ac:dyDescent="0.25">
      <c r="A538" s="1020">
        <v>2022532</v>
      </c>
      <c r="B538" s="1020">
        <v>7658</v>
      </c>
      <c r="C538" s="1095" t="s">
        <v>673</v>
      </c>
      <c r="D538" s="1036" t="s">
        <v>699</v>
      </c>
      <c r="E538" s="1037">
        <v>80111600</v>
      </c>
      <c r="F538" s="1023" t="s">
        <v>1129</v>
      </c>
      <c r="G538" s="1038" t="s">
        <v>1743</v>
      </c>
      <c r="H538" s="1025" t="s">
        <v>1743</v>
      </c>
      <c r="I538" s="1039" t="s">
        <v>1808</v>
      </c>
      <c r="J538" s="1040" t="s">
        <v>1783</v>
      </c>
      <c r="K538" s="1024" t="s">
        <v>678</v>
      </c>
      <c r="L538" s="1026" t="s">
        <v>679</v>
      </c>
      <c r="M538" s="1027">
        <v>47380000</v>
      </c>
      <c r="N538" s="1080" t="s">
        <v>1906</v>
      </c>
      <c r="O538" s="1080" t="s">
        <v>1815</v>
      </c>
      <c r="P538" s="1080"/>
      <c r="Q538" s="1024"/>
      <c r="R538" s="1019"/>
      <c r="S538" s="1127">
        <v>413</v>
      </c>
      <c r="T538" s="1153">
        <v>45320000</v>
      </c>
    </row>
    <row r="539" spans="1:20" s="992" customFormat="1" ht="114.75" x14ac:dyDescent="0.25">
      <c r="A539" s="1020">
        <v>2022533</v>
      </c>
      <c r="B539" s="1020">
        <v>7658</v>
      </c>
      <c r="C539" s="1095" t="s">
        <v>673</v>
      </c>
      <c r="D539" s="1036" t="s">
        <v>699</v>
      </c>
      <c r="E539" s="1037">
        <v>80111600</v>
      </c>
      <c r="F539" s="1023" t="s">
        <v>1130</v>
      </c>
      <c r="G539" s="1038" t="s">
        <v>1743</v>
      </c>
      <c r="H539" s="1025" t="s">
        <v>1743</v>
      </c>
      <c r="I539" s="1039" t="s">
        <v>1808</v>
      </c>
      <c r="J539" s="1040" t="s">
        <v>1783</v>
      </c>
      <c r="K539" s="1024" t="s">
        <v>678</v>
      </c>
      <c r="L539" s="1026" t="s">
        <v>679</v>
      </c>
      <c r="M539" s="1027">
        <v>54050000</v>
      </c>
      <c r="N539" s="1080" t="s">
        <v>1906</v>
      </c>
      <c r="O539" s="1080" t="s">
        <v>1815</v>
      </c>
      <c r="P539" s="1080"/>
      <c r="Q539" s="1024"/>
      <c r="R539" s="1019"/>
      <c r="S539" s="1127">
        <v>366</v>
      </c>
      <c r="T539" s="1153">
        <v>51700000</v>
      </c>
    </row>
    <row r="540" spans="1:20" s="992" customFormat="1" ht="89.25" x14ac:dyDescent="0.25">
      <c r="A540" s="1020">
        <v>2022534</v>
      </c>
      <c r="B540" s="1020">
        <v>7658</v>
      </c>
      <c r="C540" s="1095" t="s">
        <v>673</v>
      </c>
      <c r="D540" s="1036" t="s">
        <v>699</v>
      </c>
      <c r="E540" s="1037">
        <v>80111600</v>
      </c>
      <c r="F540" s="1023" t="s">
        <v>1131</v>
      </c>
      <c r="G540" s="1038" t="s">
        <v>1743</v>
      </c>
      <c r="H540" s="1025" t="s">
        <v>1743</v>
      </c>
      <c r="I540" s="1039" t="s">
        <v>1808</v>
      </c>
      <c r="J540" s="1040" t="s">
        <v>1783</v>
      </c>
      <c r="K540" s="1024" t="s">
        <v>678</v>
      </c>
      <c r="L540" s="1026" t="s">
        <v>783</v>
      </c>
      <c r="M540" s="1027">
        <v>88550000</v>
      </c>
      <c r="N540" s="1080" t="s">
        <v>725</v>
      </c>
      <c r="O540" s="1080" t="s">
        <v>1815</v>
      </c>
      <c r="P540" s="1080"/>
      <c r="Q540" s="1024"/>
      <c r="R540" s="1019"/>
      <c r="S540" s="1127">
        <v>285</v>
      </c>
      <c r="T540" s="1153">
        <v>52140000</v>
      </c>
    </row>
    <row r="541" spans="1:20" s="992" customFormat="1" ht="89.25" x14ac:dyDescent="0.25">
      <c r="A541" s="1020">
        <v>2022535</v>
      </c>
      <c r="B541" s="1020">
        <v>7658</v>
      </c>
      <c r="C541" s="1095" t="s">
        <v>673</v>
      </c>
      <c r="D541" s="1036" t="s">
        <v>699</v>
      </c>
      <c r="E541" s="1037">
        <v>80111600</v>
      </c>
      <c r="F541" s="1023" t="s">
        <v>1132</v>
      </c>
      <c r="G541" s="1038" t="s">
        <v>1743</v>
      </c>
      <c r="H541" s="1025" t="s">
        <v>1743</v>
      </c>
      <c r="I541" s="1039" t="s">
        <v>1808</v>
      </c>
      <c r="J541" s="1040" t="s">
        <v>1783</v>
      </c>
      <c r="K541" s="1024" t="s">
        <v>678</v>
      </c>
      <c r="L541" s="1026" t="s">
        <v>679</v>
      </c>
      <c r="M541" s="1027">
        <v>38525000</v>
      </c>
      <c r="N541" s="1080" t="s">
        <v>725</v>
      </c>
      <c r="O541" s="1080" t="s">
        <v>1815</v>
      </c>
      <c r="P541" s="1080"/>
      <c r="Q541" s="1024"/>
      <c r="R541" s="1019"/>
      <c r="S541" s="1127">
        <v>295</v>
      </c>
      <c r="T541" s="1153">
        <v>36850000</v>
      </c>
    </row>
    <row r="542" spans="1:20" s="992" customFormat="1" ht="89.25" x14ac:dyDescent="0.25">
      <c r="A542" s="1020">
        <v>2022536</v>
      </c>
      <c r="B542" s="1020">
        <v>7658</v>
      </c>
      <c r="C542" s="1095" t="s">
        <v>673</v>
      </c>
      <c r="D542" s="1036" t="s">
        <v>699</v>
      </c>
      <c r="E542" s="1037">
        <v>80111600</v>
      </c>
      <c r="F542" s="1023" t="s">
        <v>1133</v>
      </c>
      <c r="G542" s="1038" t="s">
        <v>1743</v>
      </c>
      <c r="H542" s="1025" t="s">
        <v>1743</v>
      </c>
      <c r="I542" s="1039" t="s">
        <v>1808</v>
      </c>
      <c r="J542" s="1040" t="s">
        <v>1783</v>
      </c>
      <c r="K542" s="1024" t="s">
        <v>678</v>
      </c>
      <c r="L542" s="1026" t="s">
        <v>679</v>
      </c>
      <c r="M542" s="1027">
        <v>38525000</v>
      </c>
      <c r="N542" s="1080" t="s">
        <v>725</v>
      </c>
      <c r="O542" s="1080" t="s">
        <v>1815</v>
      </c>
      <c r="P542" s="1080"/>
      <c r="Q542" s="1024"/>
      <c r="R542" s="1019"/>
      <c r="S542" s="1127">
        <v>423</v>
      </c>
      <c r="T542" s="1153">
        <v>37400000</v>
      </c>
    </row>
    <row r="543" spans="1:20" s="992" customFormat="1" ht="89.25" x14ac:dyDescent="0.25">
      <c r="A543" s="1020">
        <v>2022537</v>
      </c>
      <c r="B543" s="1020">
        <v>7658</v>
      </c>
      <c r="C543" s="1095" t="s">
        <v>673</v>
      </c>
      <c r="D543" s="1036" t="s">
        <v>699</v>
      </c>
      <c r="E543" s="1037">
        <v>80111600</v>
      </c>
      <c r="F543" s="1023" t="s">
        <v>1134</v>
      </c>
      <c r="G543" s="1038" t="s">
        <v>1743</v>
      </c>
      <c r="H543" s="1025" t="s">
        <v>1743</v>
      </c>
      <c r="I543" s="1039" t="s">
        <v>1808</v>
      </c>
      <c r="J543" s="1040" t="s">
        <v>1783</v>
      </c>
      <c r="K543" s="1024" t="s">
        <v>678</v>
      </c>
      <c r="L543" s="1024" t="s">
        <v>679</v>
      </c>
      <c r="M543" s="1027">
        <f>48300000+13225000+7475000</f>
        <v>69000000</v>
      </c>
      <c r="N543" s="1080" t="s">
        <v>1906</v>
      </c>
      <c r="O543" s="1080" t="s">
        <v>1815</v>
      </c>
      <c r="P543" s="1080"/>
      <c r="Q543" s="1024"/>
      <c r="R543" s="1019"/>
      <c r="S543" s="1127">
        <v>477</v>
      </c>
      <c r="T543" s="1153">
        <v>66000000</v>
      </c>
    </row>
    <row r="544" spans="1:20" s="992" customFormat="1" ht="89.25" x14ac:dyDescent="0.25">
      <c r="A544" s="1020">
        <v>2022538</v>
      </c>
      <c r="B544" s="1020">
        <v>7658</v>
      </c>
      <c r="C544" s="1020" t="s">
        <v>673</v>
      </c>
      <c r="D544" s="1036" t="s">
        <v>699</v>
      </c>
      <c r="E544" s="1037">
        <v>80111600</v>
      </c>
      <c r="F544" s="1023" t="s">
        <v>1135</v>
      </c>
      <c r="G544" s="1038" t="s">
        <v>1743</v>
      </c>
      <c r="H544" s="1025" t="s">
        <v>1743</v>
      </c>
      <c r="I544" s="1039" t="s">
        <v>1808</v>
      </c>
      <c r="J544" s="1040" t="s">
        <v>1783</v>
      </c>
      <c r="K544" s="1024" t="s">
        <v>678</v>
      </c>
      <c r="L544" s="1026" t="s">
        <v>679</v>
      </c>
      <c r="M544" s="1027">
        <v>65550000</v>
      </c>
      <c r="N544" s="1080" t="s">
        <v>725</v>
      </c>
      <c r="O544" s="1080" t="s">
        <v>1815</v>
      </c>
      <c r="P544" s="1080"/>
      <c r="Q544" s="1024"/>
      <c r="R544" s="1019"/>
      <c r="S544" s="1127">
        <v>468</v>
      </c>
      <c r="T544" s="1153">
        <v>42350000</v>
      </c>
    </row>
    <row r="545" spans="1:20" s="992" customFormat="1" ht="89.25" x14ac:dyDescent="0.25">
      <c r="A545" s="1020">
        <v>2022539</v>
      </c>
      <c r="B545" s="1020">
        <v>7658</v>
      </c>
      <c r="C545" s="1020" t="s">
        <v>673</v>
      </c>
      <c r="D545" s="1036" t="s">
        <v>699</v>
      </c>
      <c r="E545" s="1037">
        <v>80111600</v>
      </c>
      <c r="F545" s="1023" t="s">
        <v>1136</v>
      </c>
      <c r="G545" s="1038" t="s">
        <v>1743</v>
      </c>
      <c r="H545" s="1025" t="s">
        <v>1743</v>
      </c>
      <c r="I545" s="1039" t="s">
        <v>1808</v>
      </c>
      <c r="J545" s="1040" t="s">
        <v>1783</v>
      </c>
      <c r="K545" s="1024" t="s">
        <v>678</v>
      </c>
      <c r="L545" s="1026" t="s">
        <v>679</v>
      </c>
      <c r="M545" s="1027">
        <v>69000000</v>
      </c>
      <c r="N545" s="1080" t="s">
        <v>725</v>
      </c>
      <c r="O545" s="1080" t="s">
        <v>1815</v>
      </c>
      <c r="P545" s="1080"/>
      <c r="Q545" s="1024"/>
      <c r="R545" s="1019"/>
      <c r="S545" s="1127">
        <v>336</v>
      </c>
      <c r="T545" s="1153">
        <v>66000000</v>
      </c>
    </row>
    <row r="546" spans="1:20" s="992" customFormat="1" ht="89.25" x14ac:dyDescent="0.25">
      <c r="A546" s="1020">
        <v>2022540</v>
      </c>
      <c r="B546" s="1020">
        <v>7658</v>
      </c>
      <c r="C546" s="1020" t="s">
        <v>673</v>
      </c>
      <c r="D546" s="1036" t="s">
        <v>699</v>
      </c>
      <c r="E546" s="1037">
        <v>80111600</v>
      </c>
      <c r="F546" s="1023" t="s">
        <v>1137</v>
      </c>
      <c r="G546" s="1038" t="s">
        <v>1743</v>
      </c>
      <c r="H546" s="1025" t="s">
        <v>1743</v>
      </c>
      <c r="I546" s="1039" t="s">
        <v>1808</v>
      </c>
      <c r="J546" s="1040" t="s">
        <v>1783</v>
      </c>
      <c r="K546" s="1024" t="s">
        <v>678</v>
      </c>
      <c r="L546" s="1026" t="s">
        <v>679</v>
      </c>
      <c r="M546" s="1027">
        <v>39100000</v>
      </c>
      <c r="N546" s="1080" t="s">
        <v>725</v>
      </c>
      <c r="O546" s="1080" t="s">
        <v>1815</v>
      </c>
      <c r="P546" s="1080"/>
      <c r="Q546" s="1024"/>
      <c r="R546" s="1019"/>
      <c r="S546" s="1127">
        <v>422</v>
      </c>
      <c r="T546" s="1153">
        <v>35200000</v>
      </c>
    </row>
    <row r="547" spans="1:20" s="992" customFormat="1" ht="89.25" x14ac:dyDescent="0.25">
      <c r="A547" s="1020">
        <v>2022541</v>
      </c>
      <c r="B547" s="1020">
        <v>7658</v>
      </c>
      <c r="C547" s="1020" t="s">
        <v>673</v>
      </c>
      <c r="D547" s="1036" t="s">
        <v>699</v>
      </c>
      <c r="E547" s="1037">
        <v>80111600</v>
      </c>
      <c r="F547" s="1023" t="s">
        <v>1138</v>
      </c>
      <c r="G547" s="1038" t="s">
        <v>1743</v>
      </c>
      <c r="H547" s="1025" t="s">
        <v>1743</v>
      </c>
      <c r="I547" s="1039" t="s">
        <v>1808</v>
      </c>
      <c r="J547" s="1040" t="s">
        <v>1783</v>
      </c>
      <c r="K547" s="1024" t="s">
        <v>678</v>
      </c>
      <c r="L547" s="1026" t="s">
        <v>679</v>
      </c>
      <c r="M547" s="1027">
        <v>36685000</v>
      </c>
      <c r="N547" s="1080" t="s">
        <v>725</v>
      </c>
      <c r="O547" s="1080" t="s">
        <v>1815</v>
      </c>
      <c r="P547" s="1080"/>
      <c r="Q547" s="1024"/>
      <c r="R547" s="1019"/>
      <c r="S547" s="1127">
        <v>398</v>
      </c>
      <c r="T547" s="1153">
        <v>35090000</v>
      </c>
    </row>
    <row r="548" spans="1:20" ht="51" x14ac:dyDescent="0.2">
      <c r="A548" s="1010">
        <v>2022542</v>
      </c>
      <c r="B548" s="1072" t="s">
        <v>459</v>
      </c>
      <c r="C548" s="1072"/>
      <c r="D548" s="1042" t="s">
        <v>690</v>
      </c>
      <c r="E548" s="1096" t="s">
        <v>1139</v>
      </c>
      <c r="F548" s="1071" t="s">
        <v>1140</v>
      </c>
      <c r="G548" s="1093" t="s">
        <v>1872</v>
      </c>
      <c r="H548" s="1093" t="s">
        <v>1872</v>
      </c>
      <c r="I548" s="1093" t="s">
        <v>1923</v>
      </c>
      <c r="J548" s="1093" t="s">
        <v>1760</v>
      </c>
      <c r="K548" s="1014" t="s">
        <v>43</v>
      </c>
      <c r="L548" s="1097"/>
      <c r="M548" s="1098">
        <v>4200000</v>
      </c>
      <c r="N548" s="1034"/>
      <c r="O548" s="1034"/>
      <c r="P548" s="1034"/>
      <c r="Q548" s="1099"/>
      <c r="R548" s="1019"/>
      <c r="S548" s="1127"/>
      <c r="T548" s="1153"/>
    </row>
    <row r="549" spans="1:20" ht="38.25" x14ac:dyDescent="0.2">
      <c r="A549" s="1010">
        <v>2022543</v>
      </c>
      <c r="B549" s="1072" t="s">
        <v>459</v>
      </c>
      <c r="C549" s="1072"/>
      <c r="D549" s="1042" t="s">
        <v>690</v>
      </c>
      <c r="E549" s="1096" t="s">
        <v>1139</v>
      </c>
      <c r="F549" s="1071" t="s">
        <v>1141</v>
      </c>
      <c r="G549" s="1093" t="s">
        <v>1873</v>
      </c>
      <c r="H549" s="1093" t="s">
        <v>1873</v>
      </c>
      <c r="I549" s="1093" t="s">
        <v>1924</v>
      </c>
      <c r="J549" s="1093" t="s">
        <v>1760</v>
      </c>
      <c r="K549" s="1014" t="s">
        <v>43</v>
      </c>
      <c r="L549" s="1097"/>
      <c r="M549" s="1098">
        <v>6799000</v>
      </c>
      <c r="N549" s="1034"/>
      <c r="O549" s="1034"/>
      <c r="P549" s="1034"/>
      <c r="Q549" s="1099"/>
      <c r="R549" s="1019"/>
      <c r="S549" s="1127"/>
      <c r="T549" s="1153"/>
    </row>
    <row r="550" spans="1:20" ht="51" x14ac:dyDescent="0.2">
      <c r="A550" s="1010">
        <v>2022544</v>
      </c>
      <c r="B550" s="1072" t="s">
        <v>459</v>
      </c>
      <c r="C550" s="1072"/>
      <c r="D550" s="1042" t="s">
        <v>690</v>
      </c>
      <c r="E550" s="1096" t="s">
        <v>1139</v>
      </c>
      <c r="F550" s="1071" t="s">
        <v>1142</v>
      </c>
      <c r="G550" s="1093" t="s">
        <v>1872</v>
      </c>
      <c r="H550" s="1093" t="s">
        <v>1872</v>
      </c>
      <c r="I550" s="1093" t="s">
        <v>1850</v>
      </c>
      <c r="J550" s="1093" t="s">
        <v>1817</v>
      </c>
      <c r="K550" s="1014" t="s">
        <v>43</v>
      </c>
      <c r="L550" s="1097"/>
      <c r="M550" s="1098">
        <v>10000000</v>
      </c>
      <c r="N550" s="1034"/>
      <c r="O550" s="1034"/>
      <c r="P550" s="1034"/>
      <c r="Q550" s="1099"/>
      <c r="R550" s="1019"/>
      <c r="S550" s="1127"/>
      <c r="T550" s="1153"/>
    </row>
    <row r="551" spans="1:20" ht="38.25" x14ac:dyDescent="0.2">
      <c r="A551" s="1010">
        <v>2022545</v>
      </c>
      <c r="B551" s="1072" t="s">
        <v>459</v>
      </c>
      <c r="C551" s="1072"/>
      <c r="D551" s="1042" t="s">
        <v>690</v>
      </c>
      <c r="E551" s="1096" t="s">
        <v>1139</v>
      </c>
      <c r="F551" s="1071" t="s">
        <v>1143</v>
      </c>
      <c r="G551" s="1093" t="s">
        <v>1872</v>
      </c>
      <c r="H551" s="1093" t="s">
        <v>1872</v>
      </c>
      <c r="I551" s="1093" t="s">
        <v>1812</v>
      </c>
      <c r="J551" s="1093" t="s">
        <v>1817</v>
      </c>
      <c r="K551" s="1014" t="s">
        <v>43</v>
      </c>
      <c r="L551" s="1097"/>
      <c r="M551" s="1098">
        <v>87000000</v>
      </c>
      <c r="N551" s="1034"/>
      <c r="O551" s="1034"/>
      <c r="P551" s="1034"/>
      <c r="Q551" s="1099"/>
      <c r="R551" s="1019"/>
      <c r="S551" s="1127"/>
      <c r="T551" s="1153"/>
    </row>
    <row r="552" spans="1:20" ht="51" x14ac:dyDescent="0.2">
      <c r="A552" s="1010">
        <v>2022546</v>
      </c>
      <c r="B552" s="1072" t="s">
        <v>459</v>
      </c>
      <c r="C552" s="1072"/>
      <c r="D552" s="1042" t="s">
        <v>690</v>
      </c>
      <c r="E552" s="1096" t="s">
        <v>1139</v>
      </c>
      <c r="F552" s="1071" t="s">
        <v>1140</v>
      </c>
      <c r="G552" s="1093" t="s">
        <v>1872</v>
      </c>
      <c r="H552" s="1093" t="s">
        <v>1872</v>
      </c>
      <c r="I552" s="1093" t="s">
        <v>1923</v>
      </c>
      <c r="J552" s="1093" t="s">
        <v>1760</v>
      </c>
      <c r="K552" s="1014" t="s">
        <v>43</v>
      </c>
      <c r="L552" s="1097"/>
      <c r="M552" s="1098">
        <v>5600000</v>
      </c>
      <c r="N552" s="1034"/>
      <c r="O552" s="1034"/>
      <c r="P552" s="1034"/>
      <c r="Q552" s="1099"/>
      <c r="R552" s="1019"/>
      <c r="S552" s="1127"/>
      <c r="T552" s="1153"/>
    </row>
    <row r="553" spans="1:20" ht="38.25" x14ac:dyDescent="0.2">
      <c r="A553" s="1010">
        <v>2022547</v>
      </c>
      <c r="B553" s="1072" t="s">
        <v>459</v>
      </c>
      <c r="C553" s="1072"/>
      <c r="D553" s="1042" t="s">
        <v>690</v>
      </c>
      <c r="E553" s="1096" t="s">
        <v>1139</v>
      </c>
      <c r="F553" s="1071" t="s">
        <v>1144</v>
      </c>
      <c r="G553" s="1093" t="s">
        <v>1873</v>
      </c>
      <c r="H553" s="1093" t="s">
        <v>1873</v>
      </c>
      <c r="I553" s="1093" t="s">
        <v>1924</v>
      </c>
      <c r="J553" s="1093" t="s">
        <v>1760</v>
      </c>
      <c r="K553" s="1014" t="s">
        <v>43</v>
      </c>
      <c r="L553" s="1097"/>
      <c r="M553" s="1098">
        <v>28400000</v>
      </c>
      <c r="N553" s="1034"/>
      <c r="O553" s="1034"/>
      <c r="P553" s="1034"/>
      <c r="Q553" s="1099"/>
      <c r="R553" s="1019"/>
      <c r="S553" s="1127"/>
      <c r="T553" s="1153"/>
    </row>
    <row r="554" spans="1:20" s="1103" customFormat="1" ht="38.25" x14ac:dyDescent="0.2">
      <c r="A554" s="1010">
        <v>2022548</v>
      </c>
      <c r="B554" s="1093" t="s">
        <v>459</v>
      </c>
      <c r="C554" s="1072"/>
      <c r="D554" s="1042" t="s">
        <v>690</v>
      </c>
      <c r="E554" s="1096" t="s">
        <v>1145</v>
      </c>
      <c r="F554" s="1071" t="s">
        <v>1146</v>
      </c>
      <c r="G554" s="1093" t="s">
        <v>1872</v>
      </c>
      <c r="H554" s="1093" t="s">
        <v>1872</v>
      </c>
      <c r="I554" s="1093" t="s">
        <v>1812</v>
      </c>
      <c r="J554" s="1093" t="s">
        <v>1817</v>
      </c>
      <c r="K554" s="1014" t="s">
        <v>43</v>
      </c>
      <c r="L554" s="1101"/>
      <c r="M554" s="1102">
        <v>100000000</v>
      </c>
      <c r="N554" s="1034"/>
      <c r="O554" s="1034"/>
      <c r="P554" s="1034"/>
      <c r="Q554" s="1099"/>
      <c r="R554" s="1019"/>
      <c r="S554" s="1127"/>
      <c r="T554" s="1153"/>
    </row>
    <row r="555" spans="1:20" s="1103" customFormat="1" ht="38.25" x14ac:dyDescent="0.2">
      <c r="A555" s="1010">
        <v>2022549</v>
      </c>
      <c r="B555" s="1093" t="s">
        <v>459</v>
      </c>
      <c r="C555" s="1072"/>
      <c r="D555" s="1042" t="s">
        <v>690</v>
      </c>
      <c r="E555" s="1096" t="s">
        <v>1145</v>
      </c>
      <c r="F555" s="1071" t="s">
        <v>1147</v>
      </c>
      <c r="G555" s="1093" t="s">
        <v>1873</v>
      </c>
      <c r="H555" s="1093" t="s">
        <v>1873</v>
      </c>
      <c r="I555" s="1093" t="s">
        <v>1924</v>
      </c>
      <c r="J555" s="1093" t="s">
        <v>1760</v>
      </c>
      <c r="K555" s="1014" t="s">
        <v>43</v>
      </c>
      <c r="L555" s="1101"/>
      <c r="M555" s="1102">
        <v>10000000</v>
      </c>
      <c r="N555" s="1034"/>
      <c r="O555" s="1034"/>
      <c r="P555" s="1034"/>
      <c r="Q555" s="1099"/>
      <c r="R555" s="1019"/>
      <c r="S555" s="1127"/>
      <c r="T555" s="1153"/>
    </row>
    <row r="556" spans="1:20" ht="38.25" x14ac:dyDescent="0.2">
      <c r="A556" s="1010">
        <v>2022550</v>
      </c>
      <c r="B556" s="1072" t="s">
        <v>459</v>
      </c>
      <c r="C556" s="1072"/>
      <c r="D556" s="1042" t="s">
        <v>690</v>
      </c>
      <c r="E556" s="1096" t="s">
        <v>1139</v>
      </c>
      <c r="F556" s="1071" t="s">
        <v>970</v>
      </c>
      <c r="G556" s="1093" t="s">
        <v>1872</v>
      </c>
      <c r="H556" s="1093" t="s">
        <v>1872</v>
      </c>
      <c r="I556" s="1093" t="s">
        <v>1812</v>
      </c>
      <c r="J556" s="1093" t="s">
        <v>1817</v>
      </c>
      <c r="K556" s="1014" t="s">
        <v>43</v>
      </c>
      <c r="L556" s="1097"/>
      <c r="M556" s="1098">
        <v>42542000</v>
      </c>
      <c r="N556" s="1034"/>
      <c r="O556" s="1034"/>
      <c r="P556" s="1034"/>
      <c r="Q556" s="1099"/>
      <c r="R556" s="1019"/>
      <c r="S556" s="1127"/>
      <c r="T556" s="1153"/>
    </row>
    <row r="557" spans="1:20" ht="51" x14ac:dyDescent="0.2">
      <c r="A557" s="1010">
        <v>2022551</v>
      </c>
      <c r="B557" s="1072" t="s">
        <v>459</v>
      </c>
      <c r="C557" s="1072"/>
      <c r="D557" s="1042" t="s">
        <v>690</v>
      </c>
      <c r="E557" s="1096" t="s">
        <v>1139</v>
      </c>
      <c r="F557" s="1071" t="s">
        <v>1142</v>
      </c>
      <c r="G557" s="1093" t="s">
        <v>1872</v>
      </c>
      <c r="H557" s="1093" t="s">
        <v>1872</v>
      </c>
      <c r="I557" s="1093" t="s">
        <v>1850</v>
      </c>
      <c r="J557" s="1093" t="s">
        <v>1817</v>
      </c>
      <c r="K557" s="1014" t="s">
        <v>43</v>
      </c>
      <c r="L557" s="1097"/>
      <c r="M557" s="1098">
        <v>2345000</v>
      </c>
      <c r="N557" s="1034"/>
      <c r="O557" s="1034"/>
      <c r="P557" s="1034"/>
      <c r="Q557" s="1099"/>
      <c r="R557" s="1019"/>
      <c r="S557" s="1127"/>
      <c r="T557" s="1153"/>
    </row>
    <row r="558" spans="1:20" ht="51" x14ac:dyDescent="0.2">
      <c r="A558" s="1010">
        <v>2022552</v>
      </c>
      <c r="B558" s="1072" t="s">
        <v>459</v>
      </c>
      <c r="C558" s="1072"/>
      <c r="D558" s="1042" t="s">
        <v>690</v>
      </c>
      <c r="E558" s="1096" t="s">
        <v>1139</v>
      </c>
      <c r="F558" s="1071" t="s">
        <v>1142</v>
      </c>
      <c r="G558" s="1093" t="s">
        <v>1872</v>
      </c>
      <c r="H558" s="1093" t="s">
        <v>1872</v>
      </c>
      <c r="I558" s="1093" t="s">
        <v>1850</v>
      </c>
      <c r="J558" s="1093" t="s">
        <v>1817</v>
      </c>
      <c r="K558" s="1014" t="s">
        <v>43</v>
      </c>
      <c r="L558" s="1097"/>
      <c r="M558" s="1098">
        <v>1450000</v>
      </c>
      <c r="N558" s="1034"/>
      <c r="O558" s="1034"/>
      <c r="P558" s="1034"/>
      <c r="Q558" s="1099"/>
      <c r="R558" s="1019"/>
      <c r="S558" s="1127"/>
      <c r="T558" s="1153"/>
    </row>
    <row r="559" spans="1:20" ht="38.25" x14ac:dyDescent="0.2">
      <c r="A559" s="1010">
        <v>2022553</v>
      </c>
      <c r="B559" s="1072" t="s">
        <v>459</v>
      </c>
      <c r="C559" s="1072"/>
      <c r="D559" s="1042" t="s">
        <v>690</v>
      </c>
      <c r="E559" s="1096" t="s">
        <v>1139</v>
      </c>
      <c r="F559" s="1071" t="s">
        <v>970</v>
      </c>
      <c r="G559" s="1093" t="s">
        <v>1872</v>
      </c>
      <c r="H559" s="1093" t="s">
        <v>1872</v>
      </c>
      <c r="I559" s="1093" t="s">
        <v>1812</v>
      </c>
      <c r="J559" s="1093" t="s">
        <v>1817</v>
      </c>
      <c r="K559" s="1014" t="s">
        <v>43</v>
      </c>
      <c r="L559" s="1097"/>
      <c r="M559" s="1098">
        <v>11550000</v>
      </c>
      <c r="N559" s="1034"/>
      <c r="O559" s="1034"/>
      <c r="P559" s="1034"/>
      <c r="Q559" s="1099"/>
      <c r="R559" s="1019"/>
      <c r="S559" s="1127"/>
      <c r="T559" s="1153"/>
    </row>
    <row r="560" spans="1:20" ht="51" x14ac:dyDescent="0.2">
      <c r="A560" s="1010">
        <v>2022554</v>
      </c>
      <c r="B560" s="1072" t="s">
        <v>459</v>
      </c>
      <c r="C560" s="1072"/>
      <c r="D560" s="1042" t="s">
        <v>690</v>
      </c>
      <c r="E560" s="1096" t="s">
        <v>1139</v>
      </c>
      <c r="F560" s="1071" t="s">
        <v>1140</v>
      </c>
      <c r="G560" s="1093" t="s">
        <v>1872</v>
      </c>
      <c r="H560" s="1093" t="s">
        <v>1872</v>
      </c>
      <c r="I560" s="1093" t="s">
        <v>1923</v>
      </c>
      <c r="J560" s="1093" t="s">
        <v>1760</v>
      </c>
      <c r="K560" s="1014" t="s">
        <v>43</v>
      </c>
      <c r="L560" s="1097"/>
      <c r="M560" s="1098">
        <v>2800000</v>
      </c>
      <c r="N560" s="1034"/>
      <c r="O560" s="1034"/>
      <c r="P560" s="1034"/>
      <c r="Q560" s="1099"/>
      <c r="R560" s="1019"/>
      <c r="S560" s="1127"/>
      <c r="T560" s="1153"/>
    </row>
    <row r="561" spans="1:20" ht="38.25" x14ac:dyDescent="0.2">
      <c r="A561" s="1010">
        <v>2022555</v>
      </c>
      <c r="B561" s="1072" t="s">
        <v>459</v>
      </c>
      <c r="C561" s="1072"/>
      <c r="D561" s="1042" t="s">
        <v>690</v>
      </c>
      <c r="E561" s="1096" t="s">
        <v>1139</v>
      </c>
      <c r="F561" s="1071" t="s">
        <v>1148</v>
      </c>
      <c r="G561" s="1093" t="s">
        <v>1873</v>
      </c>
      <c r="H561" s="1093" t="s">
        <v>1873</v>
      </c>
      <c r="I561" s="1093" t="s">
        <v>1924</v>
      </c>
      <c r="J561" s="1093" t="s">
        <v>1760</v>
      </c>
      <c r="K561" s="1014" t="s">
        <v>43</v>
      </c>
      <c r="L561" s="1097"/>
      <c r="M561" s="1098">
        <v>5204000</v>
      </c>
      <c r="N561" s="1034"/>
      <c r="O561" s="1034"/>
      <c r="P561" s="1034"/>
      <c r="Q561" s="1099"/>
      <c r="R561" s="1019"/>
      <c r="S561" s="1127"/>
      <c r="T561" s="1153"/>
    </row>
    <row r="562" spans="1:20" ht="51" x14ac:dyDescent="0.2">
      <c r="A562" s="1010">
        <v>2022556</v>
      </c>
      <c r="B562" s="1072" t="s">
        <v>459</v>
      </c>
      <c r="C562" s="1072"/>
      <c r="D562" s="1042" t="s">
        <v>690</v>
      </c>
      <c r="E562" s="1096" t="s">
        <v>1139</v>
      </c>
      <c r="F562" s="1071" t="s">
        <v>1142</v>
      </c>
      <c r="G562" s="1093" t="s">
        <v>1872</v>
      </c>
      <c r="H562" s="1093" t="s">
        <v>1872</v>
      </c>
      <c r="I562" s="1093" t="s">
        <v>1850</v>
      </c>
      <c r="J562" s="1093" t="s">
        <v>1817</v>
      </c>
      <c r="K562" s="1014" t="s">
        <v>43</v>
      </c>
      <c r="L562" s="1097"/>
      <c r="M562" s="1098">
        <v>1308000</v>
      </c>
      <c r="N562" s="1034"/>
      <c r="O562" s="1034"/>
      <c r="P562" s="1034"/>
      <c r="Q562" s="1099"/>
      <c r="R562" s="1019"/>
      <c r="S562" s="1127"/>
      <c r="T562" s="1153"/>
    </row>
    <row r="563" spans="1:20" ht="38.25" x14ac:dyDescent="0.2">
      <c r="A563" s="1010">
        <v>2022557</v>
      </c>
      <c r="B563" s="1072" t="s">
        <v>459</v>
      </c>
      <c r="C563" s="1072"/>
      <c r="D563" s="1042" t="s">
        <v>690</v>
      </c>
      <c r="E563" s="1096" t="s">
        <v>1139</v>
      </c>
      <c r="F563" s="1071" t="s">
        <v>970</v>
      </c>
      <c r="G563" s="1093" t="s">
        <v>1872</v>
      </c>
      <c r="H563" s="1093" t="s">
        <v>1872</v>
      </c>
      <c r="I563" s="1093" t="s">
        <v>1812</v>
      </c>
      <c r="J563" s="1093" t="s">
        <v>1817</v>
      </c>
      <c r="K563" s="1014" t="s">
        <v>43</v>
      </c>
      <c r="L563" s="1097"/>
      <c r="M563" s="1098">
        <v>14692000</v>
      </c>
      <c r="N563" s="1034"/>
      <c r="O563" s="1034"/>
      <c r="P563" s="1034"/>
      <c r="Q563" s="1099"/>
      <c r="R563" s="1019"/>
      <c r="S563" s="1127"/>
      <c r="T563" s="1153"/>
    </row>
    <row r="564" spans="1:20" ht="51" x14ac:dyDescent="0.2">
      <c r="A564" s="1010">
        <v>2022558</v>
      </c>
      <c r="B564" s="1072" t="s">
        <v>459</v>
      </c>
      <c r="C564" s="1072"/>
      <c r="D564" s="1042" t="s">
        <v>690</v>
      </c>
      <c r="E564" s="1096" t="s">
        <v>1139</v>
      </c>
      <c r="F564" s="1071" t="s">
        <v>1149</v>
      </c>
      <c r="G564" s="1093" t="s">
        <v>1872</v>
      </c>
      <c r="H564" s="1093" t="s">
        <v>1872</v>
      </c>
      <c r="I564" s="1093" t="s">
        <v>1923</v>
      </c>
      <c r="J564" s="1093" t="s">
        <v>1760</v>
      </c>
      <c r="K564" s="1014" t="s">
        <v>43</v>
      </c>
      <c r="L564" s="1097"/>
      <c r="M564" s="1098">
        <v>1400000</v>
      </c>
      <c r="N564" s="1034"/>
      <c r="O564" s="1034"/>
      <c r="P564" s="1034"/>
      <c r="Q564" s="1099"/>
      <c r="R564" s="1019"/>
      <c r="S564" s="1127"/>
      <c r="T564" s="1153"/>
    </row>
    <row r="565" spans="1:20" ht="38.25" x14ac:dyDescent="0.2">
      <c r="A565" s="1010">
        <v>2022559</v>
      </c>
      <c r="B565" s="1072" t="s">
        <v>459</v>
      </c>
      <c r="C565" s="1072"/>
      <c r="D565" s="1042" t="s">
        <v>690</v>
      </c>
      <c r="E565" s="1096" t="s">
        <v>1139</v>
      </c>
      <c r="F565" s="1071" t="s">
        <v>1148</v>
      </c>
      <c r="G565" s="1093" t="s">
        <v>1873</v>
      </c>
      <c r="H565" s="1093" t="s">
        <v>1873</v>
      </c>
      <c r="I565" s="1093" t="s">
        <v>1924</v>
      </c>
      <c r="J565" s="1093" t="s">
        <v>1760</v>
      </c>
      <c r="K565" s="1014" t="s">
        <v>43</v>
      </c>
      <c r="L565" s="1097"/>
      <c r="M565" s="1098">
        <v>9600000</v>
      </c>
      <c r="N565" s="1034"/>
      <c r="O565" s="1034"/>
      <c r="P565" s="1034"/>
      <c r="Q565" s="1099"/>
      <c r="R565" s="1019"/>
      <c r="S565" s="1127"/>
      <c r="T565" s="1153"/>
    </row>
    <row r="566" spans="1:20" ht="153" x14ac:dyDescent="0.2">
      <c r="A566" s="1010">
        <v>2022560</v>
      </c>
      <c r="B566" s="1072" t="s">
        <v>459</v>
      </c>
      <c r="C566" s="1072"/>
      <c r="D566" s="1042" t="s">
        <v>690</v>
      </c>
      <c r="E566" s="1104" t="s">
        <v>1150</v>
      </c>
      <c r="F566" s="1071" t="s">
        <v>1151</v>
      </c>
      <c r="G566" s="1093" t="s">
        <v>1892</v>
      </c>
      <c r="H566" s="1093" t="s">
        <v>1892</v>
      </c>
      <c r="I566" s="1093" t="s">
        <v>1925</v>
      </c>
      <c r="J566" s="1093" t="s">
        <v>1926</v>
      </c>
      <c r="K566" s="1014" t="s">
        <v>43</v>
      </c>
      <c r="L566" s="1097"/>
      <c r="M566" s="1098">
        <v>79500000</v>
      </c>
      <c r="N566" s="1034"/>
      <c r="O566" s="1034"/>
      <c r="P566" s="1034"/>
      <c r="Q566" s="1099"/>
      <c r="R566" s="1019"/>
      <c r="S566" s="1127"/>
      <c r="T566" s="1153"/>
    </row>
    <row r="567" spans="1:20" ht="165.75" x14ac:dyDescent="0.2">
      <c r="A567" s="1010">
        <v>2022561</v>
      </c>
      <c r="B567" s="1072" t="s">
        <v>459</v>
      </c>
      <c r="C567" s="1072"/>
      <c r="D567" s="1042" t="s">
        <v>690</v>
      </c>
      <c r="E567" s="1104" t="s">
        <v>1150</v>
      </c>
      <c r="F567" s="1071" t="s">
        <v>1152</v>
      </c>
      <c r="G567" s="1093" t="s">
        <v>1879</v>
      </c>
      <c r="H567" s="1093" t="s">
        <v>1879</v>
      </c>
      <c r="I567" s="1093" t="s">
        <v>1927</v>
      </c>
      <c r="J567" s="1093" t="s">
        <v>1926</v>
      </c>
      <c r="K567" s="1014" t="s">
        <v>43</v>
      </c>
      <c r="L567" s="1097"/>
      <c r="M567" s="1098">
        <v>41500000</v>
      </c>
      <c r="N567" s="1034"/>
      <c r="O567" s="1034"/>
      <c r="P567" s="1034"/>
      <c r="Q567" s="1099"/>
      <c r="R567" s="1019"/>
      <c r="S567" s="1127"/>
      <c r="T567" s="1153"/>
    </row>
    <row r="568" spans="1:20" ht="38.25" x14ac:dyDescent="0.2">
      <c r="A568" s="1010">
        <v>2022562</v>
      </c>
      <c r="B568" s="1072" t="s">
        <v>459</v>
      </c>
      <c r="C568" s="1072"/>
      <c r="D568" s="1042" t="s">
        <v>690</v>
      </c>
      <c r="E568" s="1096" t="s">
        <v>1153</v>
      </c>
      <c r="F568" s="1071" t="s">
        <v>1154</v>
      </c>
      <c r="G568" s="1093" t="s">
        <v>1879</v>
      </c>
      <c r="H568" s="1093" t="s">
        <v>1879</v>
      </c>
      <c r="I568" s="1093" t="s">
        <v>1928</v>
      </c>
      <c r="J568" s="1093" t="s">
        <v>1929</v>
      </c>
      <c r="K568" s="1014" t="s">
        <v>43</v>
      </c>
      <c r="L568" s="1097"/>
      <c r="M568" s="1098">
        <v>1500000000</v>
      </c>
      <c r="N568" s="1034"/>
      <c r="O568" s="1034"/>
      <c r="P568" s="1034"/>
      <c r="Q568" s="1099"/>
      <c r="R568" s="1019"/>
      <c r="S568" s="1127"/>
      <c r="T568" s="1153"/>
    </row>
    <row r="569" spans="1:20" ht="38.25" x14ac:dyDescent="0.2">
      <c r="A569" s="1010">
        <v>2022563</v>
      </c>
      <c r="B569" s="1072" t="s">
        <v>459</v>
      </c>
      <c r="C569" s="1072"/>
      <c r="D569" s="1042" t="s">
        <v>690</v>
      </c>
      <c r="E569" s="1096" t="s">
        <v>1153</v>
      </c>
      <c r="F569" s="1071" t="s">
        <v>1154</v>
      </c>
      <c r="G569" s="1093" t="s">
        <v>1879</v>
      </c>
      <c r="H569" s="1093" t="s">
        <v>1879</v>
      </c>
      <c r="I569" s="1093" t="s">
        <v>1928</v>
      </c>
      <c r="J569" s="1093" t="s">
        <v>1929</v>
      </c>
      <c r="K569" s="1014" t="s">
        <v>43</v>
      </c>
      <c r="L569" s="1097"/>
      <c r="M569" s="1098">
        <v>550000000</v>
      </c>
      <c r="N569" s="1034"/>
      <c r="O569" s="1034"/>
      <c r="P569" s="1034"/>
      <c r="Q569" s="1099"/>
      <c r="R569" s="1019"/>
      <c r="S569" s="1127"/>
      <c r="T569" s="1153"/>
    </row>
    <row r="570" spans="1:20" ht="38.25" x14ac:dyDescent="0.2">
      <c r="A570" s="1010">
        <v>2022564</v>
      </c>
      <c r="B570" s="1072" t="s">
        <v>459</v>
      </c>
      <c r="C570" s="1072"/>
      <c r="D570" s="1042" t="s">
        <v>690</v>
      </c>
      <c r="E570" s="1096" t="s">
        <v>1153</v>
      </c>
      <c r="F570" s="1071" t="s">
        <v>1154</v>
      </c>
      <c r="G570" s="1093" t="s">
        <v>1879</v>
      </c>
      <c r="H570" s="1093" t="s">
        <v>1879</v>
      </c>
      <c r="I570" s="1093" t="s">
        <v>1928</v>
      </c>
      <c r="J570" s="1093" t="s">
        <v>1929</v>
      </c>
      <c r="K570" s="1014" t="s">
        <v>43</v>
      </c>
      <c r="L570" s="1097"/>
      <c r="M570" s="1098">
        <v>733000000</v>
      </c>
      <c r="N570" s="1034"/>
      <c r="O570" s="1034"/>
      <c r="P570" s="1034"/>
      <c r="Q570" s="1099"/>
      <c r="R570" s="1019"/>
      <c r="S570" s="1127"/>
      <c r="T570" s="1153"/>
    </row>
    <row r="571" spans="1:20" ht="38.25" x14ac:dyDescent="0.2">
      <c r="A571" s="1010">
        <v>2022565</v>
      </c>
      <c r="B571" s="1072" t="s">
        <v>459</v>
      </c>
      <c r="C571" s="1072"/>
      <c r="D571" s="1042" t="s">
        <v>690</v>
      </c>
      <c r="E571" s="1096" t="s">
        <v>1153</v>
      </c>
      <c r="F571" s="1071" t="s">
        <v>1154</v>
      </c>
      <c r="G571" s="1093" t="s">
        <v>1879</v>
      </c>
      <c r="H571" s="1093" t="s">
        <v>1879</v>
      </c>
      <c r="I571" s="1093" t="s">
        <v>1928</v>
      </c>
      <c r="J571" s="1093" t="s">
        <v>1929</v>
      </c>
      <c r="K571" s="1014" t="s">
        <v>43</v>
      </c>
      <c r="L571" s="1097"/>
      <c r="M571" s="1098">
        <v>150000000</v>
      </c>
      <c r="N571" s="1034"/>
      <c r="O571" s="1034"/>
      <c r="P571" s="1034"/>
      <c r="Q571" s="1099"/>
      <c r="R571" s="1019"/>
      <c r="S571" s="1127"/>
      <c r="T571" s="1153"/>
    </row>
    <row r="572" spans="1:20" ht="38.25" x14ac:dyDescent="0.2">
      <c r="A572" s="1010">
        <v>2022566</v>
      </c>
      <c r="B572" s="1072" t="s">
        <v>459</v>
      </c>
      <c r="C572" s="1072"/>
      <c r="D572" s="1042" t="s">
        <v>690</v>
      </c>
      <c r="E572" s="1096" t="s">
        <v>1153</v>
      </c>
      <c r="F572" s="1071" t="s">
        <v>1154</v>
      </c>
      <c r="G572" s="1093" t="s">
        <v>1879</v>
      </c>
      <c r="H572" s="1093" t="s">
        <v>1879</v>
      </c>
      <c r="I572" s="1093" t="s">
        <v>1928</v>
      </c>
      <c r="J572" s="1093" t="s">
        <v>1929</v>
      </c>
      <c r="K572" s="1014" t="s">
        <v>43</v>
      </c>
      <c r="L572" s="1097"/>
      <c r="M572" s="1098">
        <v>300000000</v>
      </c>
      <c r="N572" s="1034"/>
      <c r="O572" s="1034"/>
      <c r="P572" s="1034"/>
      <c r="Q572" s="1099"/>
      <c r="R572" s="1019"/>
      <c r="S572" s="1127"/>
      <c r="T572" s="1153"/>
    </row>
    <row r="573" spans="1:20" ht="38.25" x14ac:dyDescent="0.2">
      <c r="A573" s="1010">
        <v>2022567</v>
      </c>
      <c r="B573" s="1072" t="s">
        <v>459</v>
      </c>
      <c r="C573" s="1072"/>
      <c r="D573" s="1042" t="s">
        <v>690</v>
      </c>
      <c r="E573" s="1096" t="s">
        <v>1153</v>
      </c>
      <c r="F573" s="1071" t="s">
        <v>1154</v>
      </c>
      <c r="G573" s="1093" t="s">
        <v>1879</v>
      </c>
      <c r="H573" s="1093" t="s">
        <v>1879</v>
      </c>
      <c r="I573" s="1093" t="s">
        <v>1928</v>
      </c>
      <c r="J573" s="1093" t="s">
        <v>1929</v>
      </c>
      <c r="K573" s="1014" t="s">
        <v>43</v>
      </c>
      <c r="L573" s="1097"/>
      <c r="M573" s="1098">
        <v>67000000</v>
      </c>
      <c r="N573" s="1034"/>
      <c r="O573" s="1034"/>
      <c r="P573" s="1034"/>
      <c r="Q573" s="1099"/>
      <c r="R573" s="1019"/>
      <c r="S573" s="1127"/>
      <c r="T573" s="1153"/>
    </row>
    <row r="574" spans="1:20" ht="38.25" x14ac:dyDescent="0.2">
      <c r="A574" s="1010">
        <v>2022568</v>
      </c>
      <c r="B574" s="1072" t="s">
        <v>459</v>
      </c>
      <c r="C574" s="1072"/>
      <c r="D574" s="1042" t="s">
        <v>690</v>
      </c>
      <c r="E574" s="1104" t="s">
        <v>1155</v>
      </c>
      <c r="F574" s="1071" t="s">
        <v>1156</v>
      </c>
      <c r="G574" s="1093" t="s">
        <v>1887</v>
      </c>
      <c r="H574" s="1093" t="s">
        <v>1887</v>
      </c>
      <c r="I574" s="1093" t="s">
        <v>1925</v>
      </c>
      <c r="J574" s="1093" t="s">
        <v>1926</v>
      </c>
      <c r="K574" s="1014" t="s">
        <v>43</v>
      </c>
      <c r="L574" s="1097"/>
      <c r="M574" s="1098">
        <v>124000000</v>
      </c>
      <c r="N574" s="1034"/>
      <c r="O574" s="1034"/>
      <c r="P574" s="1034"/>
      <c r="Q574" s="1099"/>
      <c r="R574" s="1019"/>
      <c r="S574" s="1127"/>
      <c r="T574" s="1153"/>
    </row>
    <row r="575" spans="1:20" ht="38.25" x14ac:dyDescent="0.2">
      <c r="A575" s="1010">
        <v>2022569</v>
      </c>
      <c r="B575" s="1072" t="s">
        <v>459</v>
      </c>
      <c r="C575" s="1072"/>
      <c r="D575" s="1042" t="s">
        <v>690</v>
      </c>
      <c r="E575" s="1104" t="s">
        <v>1155</v>
      </c>
      <c r="F575" s="1071" t="s">
        <v>1157</v>
      </c>
      <c r="G575" s="1093" t="s">
        <v>1872</v>
      </c>
      <c r="H575" s="1093" t="s">
        <v>1872</v>
      </c>
      <c r="I575" s="1093" t="s">
        <v>1928</v>
      </c>
      <c r="J575" s="1093" t="s">
        <v>1926</v>
      </c>
      <c r="K575" s="1014" t="s">
        <v>43</v>
      </c>
      <c r="L575" s="1097"/>
      <c r="M575" s="1098">
        <v>109000000</v>
      </c>
      <c r="N575" s="1034"/>
      <c r="O575" s="1034"/>
      <c r="P575" s="1034"/>
      <c r="Q575" s="1099"/>
      <c r="R575" s="1019"/>
      <c r="S575" s="1127"/>
      <c r="T575" s="1153"/>
    </row>
    <row r="576" spans="1:20" ht="51" x14ac:dyDescent="0.2">
      <c r="A576" s="1010">
        <v>2022570</v>
      </c>
      <c r="B576" s="1072" t="s">
        <v>459</v>
      </c>
      <c r="C576" s="1072"/>
      <c r="D576" s="1042" t="s">
        <v>690</v>
      </c>
      <c r="E576" s="1104" t="s">
        <v>781</v>
      </c>
      <c r="F576" s="1071" t="s">
        <v>1158</v>
      </c>
      <c r="G576" s="1093" t="s">
        <v>1893</v>
      </c>
      <c r="H576" s="1093" t="s">
        <v>1893</v>
      </c>
      <c r="I576" s="1093" t="s">
        <v>1930</v>
      </c>
      <c r="J576" s="1093" t="s">
        <v>1926</v>
      </c>
      <c r="K576" s="1014" t="s">
        <v>43</v>
      </c>
      <c r="L576" s="1097"/>
      <c r="M576" s="1098">
        <v>350000000</v>
      </c>
      <c r="N576" s="1034"/>
      <c r="O576" s="1034"/>
      <c r="P576" s="1034"/>
      <c r="Q576" s="1099"/>
      <c r="R576" s="1019"/>
      <c r="S576" s="1127"/>
      <c r="T576" s="1153"/>
    </row>
    <row r="577" spans="1:20" ht="63.75" x14ac:dyDescent="0.2">
      <c r="A577" s="1010">
        <v>2022571</v>
      </c>
      <c r="B577" s="1072" t="s">
        <v>459</v>
      </c>
      <c r="C577" s="1072"/>
      <c r="D577" s="1042" t="s">
        <v>690</v>
      </c>
      <c r="E577" s="1096" t="s">
        <v>964</v>
      </c>
      <c r="F577" s="1071" t="s">
        <v>1159</v>
      </c>
      <c r="G577" s="1093" t="s">
        <v>1880</v>
      </c>
      <c r="H577" s="1093" t="s">
        <v>1880</v>
      </c>
      <c r="I577" s="1093" t="s">
        <v>1931</v>
      </c>
      <c r="J577" s="1093" t="s">
        <v>1929</v>
      </c>
      <c r="K577" s="1014" t="s">
        <v>43</v>
      </c>
      <c r="L577" s="1097"/>
      <c r="M577" s="1098">
        <v>756263000</v>
      </c>
      <c r="N577" s="1034"/>
      <c r="O577" s="1034"/>
      <c r="P577" s="1034"/>
      <c r="Q577" s="1099"/>
      <c r="R577" s="1019"/>
      <c r="S577" s="1127"/>
      <c r="T577" s="1153"/>
    </row>
    <row r="578" spans="1:20" ht="51" x14ac:dyDescent="0.2">
      <c r="A578" s="1010">
        <v>2022572</v>
      </c>
      <c r="B578" s="1072" t="s">
        <v>459</v>
      </c>
      <c r="C578" s="1072"/>
      <c r="D578" s="1042" t="s">
        <v>690</v>
      </c>
      <c r="E578" s="1096" t="s">
        <v>1139</v>
      </c>
      <c r="F578" s="1071" t="s">
        <v>1142</v>
      </c>
      <c r="G578" s="1093" t="s">
        <v>1872</v>
      </c>
      <c r="H578" s="1093" t="s">
        <v>1872</v>
      </c>
      <c r="I578" s="1093" t="s">
        <v>1850</v>
      </c>
      <c r="J578" s="1093" t="s">
        <v>1817</v>
      </c>
      <c r="K578" s="1014" t="s">
        <v>43</v>
      </c>
      <c r="L578" s="1097"/>
      <c r="M578" s="1098">
        <v>37063000</v>
      </c>
      <c r="N578" s="1034"/>
      <c r="O578" s="1034"/>
      <c r="P578" s="1034"/>
      <c r="Q578" s="1099"/>
      <c r="R578" s="1019"/>
      <c r="S578" s="1127"/>
      <c r="T578" s="1153"/>
    </row>
    <row r="579" spans="1:20" ht="38.25" x14ac:dyDescent="0.2">
      <c r="A579" s="1010">
        <v>2022573</v>
      </c>
      <c r="B579" s="1072" t="s">
        <v>459</v>
      </c>
      <c r="C579" s="1072"/>
      <c r="D579" s="1042" t="s">
        <v>690</v>
      </c>
      <c r="E579" s="1096" t="s">
        <v>1139</v>
      </c>
      <c r="F579" s="1071" t="s">
        <v>970</v>
      </c>
      <c r="G579" s="1093" t="s">
        <v>1872</v>
      </c>
      <c r="H579" s="1093" t="s">
        <v>1872</v>
      </c>
      <c r="I579" s="1093" t="s">
        <v>1812</v>
      </c>
      <c r="J579" s="1093" t="s">
        <v>1817</v>
      </c>
      <c r="K579" s="1014" t="s">
        <v>43</v>
      </c>
      <c r="L579" s="1097"/>
      <c r="M579" s="1098">
        <v>382937000</v>
      </c>
      <c r="N579" s="1034"/>
      <c r="O579" s="1034"/>
      <c r="P579" s="1034"/>
      <c r="Q579" s="1099"/>
      <c r="R579" s="1019"/>
      <c r="S579" s="1127"/>
      <c r="T579" s="1153"/>
    </row>
    <row r="580" spans="1:20" ht="38.25" x14ac:dyDescent="0.2">
      <c r="A580" s="1010">
        <v>2022574</v>
      </c>
      <c r="B580" s="1072" t="s">
        <v>459</v>
      </c>
      <c r="C580" s="1072"/>
      <c r="D580" s="1042" t="s">
        <v>690</v>
      </c>
      <c r="E580" s="1096" t="s">
        <v>1160</v>
      </c>
      <c r="F580" s="1071" t="s">
        <v>1932</v>
      </c>
      <c r="G580" s="1093" t="s">
        <v>1872</v>
      </c>
      <c r="H580" s="1093" t="s">
        <v>1872</v>
      </c>
      <c r="I580" s="1093" t="s">
        <v>1924</v>
      </c>
      <c r="J580" s="1093" t="s">
        <v>1926</v>
      </c>
      <c r="K580" s="1014" t="s">
        <v>43</v>
      </c>
      <c r="L580" s="1097"/>
      <c r="M580" s="1098">
        <v>4019274</v>
      </c>
      <c r="N580" s="1034"/>
      <c r="O580" s="1034"/>
      <c r="P580" s="1034"/>
      <c r="Q580" s="1099"/>
      <c r="R580" s="1019"/>
      <c r="S580" s="1127"/>
      <c r="T580" s="1153"/>
    </row>
    <row r="581" spans="1:20" ht="51" x14ac:dyDescent="0.2">
      <c r="A581" s="1010">
        <v>2022575</v>
      </c>
      <c r="B581" s="1072" t="s">
        <v>459</v>
      </c>
      <c r="C581" s="1072"/>
      <c r="D581" s="1042" t="s">
        <v>690</v>
      </c>
      <c r="E581" s="1104" t="s">
        <v>1162</v>
      </c>
      <c r="F581" s="1071" t="s">
        <v>1163</v>
      </c>
      <c r="G581" s="1093" t="s">
        <v>1872</v>
      </c>
      <c r="H581" s="1093" t="s">
        <v>1872</v>
      </c>
      <c r="I581" s="1093" t="s">
        <v>1933</v>
      </c>
      <c r="J581" s="1093" t="s">
        <v>1926</v>
      </c>
      <c r="K581" s="1014" t="s">
        <v>43</v>
      </c>
      <c r="L581" s="1097"/>
      <c r="M581" s="1098">
        <v>8664250</v>
      </c>
      <c r="N581" s="1034"/>
      <c r="O581" s="1034"/>
      <c r="P581" s="1034"/>
      <c r="Q581" s="1099"/>
      <c r="R581" s="1019"/>
      <c r="S581" s="1127"/>
      <c r="T581" s="1153"/>
    </row>
    <row r="582" spans="1:20" ht="38.25" x14ac:dyDescent="0.2">
      <c r="A582" s="1010">
        <v>2022576</v>
      </c>
      <c r="B582" s="1072" t="s">
        <v>459</v>
      </c>
      <c r="C582" s="1072"/>
      <c r="D582" s="1042" t="s">
        <v>690</v>
      </c>
      <c r="E582" s="1104" t="s">
        <v>1160</v>
      </c>
      <c r="F582" s="1071" t="s">
        <v>1164</v>
      </c>
      <c r="G582" s="1093" t="s">
        <v>1887</v>
      </c>
      <c r="H582" s="1093" t="s">
        <v>1887</v>
      </c>
      <c r="I582" s="1093" t="s">
        <v>1934</v>
      </c>
      <c r="J582" s="1093" t="s">
        <v>1926</v>
      </c>
      <c r="K582" s="1014" t="s">
        <v>43</v>
      </c>
      <c r="L582" s="1097"/>
      <c r="M582" s="1098">
        <v>13335750</v>
      </c>
      <c r="N582" s="1034"/>
      <c r="O582" s="1034"/>
      <c r="P582" s="1034"/>
      <c r="Q582" s="1099"/>
      <c r="R582" s="1019"/>
      <c r="S582" s="1127"/>
      <c r="T582" s="1153"/>
    </row>
    <row r="583" spans="1:20" ht="38.25" x14ac:dyDescent="0.2">
      <c r="A583" s="1010">
        <v>2022577</v>
      </c>
      <c r="B583" s="1072" t="s">
        <v>459</v>
      </c>
      <c r="C583" s="1072"/>
      <c r="D583" s="1042" t="s">
        <v>690</v>
      </c>
      <c r="E583" s="1104" t="s">
        <v>1162</v>
      </c>
      <c r="F583" s="1071" t="s">
        <v>1161</v>
      </c>
      <c r="G583" s="1093" t="s">
        <v>1890</v>
      </c>
      <c r="H583" s="1093" t="s">
        <v>1890</v>
      </c>
      <c r="I583" s="1093" t="s">
        <v>1924</v>
      </c>
      <c r="J583" s="1093" t="s">
        <v>1926</v>
      </c>
      <c r="K583" s="1014" t="s">
        <v>43</v>
      </c>
      <c r="L583" s="1097"/>
      <c r="M583" s="1098">
        <v>3980726</v>
      </c>
      <c r="N583" s="1034"/>
      <c r="O583" s="1034"/>
      <c r="P583" s="1034"/>
      <c r="Q583" s="1099"/>
      <c r="R583" s="1019"/>
      <c r="S583" s="1127"/>
      <c r="T583" s="1153"/>
    </row>
    <row r="584" spans="1:20" ht="63.75" x14ac:dyDescent="0.2">
      <c r="A584" s="1010">
        <v>2022578</v>
      </c>
      <c r="B584" s="1072" t="s">
        <v>459</v>
      </c>
      <c r="C584" s="1072"/>
      <c r="D584" s="1042" t="s">
        <v>690</v>
      </c>
      <c r="E584" s="1096" t="s">
        <v>805</v>
      </c>
      <c r="F584" s="1071" t="s">
        <v>806</v>
      </c>
      <c r="G584" s="1093" t="s">
        <v>1872</v>
      </c>
      <c r="H584" s="1093" t="s">
        <v>1872</v>
      </c>
      <c r="I584" s="1093">
        <v>0</v>
      </c>
      <c r="J584" s="1093" t="s">
        <v>1935</v>
      </c>
      <c r="K584" s="1014" t="s">
        <v>43</v>
      </c>
      <c r="L584" s="1097"/>
      <c r="M584" s="1098">
        <v>20000000</v>
      </c>
      <c r="N584" s="1034"/>
      <c r="O584" s="1034"/>
      <c r="P584" s="1034"/>
      <c r="Q584" s="1099"/>
      <c r="R584" s="1019"/>
      <c r="S584" s="1127"/>
      <c r="T584" s="1153"/>
    </row>
    <row r="585" spans="1:20" ht="51" x14ac:dyDescent="0.2">
      <c r="A585" s="1010">
        <v>2022579</v>
      </c>
      <c r="B585" s="1072" t="s">
        <v>459</v>
      </c>
      <c r="C585" s="1072"/>
      <c r="D585" s="1042" t="s">
        <v>690</v>
      </c>
      <c r="E585" s="1096" t="s">
        <v>805</v>
      </c>
      <c r="F585" s="1071" t="s">
        <v>1165</v>
      </c>
      <c r="G585" s="1093" t="s">
        <v>1872</v>
      </c>
      <c r="H585" s="1093" t="s">
        <v>1872</v>
      </c>
      <c r="I585" s="1093" t="s">
        <v>1936</v>
      </c>
      <c r="J585" s="1093" t="s">
        <v>1935</v>
      </c>
      <c r="K585" s="1014" t="s">
        <v>43</v>
      </c>
      <c r="L585" s="1097"/>
      <c r="M585" s="1098">
        <v>130000000</v>
      </c>
      <c r="N585" s="1034"/>
      <c r="O585" s="1034"/>
      <c r="P585" s="1034"/>
      <c r="Q585" s="1099"/>
      <c r="R585" s="1019"/>
      <c r="S585" s="1127"/>
      <c r="T585" s="1153"/>
    </row>
    <row r="586" spans="1:20" ht="38.25" x14ac:dyDescent="0.2">
      <c r="A586" s="1010">
        <v>2022580</v>
      </c>
      <c r="B586" s="1072" t="s">
        <v>459</v>
      </c>
      <c r="C586" s="1072"/>
      <c r="D586" s="1042" t="s">
        <v>1804</v>
      </c>
      <c r="E586" s="1093" t="s">
        <v>781</v>
      </c>
      <c r="F586" s="1071" t="s">
        <v>1166</v>
      </c>
      <c r="G586" s="1078" t="s">
        <v>1872</v>
      </c>
      <c r="H586" s="1078" t="s">
        <v>1872</v>
      </c>
      <c r="I586" s="1093" t="s">
        <v>1937</v>
      </c>
      <c r="J586" s="1093" t="s">
        <v>1926</v>
      </c>
      <c r="K586" s="1014" t="s">
        <v>43</v>
      </c>
      <c r="L586" s="1097"/>
      <c r="M586" s="1098">
        <v>85650000</v>
      </c>
      <c r="N586" s="1034"/>
      <c r="O586" s="1034"/>
      <c r="P586" s="1034"/>
      <c r="Q586" s="1099"/>
      <c r="R586" s="1019"/>
      <c r="S586" s="1127"/>
      <c r="T586" s="1153"/>
    </row>
    <row r="587" spans="1:20" ht="51" x14ac:dyDescent="0.2">
      <c r="A587" s="1010">
        <v>2022581</v>
      </c>
      <c r="B587" s="1072" t="s">
        <v>459</v>
      </c>
      <c r="C587" s="1072"/>
      <c r="D587" s="1042" t="s">
        <v>1804</v>
      </c>
      <c r="E587" s="1093" t="s">
        <v>781</v>
      </c>
      <c r="F587" s="1071" t="s">
        <v>1167</v>
      </c>
      <c r="G587" s="1078" t="s">
        <v>1872</v>
      </c>
      <c r="H587" s="1078" t="s">
        <v>1872</v>
      </c>
      <c r="I587" s="1093" t="s">
        <v>1937</v>
      </c>
      <c r="J587" s="1093" t="s">
        <v>1926</v>
      </c>
      <c r="K587" s="1014" t="s">
        <v>43</v>
      </c>
      <c r="L587" s="1097"/>
      <c r="M587" s="1098">
        <v>55350000</v>
      </c>
      <c r="N587" s="1034"/>
      <c r="O587" s="1034"/>
      <c r="P587" s="1034"/>
      <c r="Q587" s="1099"/>
      <c r="R587" s="1019"/>
      <c r="S587" s="1127"/>
      <c r="T587" s="1153"/>
    </row>
    <row r="588" spans="1:20" ht="51" x14ac:dyDescent="0.2">
      <c r="A588" s="1010">
        <v>2022582</v>
      </c>
      <c r="B588" s="1072" t="s">
        <v>459</v>
      </c>
      <c r="C588" s="1072"/>
      <c r="D588" s="1042" t="s">
        <v>1804</v>
      </c>
      <c r="E588" s="1093" t="s">
        <v>781</v>
      </c>
      <c r="F588" s="1071" t="s">
        <v>1168</v>
      </c>
      <c r="G588" s="1078" t="s">
        <v>1872</v>
      </c>
      <c r="H588" s="1078" t="s">
        <v>1872</v>
      </c>
      <c r="I588" s="1093" t="s">
        <v>1816</v>
      </c>
      <c r="J588" s="1093" t="s">
        <v>1926</v>
      </c>
      <c r="K588" s="1014" t="s">
        <v>43</v>
      </c>
      <c r="L588" s="1097"/>
      <c r="M588" s="1098">
        <v>99000000</v>
      </c>
      <c r="N588" s="1034"/>
      <c r="O588" s="1034"/>
      <c r="P588" s="1034"/>
      <c r="Q588" s="1099"/>
      <c r="R588" s="1019"/>
      <c r="S588" s="1127"/>
      <c r="T588" s="1153"/>
    </row>
    <row r="589" spans="1:20" ht="102" x14ac:dyDescent="0.2">
      <c r="A589" s="1010">
        <v>2022583</v>
      </c>
      <c r="B589" s="1072" t="s">
        <v>459</v>
      </c>
      <c r="C589" s="1072"/>
      <c r="D589" s="1042" t="s">
        <v>699</v>
      </c>
      <c r="E589" s="1093" t="s">
        <v>1169</v>
      </c>
      <c r="F589" s="1071" t="s">
        <v>1170</v>
      </c>
      <c r="G589" s="1078" t="s">
        <v>1872</v>
      </c>
      <c r="H589" s="1078" t="s">
        <v>1872</v>
      </c>
      <c r="I589" s="1093" t="s">
        <v>1793</v>
      </c>
      <c r="J589" s="1093" t="s">
        <v>1938</v>
      </c>
      <c r="K589" s="1014" t="s">
        <v>43</v>
      </c>
      <c r="L589" s="1097"/>
      <c r="M589" s="1098">
        <v>22000000</v>
      </c>
      <c r="N589" s="1034"/>
      <c r="O589" s="1034"/>
      <c r="P589" s="1034"/>
      <c r="Q589" s="1099"/>
      <c r="R589" s="1019"/>
      <c r="S589" s="1127"/>
      <c r="T589" s="1153"/>
    </row>
    <row r="590" spans="1:20" ht="25.5" x14ac:dyDescent="0.2">
      <c r="A590" s="1010">
        <v>2022584</v>
      </c>
      <c r="B590" s="1072" t="s">
        <v>459</v>
      </c>
      <c r="C590" s="1072"/>
      <c r="D590" s="1042" t="s">
        <v>702</v>
      </c>
      <c r="E590" s="1105" t="s">
        <v>1939</v>
      </c>
      <c r="F590" s="1071" t="s">
        <v>1940</v>
      </c>
      <c r="G590" s="1093" t="s">
        <v>1879</v>
      </c>
      <c r="H590" s="1093" t="s">
        <v>1879</v>
      </c>
      <c r="I590" s="1093" t="s">
        <v>1924</v>
      </c>
      <c r="J590" s="1093" t="s">
        <v>1926</v>
      </c>
      <c r="K590" s="1014" t="s">
        <v>43</v>
      </c>
      <c r="L590" s="1097"/>
      <c r="M590" s="1098">
        <v>700102000</v>
      </c>
      <c r="N590" s="1034"/>
      <c r="O590" s="1034"/>
      <c r="P590" s="1034"/>
      <c r="Q590" s="1099"/>
      <c r="R590" s="1019"/>
      <c r="S590" s="1127"/>
      <c r="T590" s="1153"/>
    </row>
    <row r="591" spans="1:20" ht="229.5" x14ac:dyDescent="0.2">
      <c r="A591" s="1010">
        <v>2022585</v>
      </c>
      <c r="B591" s="1072" t="s">
        <v>459</v>
      </c>
      <c r="C591" s="1072"/>
      <c r="D591" s="1042" t="s">
        <v>696</v>
      </c>
      <c r="E591" s="1096" t="s">
        <v>1941</v>
      </c>
      <c r="F591" s="1071" t="s">
        <v>1942</v>
      </c>
      <c r="G591" s="1093" t="s">
        <v>1887</v>
      </c>
      <c r="H591" s="1093" t="s">
        <v>1887</v>
      </c>
      <c r="I591" s="1093" t="s">
        <v>1924</v>
      </c>
      <c r="J591" s="1093" t="s">
        <v>1929</v>
      </c>
      <c r="K591" s="1014" t="s">
        <v>43</v>
      </c>
      <c r="L591" s="1097"/>
      <c r="M591" s="1098">
        <v>40000000</v>
      </c>
      <c r="N591" s="1034"/>
      <c r="O591" s="1034"/>
      <c r="P591" s="1034"/>
      <c r="Q591" s="1099"/>
      <c r="R591" s="1019"/>
      <c r="S591" s="1127"/>
      <c r="T591" s="1153"/>
    </row>
    <row r="592" spans="1:20" ht="51" x14ac:dyDescent="0.2">
      <c r="A592" s="1010">
        <v>2022586</v>
      </c>
      <c r="B592" s="1072" t="s">
        <v>459</v>
      </c>
      <c r="C592" s="1072"/>
      <c r="D592" s="1042" t="s">
        <v>696</v>
      </c>
      <c r="E592" s="1105" t="s">
        <v>1173</v>
      </c>
      <c r="F592" s="1071" t="s">
        <v>1174</v>
      </c>
      <c r="G592" s="1093" t="s">
        <v>1873</v>
      </c>
      <c r="H592" s="1093" t="s">
        <v>1873</v>
      </c>
      <c r="I592" s="1093" t="s">
        <v>1934</v>
      </c>
      <c r="J592" s="1093" t="s">
        <v>1929</v>
      </c>
      <c r="K592" s="1014" t="s">
        <v>43</v>
      </c>
      <c r="L592" s="1097"/>
      <c r="M592" s="1098">
        <v>870000000</v>
      </c>
      <c r="N592" s="1034"/>
      <c r="O592" s="1034"/>
      <c r="P592" s="1034"/>
      <c r="Q592" s="1099"/>
      <c r="R592" s="1019"/>
      <c r="S592" s="1127"/>
      <c r="T592" s="1153"/>
    </row>
    <row r="593" spans="1:20" ht="25.5" x14ac:dyDescent="0.2">
      <c r="A593" s="1010">
        <v>2022587</v>
      </c>
      <c r="B593" s="1072" t="s">
        <v>459</v>
      </c>
      <c r="C593" s="1072"/>
      <c r="D593" s="1042" t="s">
        <v>696</v>
      </c>
      <c r="E593" s="1093" t="s">
        <v>1175</v>
      </c>
      <c r="F593" s="1071" t="s">
        <v>1176</v>
      </c>
      <c r="G593" s="1093" t="s">
        <v>1943</v>
      </c>
      <c r="H593" s="1093" t="s">
        <v>1943</v>
      </c>
      <c r="I593" s="1093" t="s">
        <v>1177</v>
      </c>
      <c r="J593" s="1093"/>
      <c r="K593" s="1014" t="s">
        <v>43</v>
      </c>
      <c r="L593" s="1097"/>
      <c r="M593" s="1098">
        <v>150000000</v>
      </c>
      <c r="N593" s="1034"/>
      <c r="O593" s="1034"/>
      <c r="P593" s="1034"/>
      <c r="Q593" s="1099"/>
      <c r="R593" s="1019"/>
      <c r="S593" s="1127"/>
      <c r="T593" s="1153"/>
    </row>
    <row r="594" spans="1:20" ht="25.5" x14ac:dyDescent="0.2">
      <c r="A594" s="1010">
        <v>2022588</v>
      </c>
      <c r="B594" s="1072" t="s">
        <v>459</v>
      </c>
      <c r="C594" s="1072"/>
      <c r="D594" s="1042" t="s">
        <v>696</v>
      </c>
      <c r="E594" s="1096" t="s">
        <v>1178</v>
      </c>
      <c r="F594" s="1071" t="s">
        <v>1179</v>
      </c>
      <c r="G594" s="1093" t="s">
        <v>1892</v>
      </c>
      <c r="H594" s="1093" t="s">
        <v>1892</v>
      </c>
      <c r="I594" s="1093" t="s">
        <v>1925</v>
      </c>
      <c r="J594" s="1093" t="s">
        <v>1935</v>
      </c>
      <c r="K594" s="1014" t="s">
        <v>43</v>
      </c>
      <c r="L594" s="1097"/>
      <c r="M594" s="1098">
        <v>250000000</v>
      </c>
      <c r="N594" s="1034"/>
      <c r="O594" s="1034"/>
      <c r="P594" s="1034"/>
      <c r="Q594" s="1099"/>
      <c r="R594" s="1019"/>
      <c r="S594" s="1127"/>
      <c r="T594" s="1153"/>
    </row>
    <row r="595" spans="1:20" ht="89.25" x14ac:dyDescent="0.2">
      <c r="A595" s="1010">
        <v>2022589</v>
      </c>
      <c r="B595" s="1072" t="s">
        <v>459</v>
      </c>
      <c r="C595" s="1072"/>
      <c r="D595" s="1042" t="s">
        <v>696</v>
      </c>
      <c r="E595" s="1096" t="s">
        <v>1180</v>
      </c>
      <c r="F595" s="1071" t="s">
        <v>1181</v>
      </c>
      <c r="G595" s="1093" t="s">
        <v>1873</v>
      </c>
      <c r="H595" s="1093" t="s">
        <v>1873</v>
      </c>
      <c r="I595" s="1093" t="s">
        <v>1934</v>
      </c>
      <c r="J595" s="1093" t="s">
        <v>1938</v>
      </c>
      <c r="K595" s="1014" t="s">
        <v>43</v>
      </c>
      <c r="L595" s="1097"/>
      <c r="M595" s="1098">
        <v>50000000</v>
      </c>
      <c r="N595" s="1034"/>
      <c r="O595" s="1034"/>
      <c r="P595" s="1034"/>
      <c r="Q595" s="1099"/>
      <c r="R595" s="1019"/>
      <c r="S595" s="1127"/>
      <c r="T595" s="1153"/>
    </row>
    <row r="596" spans="1:20" ht="76.5" x14ac:dyDescent="0.2">
      <c r="A596" s="1010">
        <v>2022590</v>
      </c>
      <c r="B596" s="1072" t="s">
        <v>459</v>
      </c>
      <c r="C596" s="1072"/>
      <c r="D596" s="1042" t="s">
        <v>696</v>
      </c>
      <c r="E596" s="1093" t="s">
        <v>1177</v>
      </c>
      <c r="F596" s="1071" t="s">
        <v>1182</v>
      </c>
      <c r="G596" s="1093" t="s">
        <v>1879</v>
      </c>
      <c r="H596" s="1093" t="s">
        <v>1879</v>
      </c>
      <c r="I596" s="1093" t="s">
        <v>1928</v>
      </c>
      <c r="J596" s="1093" t="s">
        <v>1944</v>
      </c>
      <c r="K596" s="1014" t="s">
        <v>43</v>
      </c>
      <c r="L596" s="1101"/>
      <c r="M596" s="1102">
        <v>2476000000</v>
      </c>
      <c r="N596" s="1034"/>
      <c r="O596" s="1034"/>
      <c r="P596" s="1034"/>
      <c r="Q596" s="1099"/>
      <c r="R596" s="1019"/>
      <c r="S596" s="1127"/>
      <c r="T596" s="1153"/>
    </row>
    <row r="597" spans="1:20" ht="84" customHeight="1" x14ac:dyDescent="0.2">
      <c r="A597" s="1010">
        <v>2022591</v>
      </c>
      <c r="B597" s="1072" t="s">
        <v>459</v>
      </c>
      <c r="C597" s="1072"/>
      <c r="D597" s="1011" t="s">
        <v>674</v>
      </c>
      <c r="E597" s="1093" t="s">
        <v>1183</v>
      </c>
      <c r="F597" s="1071" t="s">
        <v>1945</v>
      </c>
      <c r="G597" s="1093" t="s">
        <v>1872</v>
      </c>
      <c r="H597" s="1093" t="s">
        <v>1872</v>
      </c>
      <c r="I597" s="1093" t="s">
        <v>1946</v>
      </c>
      <c r="J597" s="1093" t="s">
        <v>1926</v>
      </c>
      <c r="K597" s="1014" t="s">
        <v>43</v>
      </c>
      <c r="L597" s="1101"/>
      <c r="M597" s="1102">
        <v>35000000</v>
      </c>
      <c r="N597" s="1034"/>
      <c r="O597" s="1034"/>
      <c r="P597" s="1034"/>
      <c r="Q597" s="1044">
        <v>44600</v>
      </c>
      <c r="R597" s="1019"/>
      <c r="S597" s="1127"/>
      <c r="T597" s="1153"/>
    </row>
    <row r="598" spans="1:20" ht="51" x14ac:dyDescent="0.2">
      <c r="A598" s="1010">
        <v>2022592</v>
      </c>
      <c r="B598" s="1072" t="s">
        <v>459</v>
      </c>
      <c r="C598" s="1072"/>
      <c r="D598" s="1011" t="s">
        <v>674</v>
      </c>
      <c r="E598" s="1093" t="s">
        <v>1183</v>
      </c>
      <c r="F598" s="1071" t="s">
        <v>1185</v>
      </c>
      <c r="G598" s="1093" t="s">
        <v>1872</v>
      </c>
      <c r="H598" s="1093" t="s">
        <v>1872</v>
      </c>
      <c r="I598" s="1093" t="s">
        <v>1946</v>
      </c>
      <c r="J598" s="1093" t="s">
        <v>1947</v>
      </c>
      <c r="K598" s="1014" t="s">
        <v>43</v>
      </c>
      <c r="L598" s="1101"/>
      <c r="M598" s="1102">
        <v>19810000</v>
      </c>
      <c r="N598" s="1034"/>
      <c r="O598" s="1034"/>
      <c r="P598" s="1034"/>
      <c r="Q598" s="1044">
        <v>44600</v>
      </c>
      <c r="R598" s="1019"/>
      <c r="S598" s="1127"/>
      <c r="T598" s="1153"/>
    </row>
    <row r="599" spans="1:20" ht="63.75" x14ac:dyDescent="0.2">
      <c r="A599" s="1010">
        <v>2022593</v>
      </c>
      <c r="B599" s="1072" t="s">
        <v>459</v>
      </c>
      <c r="C599" s="1072"/>
      <c r="D599" s="1011" t="s">
        <v>674</v>
      </c>
      <c r="E599" s="1096" t="s">
        <v>1186</v>
      </c>
      <c r="F599" s="1071" t="s">
        <v>1187</v>
      </c>
      <c r="G599" s="1093" t="s">
        <v>1872</v>
      </c>
      <c r="H599" s="1093" t="s">
        <v>1872</v>
      </c>
      <c r="I599" s="1093" t="s">
        <v>1948</v>
      </c>
      <c r="J599" s="1093" t="s">
        <v>1926</v>
      </c>
      <c r="K599" s="1014" t="s">
        <v>43</v>
      </c>
      <c r="L599" s="1101"/>
      <c r="M599" s="1102">
        <v>10000000</v>
      </c>
      <c r="N599" s="1034"/>
      <c r="O599" s="1034"/>
      <c r="P599" s="1034"/>
      <c r="Q599" s="1099"/>
      <c r="R599" s="1019"/>
      <c r="S599" s="1127"/>
      <c r="T599" s="1153"/>
    </row>
    <row r="600" spans="1:20" ht="38.25" x14ac:dyDescent="0.2">
      <c r="A600" s="1010">
        <v>2022594</v>
      </c>
      <c r="B600" s="1072" t="s">
        <v>459</v>
      </c>
      <c r="C600" s="1072"/>
      <c r="D600" s="1011" t="s">
        <v>674</v>
      </c>
      <c r="E600" s="1096" t="s">
        <v>1188</v>
      </c>
      <c r="F600" s="1071" t="s">
        <v>1949</v>
      </c>
      <c r="G600" s="1093" t="s">
        <v>1872</v>
      </c>
      <c r="H600" s="1093" t="s">
        <v>1872</v>
      </c>
      <c r="I600" s="1093" t="s">
        <v>1924</v>
      </c>
      <c r="J600" s="1093" t="s">
        <v>1926</v>
      </c>
      <c r="K600" s="1014" t="s">
        <v>43</v>
      </c>
      <c r="L600" s="1101"/>
      <c r="M600" s="1102">
        <v>8386190</v>
      </c>
      <c r="N600" s="1034"/>
      <c r="O600" s="1034"/>
      <c r="P600" s="1034"/>
      <c r="Q600" s="1099"/>
      <c r="R600" s="1019"/>
      <c r="S600" s="1127"/>
      <c r="T600" s="1153"/>
    </row>
    <row r="601" spans="1:20" ht="38.25" x14ac:dyDescent="0.2">
      <c r="A601" s="1010">
        <v>2022595</v>
      </c>
      <c r="B601" s="1072" t="s">
        <v>459</v>
      </c>
      <c r="C601" s="1072"/>
      <c r="D601" s="1011" t="s">
        <v>674</v>
      </c>
      <c r="E601" s="1096" t="s">
        <v>1190</v>
      </c>
      <c r="F601" s="1071" t="s">
        <v>1191</v>
      </c>
      <c r="G601" s="1093" t="s">
        <v>1893</v>
      </c>
      <c r="H601" s="1093" t="s">
        <v>1893</v>
      </c>
      <c r="I601" s="1093" t="s">
        <v>1928</v>
      </c>
      <c r="J601" s="1093" t="s">
        <v>1926</v>
      </c>
      <c r="K601" s="1014" t="s">
        <v>43</v>
      </c>
      <c r="L601" s="1101"/>
      <c r="M601" s="1102">
        <v>35000000</v>
      </c>
      <c r="N601" s="1034"/>
      <c r="O601" s="1034"/>
      <c r="P601" s="1034"/>
      <c r="Q601" s="1099"/>
      <c r="R601" s="1019"/>
      <c r="S601" s="1127"/>
      <c r="T601" s="1153"/>
    </row>
    <row r="602" spans="1:20" ht="38.25" x14ac:dyDescent="0.2">
      <c r="A602" s="1010">
        <v>2022596</v>
      </c>
      <c r="B602" s="1072" t="s">
        <v>459</v>
      </c>
      <c r="C602" s="1072"/>
      <c r="D602" s="1011" t="s">
        <v>674</v>
      </c>
      <c r="E602" s="1096" t="s">
        <v>1192</v>
      </c>
      <c r="F602" s="1071" t="s">
        <v>1950</v>
      </c>
      <c r="G602" s="1093" t="s">
        <v>1892</v>
      </c>
      <c r="H602" s="1093" t="s">
        <v>1892</v>
      </c>
      <c r="I602" s="1093" t="s">
        <v>1946</v>
      </c>
      <c r="J602" s="1093" t="s">
        <v>1817</v>
      </c>
      <c r="K602" s="1014" t="s">
        <v>43</v>
      </c>
      <c r="L602" s="1101"/>
      <c r="M602" s="1102">
        <v>35000000</v>
      </c>
      <c r="N602" s="1034"/>
      <c r="O602" s="1034"/>
      <c r="P602" s="1034"/>
      <c r="Q602" s="1099"/>
      <c r="R602" s="1019"/>
      <c r="S602" s="1127"/>
      <c r="T602" s="1153"/>
    </row>
    <row r="603" spans="1:20" ht="102" x14ac:dyDescent="0.2">
      <c r="A603" s="1010">
        <v>2022597</v>
      </c>
      <c r="B603" s="1072" t="s">
        <v>459</v>
      </c>
      <c r="C603" s="1072"/>
      <c r="D603" s="1011" t="s">
        <v>674</v>
      </c>
      <c r="E603" s="1093" t="s">
        <v>1194</v>
      </c>
      <c r="F603" s="1071" t="s">
        <v>1951</v>
      </c>
      <c r="G603" s="1093" t="s">
        <v>1872</v>
      </c>
      <c r="H603" s="1093" t="s">
        <v>1872</v>
      </c>
      <c r="I603" s="1093" t="s">
        <v>1952</v>
      </c>
      <c r="J603" s="1093" t="s">
        <v>1817</v>
      </c>
      <c r="K603" s="1014" t="s">
        <v>43</v>
      </c>
      <c r="L603" s="1101"/>
      <c r="M603" s="1102">
        <f>300000000-81890487</f>
        <v>218109513</v>
      </c>
      <c r="N603" s="1034"/>
      <c r="O603" s="1034"/>
      <c r="P603" s="1034"/>
      <c r="Q603" s="1044">
        <v>44600</v>
      </c>
      <c r="R603" s="1019"/>
      <c r="S603" s="1127"/>
      <c r="T603" s="1153"/>
    </row>
    <row r="604" spans="1:20" ht="63.75" x14ac:dyDescent="0.2">
      <c r="A604" s="1010">
        <v>2022598</v>
      </c>
      <c r="B604" s="1072" t="s">
        <v>459</v>
      </c>
      <c r="C604" s="1072"/>
      <c r="D604" s="1011" t="s">
        <v>674</v>
      </c>
      <c r="E604" s="1093" t="s">
        <v>1196</v>
      </c>
      <c r="F604" s="1071" t="s">
        <v>1197</v>
      </c>
      <c r="G604" s="1093" t="s">
        <v>1872</v>
      </c>
      <c r="H604" s="1093" t="s">
        <v>1872</v>
      </c>
      <c r="I604" s="1093" t="s">
        <v>1952</v>
      </c>
      <c r="J604" s="1093" t="s">
        <v>1926</v>
      </c>
      <c r="K604" s="1014" t="s">
        <v>43</v>
      </c>
      <c r="L604" s="1101"/>
      <c r="M604" s="1102">
        <v>120473160</v>
      </c>
      <c r="N604" s="1034"/>
      <c r="O604" s="1034"/>
      <c r="P604" s="1034"/>
      <c r="Q604" s="1099"/>
      <c r="R604" s="1019"/>
      <c r="S604" s="1127"/>
      <c r="T604" s="1153"/>
    </row>
    <row r="605" spans="1:20" ht="51" x14ac:dyDescent="0.2">
      <c r="A605" s="1010">
        <v>2022599</v>
      </c>
      <c r="B605" s="1072" t="s">
        <v>459</v>
      </c>
      <c r="C605" s="1072"/>
      <c r="D605" s="1011" t="s">
        <v>674</v>
      </c>
      <c r="E605" s="1093" t="s">
        <v>1196</v>
      </c>
      <c r="F605" s="1071" t="s">
        <v>1199</v>
      </c>
      <c r="G605" s="1093" t="s">
        <v>1887</v>
      </c>
      <c r="H605" s="1093" t="s">
        <v>1887</v>
      </c>
      <c r="I605" s="1093" t="s">
        <v>1953</v>
      </c>
      <c r="J605" s="1093" t="s">
        <v>1926</v>
      </c>
      <c r="K605" s="1014" t="s">
        <v>43</v>
      </c>
      <c r="L605" s="1101"/>
      <c r="M605" s="1102">
        <v>171518585</v>
      </c>
      <c r="N605" s="1034"/>
      <c r="O605" s="1034"/>
      <c r="P605" s="1034"/>
      <c r="Q605" s="1099"/>
      <c r="R605" s="1019"/>
      <c r="S605" s="1127"/>
      <c r="T605" s="1153"/>
    </row>
    <row r="606" spans="1:20" ht="25.5" x14ac:dyDescent="0.2">
      <c r="A606" s="1010">
        <v>2022600</v>
      </c>
      <c r="B606" s="1072" t="s">
        <v>459</v>
      </c>
      <c r="C606" s="1072"/>
      <c r="D606" s="1011" t="s">
        <v>674</v>
      </c>
      <c r="E606" s="1093" t="s">
        <v>1177</v>
      </c>
      <c r="F606" s="1071" t="s">
        <v>1200</v>
      </c>
      <c r="G606" s="1093" t="s">
        <v>1177</v>
      </c>
      <c r="H606" s="1093" t="s">
        <v>1177</v>
      </c>
      <c r="I606" s="1093" t="s">
        <v>1177</v>
      </c>
      <c r="J606" s="1093" t="s">
        <v>1177</v>
      </c>
      <c r="K606" s="1014"/>
      <c r="L606" s="1101"/>
      <c r="M606" s="1102">
        <v>1613810</v>
      </c>
      <c r="N606" s="1034"/>
      <c r="O606" s="1034"/>
      <c r="P606" s="1034"/>
      <c r="Q606" s="1099"/>
      <c r="R606" s="1019"/>
      <c r="S606" s="1127"/>
      <c r="T606" s="1153"/>
    </row>
    <row r="607" spans="1:20" ht="25.5" x14ac:dyDescent="0.2">
      <c r="A607" s="1010">
        <v>2022601</v>
      </c>
      <c r="B607" s="1072" t="s">
        <v>459</v>
      </c>
      <c r="C607" s="1072"/>
      <c r="D607" s="1011" t="s">
        <v>674</v>
      </c>
      <c r="E607" s="1093" t="s">
        <v>1177</v>
      </c>
      <c r="F607" s="1071" t="s">
        <v>1201</v>
      </c>
      <c r="G607" s="1093" t="s">
        <v>1177</v>
      </c>
      <c r="H607" s="1093" t="s">
        <v>1177</v>
      </c>
      <c r="I607" s="1093" t="s">
        <v>1177</v>
      </c>
      <c r="J607" s="1093" t="s">
        <v>1177</v>
      </c>
      <c r="K607" s="1014"/>
      <c r="L607" s="1101"/>
      <c r="M607" s="1102">
        <v>8008255</v>
      </c>
      <c r="N607" s="1034"/>
      <c r="O607" s="1034"/>
      <c r="P607" s="1034"/>
      <c r="Q607" s="1099"/>
      <c r="R607" s="1019"/>
      <c r="S607" s="1127"/>
      <c r="T607" s="1153"/>
    </row>
    <row r="608" spans="1:20" s="1107" customFormat="1" ht="140.25" x14ac:dyDescent="0.25">
      <c r="A608" s="1010">
        <v>2022602</v>
      </c>
      <c r="B608" s="1093">
        <v>7637</v>
      </c>
      <c r="C608" s="1010" t="s">
        <v>645</v>
      </c>
      <c r="D608" s="1011" t="s">
        <v>674</v>
      </c>
      <c r="E608" s="1093">
        <v>80111600</v>
      </c>
      <c r="F608" s="1071" t="s">
        <v>1202</v>
      </c>
      <c r="G608" s="1093" t="s">
        <v>1743</v>
      </c>
      <c r="H608" s="1093" t="s">
        <v>1743</v>
      </c>
      <c r="I608" s="1093" t="s">
        <v>1954</v>
      </c>
      <c r="J608" s="1093" t="s">
        <v>1783</v>
      </c>
      <c r="K608" s="1014" t="s">
        <v>678</v>
      </c>
      <c r="L608" s="1106" t="s">
        <v>679</v>
      </c>
      <c r="M608" s="1102">
        <v>3500000</v>
      </c>
      <c r="N608" s="1034" t="s">
        <v>733</v>
      </c>
      <c r="O608" s="1034" t="s">
        <v>1745</v>
      </c>
      <c r="P608" s="1034"/>
      <c r="Q608" s="974"/>
      <c r="R608" s="1019"/>
      <c r="S608" s="1127"/>
      <c r="T608" s="1153"/>
    </row>
    <row r="609" spans="1:20" ht="102" x14ac:dyDescent="0.2">
      <c r="A609" s="1108">
        <v>2022603</v>
      </c>
      <c r="B609" s="1108">
        <v>7655</v>
      </c>
      <c r="C609" s="1108" t="s">
        <v>648</v>
      </c>
      <c r="D609" s="1109" t="s">
        <v>674</v>
      </c>
      <c r="E609" s="1108">
        <v>80111600</v>
      </c>
      <c r="F609" s="1065" t="s">
        <v>1203</v>
      </c>
      <c r="G609" s="1075" t="s">
        <v>1743</v>
      </c>
      <c r="H609" s="1051" t="s">
        <v>1743</v>
      </c>
      <c r="I609" s="1110" t="s">
        <v>1785</v>
      </c>
      <c r="J609" s="1111" t="s">
        <v>1783</v>
      </c>
      <c r="K609" s="1095" t="s">
        <v>678</v>
      </c>
      <c r="L609" s="1095" t="s">
        <v>679</v>
      </c>
      <c r="M609" s="1112">
        <v>42000000</v>
      </c>
      <c r="N609" s="1113" t="s">
        <v>727</v>
      </c>
      <c r="O609" s="1053" t="s">
        <v>1784</v>
      </c>
      <c r="P609" s="1053"/>
      <c r="Q609" s="1114"/>
      <c r="R609" s="1019"/>
      <c r="S609" s="1127">
        <v>453</v>
      </c>
      <c r="T609" s="1153">
        <v>42000000</v>
      </c>
    </row>
    <row r="610" spans="1:20" ht="60.6" customHeight="1" x14ac:dyDescent="0.2">
      <c r="A610" s="1108">
        <v>2022604</v>
      </c>
      <c r="B610" s="1108">
        <v>7655</v>
      </c>
      <c r="C610" s="1108" t="s">
        <v>648</v>
      </c>
      <c r="D610" s="1109" t="s">
        <v>1804</v>
      </c>
      <c r="E610" s="1108">
        <v>80111600</v>
      </c>
      <c r="F610" s="1065" t="s">
        <v>1204</v>
      </c>
      <c r="G610" s="1075">
        <v>44578</v>
      </c>
      <c r="H610" s="1075">
        <v>44578</v>
      </c>
      <c r="I610" s="1115" t="s">
        <v>1955</v>
      </c>
      <c r="J610" s="1111" t="s">
        <v>1783</v>
      </c>
      <c r="K610" s="1095" t="s">
        <v>678</v>
      </c>
      <c r="L610" s="1095" t="s">
        <v>679</v>
      </c>
      <c r="M610" s="1112">
        <v>28175000</v>
      </c>
      <c r="N610" s="1041" t="s">
        <v>729</v>
      </c>
      <c r="O610" s="1041" t="s">
        <v>1784</v>
      </c>
      <c r="P610" s="1041"/>
      <c r="Q610" s="1114"/>
      <c r="R610" s="1019"/>
      <c r="S610" s="1127">
        <v>407</v>
      </c>
      <c r="T610" s="1153">
        <v>28175000</v>
      </c>
    </row>
    <row r="611" spans="1:20" ht="63.75" x14ac:dyDescent="0.2">
      <c r="A611" s="1020">
        <v>2022605</v>
      </c>
      <c r="B611" s="1020">
        <v>7655</v>
      </c>
      <c r="C611" s="1020" t="s">
        <v>648</v>
      </c>
      <c r="D611" s="1036" t="s">
        <v>674</v>
      </c>
      <c r="E611" s="1020">
        <v>80111600</v>
      </c>
      <c r="F611" s="1023" t="s">
        <v>1205</v>
      </c>
      <c r="G611" s="1038" t="s">
        <v>1743</v>
      </c>
      <c r="H611" s="1025" t="s">
        <v>1743</v>
      </c>
      <c r="I611" s="1116" t="s">
        <v>1791</v>
      </c>
      <c r="J611" s="1040" t="s">
        <v>1783</v>
      </c>
      <c r="K611" s="1024" t="s">
        <v>678</v>
      </c>
      <c r="L611" s="1024" t="s">
        <v>679</v>
      </c>
      <c r="M611" s="1027">
        <f>10*4500000</f>
        <v>45000000</v>
      </c>
      <c r="N611" s="1041" t="s">
        <v>729</v>
      </c>
      <c r="O611" s="1053" t="s">
        <v>1784</v>
      </c>
      <c r="P611" s="1053"/>
      <c r="Q611" s="1114"/>
      <c r="R611" s="1019"/>
      <c r="S611" s="1127">
        <v>464</v>
      </c>
      <c r="T611" s="1153">
        <v>36000000</v>
      </c>
    </row>
    <row r="612" spans="1:20" ht="63.75" x14ac:dyDescent="0.2">
      <c r="A612" s="1108">
        <v>2022606</v>
      </c>
      <c r="B612" s="1108">
        <v>7655</v>
      </c>
      <c r="C612" s="1108" t="s">
        <v>648</v>
      </c>
      <c r="D612" s="1109" t="s">
        <v>1804</v>
      </c>
      <c r="E612" s="1108">
        <v>80111600</v>
      </c>
      <c r="F612" s="1065" t="s">
        <v>1206</v>
      </c>
      <c r="G612" s="1117">
        <v>44582</v>
      </c>
      <c r="H612" s="1117">
        <v>44582</v>
      </c>
      <c r="I612" s="1095" t="s">
        <v>1924</v>
      </c>
      <c r="J612" s="1111" t="s">
        <v>1783</v>
      </c>
      <c r="K612" s="1095" t="s">
        <v>678</v>
      </c>
      <c r="L612" s="1095" t="s">
        <v>679</v>
      </c>
      <c r="M612" s="1112">
        <v>19200000</v>
      </c>
      <c r="N612" s="1041" t="s">
        <v>729</v>
      </c>
      <c r="O612" s="1053" t="s">
        <v>1784</v>
      </c>
      <c r="P612" s="1053"/>
      <c r="Q612" s="1114"/>
      <c r="R612" s="1019"/>
      <c r="S612" s="1127">
        <v>444</v>
      </c>
      <c r="T612" s="1153">
        <v>19200000</v>
      </c>
    </row>
    <row r="613" spans="1:20" s="1103" customFormat="1" ht="127.5" x14ac:dyDescent="0.2">
      <c r="A613" s="1010">
        <v>2022607</v>
      </c>
      <c r="B613" s="1093" t="s">
        <v>97</v>
      </c>
      <c r="C613" s="1093" t="s">
        <v>97</v>
      </c>
      <c r="D613" s="1042" t="s">
        <v>690</v>
      </c>
      <c r="E613" s="1096" t="s">
        <v>1207</v>
      </c>
      <c r="F613" s="1071" t="s">
        <v>1208</v>
      </c>
      <c r="G613" s="1078">
        <v>44606</v>
      </c>
      <c r="H613" s="1093"/>
      <c r="I613" s="1093" t="s">
        <v>1956</v>
      </c>
      <c r="J613" s="1093" t="s">
        <v>1957</v>
      </c>
      <c r="K613" s="1014" t="s">
        <v>97</v>
      </c>
      <c r="L613" s="1101" t="s">
        <v>97</v>
      </c>
      <c r="M613" s="1102">
        <v>0</v>
      </c>
      <c r="N613" s="1034" t="s">
        <v>97</v>
      </c>
      <c r="O613" s="1034" t="s">
        <v>97</v>
      </c>
      <c r="P613" s="1034"/>
      <c r="Q613" s="1099"/>
      <c r="R613" s="1019"/>
      <c r="S613" s="1127"/>
      <c r="T613" s="1153"/>
    </row>
    <row r="614" spans="1:20" ht="89.25" x14ac:dyDescent="0.2">
      <c r="A614" s="1020">
        <v>2022608</v>
      </c>
      <c r="B614" s="1020">
        <v>7637</v>
      </c>
      <c r="C614" s="1020" t="s">
        <v>645</v>
      </c>
      <c r="D614" s="1021" t="s">
        <v>674</v>
      </c>
      <c r="E614" s="1028">
        <v>80111600</v>
      </c>
      <c r="F614" s="1021" t="s">
        <v>1209</v>
      </c>
      <c r="G614" s="1024" t="s">
        <v>1743</v>
      </c>
      <c r="H614" s="1024" t="s">
        <v>1743</v>
      </c>
      <c r="I614" s="1024">
        <v>10</v>
      </c>
      <c r="J614" s="1024" t="s">
        <v>1744</v>
      </c>
      <c r="K614" s="1024" t="s">
        <v>678</v>
      </c>
      <c r="L614" s="1026" t="s">
        <v>679</v>
      </c>
      <c r="M614" s="1027">
        <v>23400000</v>
      </c>
      <c r="N614" s="1041" t="s">
        <v>733</v>
      </c>
      <c r="O614" s="1041" t="s">
        <v>1745</v>
      </c>
      <c r="P614" s="1041"/>
      <c r="Q614" s="1114"/>
      <c r="R614" s="1019"/>
      <c r="S614" s="1127">
        <v>437</v>
      </c>
      <c r="T614" s="1153">
        <v>23400000</v>
      </c>
    </row>
    <row r="615" spans="1:20" s="1121" customFormat="1" ht="102" x14ac:dyDescent="0.25">
      <c r="A615" s="1118">
        <v>2022609</v>
      </c>
      <c r="B615" s="1118">
        <v>7658</v>
      </c>
      <c r="C615" s="1118" t="s">
        <v>673</v>
      </c>
      <c r="D615" s="1118" t="s">
        <v>693</v>
      </c>
      <c r="E615" s="1119" t="s">
        <v>1776</v>
      </c>
      <c r="F615" s="1118" t="s">
        <v>767</v>
      </c>
      <c r="G615" s="1118" t="s">
        <v>1743</v>
      </c>
      <c r="H615" s="1118" t="s">
        <v>1743</v>
      </c>
      <c r="I615" s="1118" t="s">
        <v>1958</v>
      </c>
      <c r="J615" s="1118" t="s">
        <v>1766</v>
      </c>
      <c r="K615" s="1118" t="s">
        <v>678</v>
      </c>
      <c r="L615" s="1118" t="s">
        <v>679</v>
      </c>
      <c r="M615" s="1120">
        <f>181080376-104794000</f>
        <v>76286376</v>
      </c>
      <c r="N615" s="1118" t="s">
        <v>741</v>
      </c>
      <c r="O615" s="1118" t="s">
        <v>1875</v>
      </c>
      <c r="P615" s="1118"/>
      <c r="Q615" s="1078">
        <v>44600</v>
      </c>
      <c r="R615" s="1019"/>
      <c r="S615" s="1127"/>
      <c r="T615" s="1153"/>
    </row>
    <row r="616" spans="1:20" ht="127.5" x14ac:dyDescent="0.2">
      <c r="A616" s="1010">
        <v>2022610</v>
      </c>
      <c r="B616" s="1072" t="s">
        <v>459</v>
      </c>
      <c r="C616" s="1072"/>
      <c r="D616" s="1011" t="s">
        <v>674</v>
      </c>
      <c r="E616" s="1010" t="s">
        <v>1194</v>
      </c>
      <c r="F616" s="1071" t="s">
        <v>1212</v>
      </c>
      <c r="G616" s="1093" t="s">
        <v>1879</v>
      </c>
      <c r="H616" s="1093" t="s">
        <v>1879</v>
      </c>
      <c r="I616" s="1122" t="s">
        <v>1959</v>
      </c>
      <c r="J616" s="1093" t="s">
        <v>1817</v>
      </c>
      <c r="K616" s="1014" t="s">
        <v>43</v>
      </c>
      <c r="L616" s="1101"/>
      <c r="M616" s="1102">
        <v>81890487</v>
      </c>
      <c r="N616" s="1034"/>
      <c r="O616" s="1034"/>
      <c r="P616" s="1034"/>
      <c r="Q616" s="1044">
        <v>44600</v>
      </c>
      <c r="R616" s="1019"/>
      <c r="S616" s="1127"/>
      <c r="T616" s="1153"/>
    </row>
    <row r="619" spans="1:20" x14ac:dyDescent="0.2">
      <c r="M619" s="1125">
        <f>SUBTOTAL(9,M7:M618)</f>
        <v>67248064999.699997</v>
      </c>
      <c r="T619" s="1125">
        <f>SUBTOTAL(9,T7:T618)</f>
        <v>20624701535</v>
      </c>
    </row>
    <row r="621" spans="1:20" x14ac:dyDescent="0.2">
      <c r="M621" s="1126"/>
    </row>
    <row r="623" spans="1:20" x14ac:dyDescent="0.2">
      <c r="M623" s="1126"/>
    </row>
  </sheetData>
  <protectedRanges>
    <protectedRange sqref="D27:D28" name="Rango1_9_1_7_1"/>
    <protectedRange sqref="F28" name="Rango1_4_4_1_1"/>
    <protectedRange sqref="D29:D35" name="Rango1_9_1_1_1_2"/>
    <protectedRange sqref="G29:H30 G27" name="Rango1_51_3_1_2"/>
    <protectedRange sqref="F29:F30" name="Rango1_5_3_1_3"/>
    <protectedRange sqref="D36:D39" name="Rango1_9_1_2_1_1"/>
    <protectedRange sqref="D40:D44" name="Rango1_9_1_3_1_1"/>
    <protectedRange sqref="D45" name="Rango1_9_1_4_1_1"/>
    <protectedRange sqref="D46" name="Rango1_9_1_5_1_1"/>
    <protectedRange sqref="D47:D48" name="Rango1_9_1_6_1_1"/>
    <protectedRange sqref="D185:D213 D586:D588" name="Rango1_9_1_3_2"/>
    <protectedRange sqref="F185" name="Rango1_4_4_2_1"/>
    <protectedRange sqref="D233:D255" name="Rango1_9_1_4_2"/>
    <protectedRange sqref="D146:D173 D175:D180" name="Rango1_9_1_5_2"/>
    <protectedRange sqref="D174" name="Rango1_9_1_1_1_1_1"/>
    <protectedRange sqref="F146:F173 F175:F180" name="Rango1_4_4_4_1_1"/>
    <protectedRange sqref="F174" name="Rango1_4_4_1_2_1_1"/>
    <protectedRange sqref="F233" name="Rango1_4_4_5_2"/>
    <protectedRange sqref="F235" name="Rango1_6_3_1_2"/>
    <protectedRange sqref="F236:F237" name="Rango1_5_3_1_1_1"/>
    <protectedRange sqref="F49:F137 F139:F145 F610" name="Rango1_4_4_3_1"/>
    <protectedRange sqref="F328" name="Rango1_4_4_5_1_1"/>
    <protectedRange sqref="F327" name="Rango1_4_4_1_1_2_1"/>
    <protectedRange sqref="F335:F341" name="Rango1_4_4_4"/>
    <protectedRange sqref="F490" name="Rango1_6_3_3_1"/>
    <protectedRange sqref="F491" name="Rango1_5_3_3_2"/>
    <protectedRange sqref="F492" name="Rango1_5_3_3_1_1"/>
    <protectedRange sqref="F256:F258 F314 F304:F311 F260:F301" name="Rango1_4_4_7_1"/>
    <protectedRange sqref="F302:F303" name="Rango1_4_4_1_6_1"/>
    <protectedRange sqref="F312:F313" name="Rango1_4_4_2_5_1"/>
    <protectedRange sqref="F259" name="Rango1_4_4_3_5_1"/>
    <protectedRange sqref="F393" name="Rango1_4_4_9_1"/>
    <protectedRange sqref="F396" name="Rango1_6_3_1_1_1"/>
    <protectedRange sqref="G397:H398" name="Rango1_51_3_1_1_1"/>
    <protectedRange sqref="F397:F398" name="Rango1_5_3_1_2_1"/>
  </protectedRanges>
  <mergeCells count="2">
    <mergeCell ref="F1:H1"/>
    <mergeCell ref="M4:N4"/>
  </mergeCells>
  <dataValidations count="1">
    <dataValidation type="list" allowBlank="1" showInputMessage="1" showErrorMessage="1" sqref="L609 L214:L217 L182 L220:L255 L7:L48 L611:L612 L614" xr:uid="{00000000-0002-0000-0800-000000000000}">
      <formula1>tec</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D384CF74C69974ABF62F473D9FCEC4E" ma:contentTypeVersion="16" ma:contentTypeDescription="Crear nuevo documento." ma:contentTypeScope="" ma:versionID="b11025218fa34ab61a620cc225f70040">
  <xsd:schema xmlns:xsd="http://www.w3.org/2001/XMLSchema" xmlns:xs="http://www.w3.org/2001/XMLSchema" xmlns:p="http://schemas.microsoft.com/office/2006/metadata/properties" xmlns:ns1="http://schemas.microsoft.com/sharepoint/v3" xmlns:ns3="09d6c875-bcbc-458c-a626-c910af1d48c9" xmlns:ns4="357bdbef-269f-4dc7-9a12-0770e15f24ee" targetNamespace="http://schemas.microsoft.com/office/2006/metadata/properties" ma:root="true" ma:fieldsID="5f17086afd6571a317a89df83be7d49e" ns1:_="" ns3:_="" ns4:_="">
    <xsd:import namespace="http://schemas.microsoft.com/sharepoint/v3"/>
    <xsd:import namespace="09d6c875-bcbc-458c-a626-c910af1d48c9"/>
    <xsd:import namespace="357bdbef-269f-4dc7-9a12-0770e15f24e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Propiedades de la Directiva de cumplimiento unificado" ma:hidden="true" ma:internalName="_ip_UnifiedCompliancePolicyProperties">
      <xsd:simpleType>
        <xsd:restriction base="dms:Note"/>
      </xsd:simpleType>
    </xsd:element>
    <xsd:element name="_ip_UnifiedCompliancePolicyUIAction" ma:index="23"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d6c875-bcbc-458c-a626-c910af1d48c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7bdbef-269f-4dc7-9a12-0770e15f24e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7AFD5D-F000-4BAE-BE0C-AB98017F49D9}">
  <ds:schemaRefs>
    <ds:schemaRef ds:uri="http://schemas.microsoft.com/sharepoint/v3/contenttype/forms"/>
  </ds:schemaRefs>
</ds:datastoreItem>
</file>

<file path=customXml/itemProps2.xml><?xml version="1.0" encoding="utf-8"?>
<ds:datastoreItem xmlns:ds="http://schemas.openxmlformats.org/officeDocument/2006/customXml" ds:itemID="{CCA7AF63-610A-4ACA-AC7C-A319E55C86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9d6c875-bcbc-458c-a626-c910af1d48c9"/>
    <ds:schemaRef ds:uri="357bdbef-269f-4dc7-9a12-0770e15f24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SEGUIMIENTO CON PAA </vt:lpstr>
      <vt:lpstr>EN PLATAFORMA</vt:lpstr>
      <vt:lpstr>Tras 1</vt:lpstr>
      <vt:lpstr>Tras 3</vt:lpstr>
      <vt:lpstr>Tras 5</vt:lpstr>
      <vt:lpstr>PPTO 2021 REPROGRAMACION (2)</vt:lpstr>
      <vt:lpstr>PPTO 2021 REPROGRAMACION</vt:lpstr>
      <vt:lpstr>PAA V30</vt:lpstr>
      <vt:lpstr>PAA V4</vt:lpstr>
      <vt:lpstr>PAA V5</vt:lpstr>
      <vt:lpstr>PPA V 21</vt:lpstr>
      <vt:lpstr>Viabilidades</vt:lpstr>
      <vt:lpstr>Reservas x Metas</vt:lpstr>
      <vt:lpstr>SEG. METAS PDD a 30 de Ene 2021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Familia Cleves</dc:creator>
  <cp:keywords/>
  <dc:description/>
  <cp:lastModifiedBy>LEYDY TATIANA ROMERO MUÑOZ</cp:lastModifiedBy>
  <cp:revision/>
  <dcterms:created xsi:type="dcterms:W3CDTF">2020-09-23T17:41:29Z</dcterms:created>
  <dcterms:modified xsi:type="dcterms:W3CDTF">2022-12-29T16:18:26Z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0x0101001D384CF74C69974ABF62F473D9FCEC4E</vt:lpwstr>
  </property>
  <property fmtid="{D5CDD505-2E9C-101B-9397-08002B2CF9AE}" pid="3" name="_ip_UnifiedCompliancePolicyUIAction">
    <vt:lpwstr/>
  </property>
  <property fmtid="{D5CDD505-2E9C-101B-9397-08002B2CF9AE}" pid="4" name="_ip_UnifiedCompliancePolicyProperties">
    <vt:lpwstr/>
  </property>
</Properties>
</file>